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8_{4BD0E90F-392B-419D-AEFB-227FAAEB631E}" xr6:coauthVersionLast="47" xr6:coauthVersionMax="47" xr10:uidLastSave="{00000000-0000-0000-0000-000000000000}"/>
  <bookViews>
    <workbookView xWindow="28680" yWindow="-120" windowWidth="29040" windowHeight="17520" tabRatio="857" activeTab="1" xr2:uid="{00000000-000D-0000-FFFF-FFFF00000000}"/>
  </bookViews>
  <sheets>
    <sheet name="Inputs" sheetId="73" r:id="rId1"/>
    <sheet name="Load Forecast Summary" sheetId="11" r:id="rId2"/>
    <sheet name="Power Purchased Model" sheetId="72" r:id="rId3"/>
    <sheet name="Rate Class Energy Model" sheetId="9" r:id="rId4"/>
    <sheet name="Rate Class Customer Model" sheetId="17" r:id="rId5"/>
    <sheet name="Rate Class Load Model" sheetId="18" r:id="rId6"/>
  </sheets>
  <definedNames>
    <definedName name="__CAP1000" localSheetId="2">#REF!</definedName>
    <definedName name="__CAP1000">#REF!</definedName>
    <definedName name="__OP1000" localSheetId="2">#REF!</definedName>
    <definedName name="__OP1000">#REF!</definedName>
    <definedName name="_110" localSheetId="2">#REF!</definedName>
    <definedName name="_110">#REF!</definedName>
    <definedName name="_110INPT" localSheetId="2">#REF!</definedName>
    <definedName name="_110INPT">#REF!</definedName>
    <definedName name="_115" localSheetId="2">#REF!</definedName>
    <definedName name="_115">#REF!</definedName>
    <definedName name="_115INPT" localSheetId="2">#REF!</definedName>
    <definedName name="_115INPT">#REF!</definedName>
    <definedName name="_120" localSheetId="2">#REF!</definedName>
    <definedName name="_120">#REF!</definedName>
    <definedName name="_140" localSheetId="2">#REF!</definedName>
    <definedName name="_140">#REF!</definedName>
    <definedName name="_140INPT" localSheetId="2">#REF!</definedName>
    <definedName name="_140INPT">#REF!</definedName>
    <definedName name="_CAP1000" localSheetId="2">#REF!</definedName>
    <definedName name="_CAP1000">#REF!</definedName>
    <definedName name="_Fill" hidden="1">#REF!</definedName>
    <definedName name="_OP1000" localSheetId="2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>#REF!</definedName>
    <definedName name="ApprovedYr">#REF!</definedName>
    <definedName name="CAfile">#REF!</definedName>
    <definedName name="CAPCOSTS" localSheetId="2">#REF!</definedName>
    <definedName name="CAPCOSTS">#REF!</definedName>
    <definedName name="CAPITAL" localSheetId="2">#REF!</definedName>
    <definedName name="CAPITAL">#REF!</definedName>
    <definedName name="CapitalExpListing" localSheetId="2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>#REF!</definedName>
    <definedName name="cc" localSheetId="2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>#REF!</definedName>
    <definedName name="_xlnm.Criteria" localSheetId="2">#REF!</definedName>
    <definedName name="_xlnm.Criteria">#REF!</definedName>
    <definedName name="CRLF">#REF!</definedName>
    <definedName name="_xlnm.Database" localSheetId="2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>#REF!</definedName>
    <definedName name="DeptDiv" localSheetId="2">#REF!</definedName>
    <definedName name="DeptDiv">#REF!</definedName>
    <definedName name="EBNUMBER">#REF!</definedName>
    <definedName name="ExpenseAccountListing" localSheetId="2">#REF!</definedName>
    <definedName name="ExpenseAccountListing">#REF!</definedName>
    <definedName name="_xlnm.Extract" localSheetId="2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>#REF!</definedName>
    <definedName name="INTERIM" localSheetId="2">#REF!</definedName>
    <definedName name="INTERIM">#REF!</definedName>
    <definedName name="LIMIT" localSheetId="2">#REF!</definedName>
    <definedName name="LIMIT">#REF!</definedName>
    <definedName name="man_beg_bud" localSheetId="2">#REF!</definedName>
    <definedName name="man_beg_bud">#REF!</definedName>
    <definedName name="man_end_bud" localSheetId="2">#REF!</definedName>
    <definedName name="man_end_bud">#REF!</definedName>
    <definedName name="man12ACT" localSheetId="2">#REF!</definedName>
    <definedName name="man12ACT">#REF!</definedName>
    <definedName name="MANBUD" localSheetId="2">#REF!</definedName>
    <definedName name="MANBUD">#REF!</definedName>
    <definedName name="manCYACT" localSheetId="2">#REF!</definedName>
    <definedName name="manCYACT">#REF!</definedName>
    <definedName name="manCYBUD" localSheetId="2">#REF!</definedName>
    <definedName name="manCYBUD">#REF!</definedName>
    <definedName name="manCYF" localSheetId="2">#REF!</definedName>
    <definedName name="manCYF">#REF!</definedName>
    <definedName name="MANEND" localSheetId="2">#REF!</definedName>
    <definedName name="MANEND">#REF!</definedName>
    <definedName name="manNYbud" localSheetId="2">#REF!</definedName>
    <definedName name="manNYbud">#REF!</definedName>
    <definedName name="manpower_costs" localSheetId="2">#REF!</definedName>
    <definedName name="manpower_costs">#REF!</definedName>
    <definedName name="manPYACT" localSheetId="2">#REF!</definedName>
    <definedName name="manPYACT">#REF!</definedName>
    <definedName name="MANSTART" localSheetId="2">#REF!</definedName>
    <definedName name="MANSTART">#REF!</definedName>
    <definedName name="mat_beg_bud" localSheetId="2">#REF!</definedName>
    <definedName name="mat_beg_bud">#REF!</definedName>
    <definedName name="mat_end_bud" localSheetId="2">#REF!</definedName>
    <definedName name="mat_end_bud">#REF!</definedName>
    <definedName name="mat12ACT" localSheetId="2">#REF!</definedName>
    <definedName name="mat12ACT">#REF!</definedName>
    <definedName name="MATBUD" localSheetId="2">#REF!</definedName>
    <definedName name="MATBUD">#REF!</definedName>
    <definedName name="matCYACT" localSheetId="2">#REF!</definedName>
    <definedName name="matCYACT">#REF!</definedName>
    <definedName name="matCYBUD" localSheetId="2">#REF!</definedName>
    <definedName name="matCYBUD">#REF!</definedName>
    <definedName name="matCYF" localSheetId="2">#REF!</definedName>
    <definedName name="matCYF">#REF!</definedName>
    <definedName name="MATEND" localSheetId="2">#REF!</definedName>
    <definedName name="MATEND">#REF!</definedName>
    <definedName name="material_costs" localSheetId="2">#REF!</definedName>
    <definedName name="material_costs">#REF!</definedName>
    <definedName name="matNYbud" localSheetId="2">#REF!</definedName>
    <definedName name="matNYbud">#REF!</definedName>
    <definedName name="matPYACT" localSheetId="2">#REF!</definedName>
    <definedName name="matPYACT">#REF!</definedName>
    <definedName name="MATSTART" localSheetId="2">#REF!</definedName>
    <definedName name="MATSTART">#REF!</definedName>
    <definedName name="mea" localSheetId="2">#REF!</definedName>
    <definedName name="mea">#REF!</definedName>
    <definedName name="MEABAL" localSheetId="2">#REF!</definedName>
    <definedName name="MEABAL">#REF!</definedName>
    <definedName name="MEACASH" localSheetId="2">#REF!</definedName>
    <definedName name="MEACASH">#REF!</definedName>
    <definedName name="MEAEQITY" localSheetId="2">#REF!</definedName>
    <definedName name="MEAEQITY">#REF!</definedName>
    <definedName name="MEAOP" localSheetId="2">#REF!</definedName>
    <definedName name="MEAOP">#REF!</definedName>
    <definedName name="MofF" localSheetId="2">#REF!</definedName>
    <definedName name="MofF">#REF!</definedName>
    <definedName name="NewRevReq">#REF!</definedName>
    <definedName name="NOTES" localSheetId="2">#REF!</definedName>
    <definedName name="NOTES">#REF!</definedName>
    <definedName name="OPERATING" localSheetId="2">#REF!</definedName>
    <definedName name="OPERATING">#REF!</definedName>
    <definedName name="oth_beg_bud" localSheetId="2">#REF!</definedName>
    <definedName name="oth_beg_bud">#REF!</definedName>
    <definedName name="oth_end_bud" localSheetId="2">#REF!</definedName>
    <definedName name="oth_end_bud">#REF!</definedName>
    <definedName name="oth12ACT" localSheetId="2">#REF!</definedName>
    <definedName name="oth12ACT">#REF!</definedName>
    <definedName name="othCYACT" localSheetId="2">#REF!</definedName>
    <definedName name="othCYACT">#REF!</definedName>
    <definedName name="othCYBUD" localSheetId="2">#REF!</definedName>
    <definedName name="othCYBUD">#REF!</definedName>
    <definedName name="othCYF" localSheetId="2">#REF!</definedName>
    <definedName name="othCYF">#REF!</definedName>
    <definedName name="OTHEND" localSheetId="2">#REF!</definedName>
    <definedName name="OTHEND">#REF!</definedName>
    <definedName name="other_costs" localSheetId="2">#REF!</definedName>
    <definedName name="other_costs">#REF!</definedName>
    <definedName name="OTHERBUD" localSheetId="2">#REF!</definedName>
    <definedName name="OTHERBUD">#REF!</definedName>
    <definedName name="othNYbud" localSheetId="2">#REF!</definedName>
    <definedName name="othNYbud">#REF!</definedName>
    <definedName name="othPYACT" localSheetId="2">#REF!</definedName>
    <definedName name="othPYACT">#REF!</definedName>
    <definedName name="OTHSTART" localSheetId="2">#REF!</definedName>
    <definedName name="OTHSTART">#REF!</definedName>
    <definedName name="PAGE11" localSheetId="2">#REF!</definedName>
    <definedName name="PAGE11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7" localSheetId="2">#REF!</definedName>
    <definedName name="PAGE7">#REF!</definedName>
    <definedName name="PAGE9" localSheetId="2">#REF!</definedName>
    <definedName name="PAGE9">#REF!</definedName>
    <definedName name="PageOne" localSheetId="2">#REF!</definedName>
    <definedName name="PageOne">#REF!</definedName>
    <definedName name="PR" localSheetId="2">#REF!</definedName>
    <definedName name="PR">#REF!</definedName>
    <definedName name="_xlnm.Print_Area" localSheetId="1">'Load Forecast Summary'!$A$3:$M$43</definedName>
    <definedName name="_xlnm.Print_Area" localSheetId="2">'Power Purchased Model'!$A$1:$K$168</definedName>
    <definedName name="_xlnm.Print_Area" localSheetId="4">'Rate Class Customer Model'!$A$1:$I$34</definedName>
    <definedName name="_xlnm.Print_Area" localSheetId="3">'Rate Class Energy Model'!#REF!</definedName>
    <definedName name="_xlnm.Print_Area" localSheetId="5">'Rate Class Load Model'!$A$1:$H$29</definedName>
    <definedName name="Print_Area_MI" localSheetId="2">#REF!</definedName>
    <definedName name="Print_Area_MI">#REF!</definedName>
    <definedName name="print_end" localSheetId="2">#REF!</definedName>
    <definedName name="print_end">#REF!</definedName>
    <definedName name="_xlnm.Print_Titles" localSheetId="2">'Power Purchased Model'!$A:$K,'Power Purchased Model'!$1:$2</definedName>
    <definedName name="PRIOR" localSheetId="2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>#REF!</definedName>
    <definedName name="SALBENF" localSheetId="2">#REF!</definedName>
    <definedName name="SALBENF">#REF!</definedName>
    <definedName name="salreg" localSheetId="2">#REF!</definedName>
    <definedName name="salreg">#REF!</definedName>
    <definedName name="SALREGF" localSheetId="2">#REF!</definedName>
    <definedName name="SALREGF">#REF!</definedName>
    <definedName name="SOURCEAPP" localSheetId="2">#REF!</definedName>
    <definedName name="SOURCEAPP">#REF!</definedName>
    <definedName name="STATS1" localSheetId="2">#REF!</definedName>
    <definedName name="STATS1">#REF!</definedName>
    <definedName name="STATS2" localSheetId="2">#REF!</definedName>
    <definedName name="STATS2">#REF!</definedName>
    <definedName name="Surtax" localSheetId="2">#REF!</definedName>
    <definedName name="Surtax">#REF!</definedName>
    <definedName name="TEMPA" localSheetId="2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>#REF!</definedName>
    <definedName name="total_manpower" localSheetId="2">#REF!</definedName>
    <definedName name="total_manpower">#REF!</definedName>
    <definedName name="total_material" localSheetId="2">#REF!</definedName>
    <definedName name="total_material">#REF!</definedName>
    <definedName name="total_other" localSheetId="2">#REF!</definedName>
    <definedName name="total_other">#REF!</definedName>
    <definedName name="total_transportation" localSheetId="2">#REF!</definedName>
    <definedName name="total_transportation">#REF!</definedName>
    <definedName name="TOTCAPADDITIONS" localSheetId="2">#REF!</definedName>
    <definedName name="TOTCAPADDITIONS">#REF!</definedName>
    <definedName name="TRANBUD" localSheetId="2">#REF!</definedName>
    <definedName name="TRANBUD">#REF!</definedName>
    <definedName name="TRANEND" localSheetId="2">#REF!</definedName>
    <definedName name="TRANEND">#REF!</definedName>
    <definedName name="TRANSCAP" localSheetId="2">#REF!</definedName>
    <definedName name="TRANSCAP">#REF!</definedName>
    <definedName name="TRANSFER" localSheetId="2">#REF!</definedName>
    <definedName name="TRANSFER">#REF!</definedName>
    <definedName name="transportation_costs" localSheetId="2">#REF!</definedName>
    <definedName name="transportation_costs">#REF!</definedName>
    <definedName name="TRANSTART" localSheetId="2">#REF!</definedName>
    <definedName name="TRANSTART">#REF!</definedName>
    <definedName name="trn_beg_bud" localSheetId="2">#REF!</definedName>
    <definedName name="trn_beg_bud">#REF!</definedName>
    <definedName name="trn_end_bud" localSheetId="2">#REF!</definedName>
    <definedName name="trn_end_bud">#REF!</definedName>
    <definedName name="trn12ACT" localSheetId="2">#REF!</definedName>
    <definedName name="trn12ACT">#REF!</definedName>
    <definedName name="trnCYACT" localSheetId="2">#REF!</definedName>
    <definedName name="trnCYACT">#REF!</definedName>
    <definedName name="trnCYBUD" localSheetId="2">#REF!</definedName>
    <definedName name="trnCYBUD">#REF!</definedName>
    <definedName name="trnCYF" localSheetId="2">#REF!</definedName>
    <definedName name="trnCYF">#REF!</definedName>
    <definedName name="trnNYbud" localSheetId="2">#REF!</definedName>
    <definedName name="trnNYbud">#REF!</definedName>
    <definedName name="trnPYACT" localSheetId="2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>#REF!</definedName>
    <definedName name="wagdob" localSheetId="2">#REF!</definedName>
    <definedName name="wagdob">#REF!</definedName>
    <definedName name="wagdobf" localSheetId="2">#REF!</definedName>
    <definedName name="wagdobf">#REF!</definedName>
    <definedName name="wagreg" localSheetId="2">#REF!</definedName>
    <definedName name="wagreg">#REF!</definedName>
    <definedName name="wagregf" localSheetId="2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72" l="1"/>
  <c r="R28" i="72"/>
  <c r="R26" i="72"/>
  <c r="I4" i="72" l="1"/>
  <c r="I5" i="72"/>
  <c r="I6" i="72"/>
  <c r="I7" i="72"/>
  <c r="I8" i="72"/>
  <c r="I9" i="72"/>
  <c r="I10" i="72"/>
  <c r="I11" i="72"/>
  <c r="I12" i="72"/>
  <c r="I13" i="72"/>
  <c r="I14" i="72"/>
  <c r="I15" i="72"/>
  <c r="I16" i="72"/>
  <c r="I17" i="72"/>
  <c r="I18" i="72"/>
  <c r="I19" i="72"/>
  <c r="I20" i="72"/>
  <c r="I21" i="72"/>
  <c r="I22" i="72"/>
  <c r="I23" i="72"/>
  <c r="I24" i="72"/>
  <c r="I25" i="72"/>
  <c r="I26" i="72"/>
  <c r="I27" i="72"/>
  <c r="I28" i="72"/>
  <c r="I29" i="72"/>
  <c r="I30" i="72"/>
  <c r="I31" i="72"/>
  <c r="I32" i="72"/>
  <c r="I33" i="72"/>
  <c r="I34" i="72"/>
  <c r="I35" i="72"/>
  <c r="I36" i="72"/>
  <c r="I37" i="72"/>
  <c r="I38" i="72"/>
  <c r="I39" i="72"/>
  <c r="I40" i="72"/>
  <c r="I41" i="72"/>
  <c r="I42" i="72"/>
  <c r="I43" i="72"/>
  <c r="I44" i="72"/>
  <c r="I45" i="72"/>
  <c r="I46" i="72"/>
  <c r="I47" i="72"/>
  <c r="I48" i="72"/>
  <c r="I49" i="72"/>
  <c r="I50" i="72"/>
  <c r="I51" i="72"/>
  <c r="I52" i="72"/>
  <c r="I53" i="72"/>
  <c r="I54" i="72"/>
  <c r="I55" i="72"/>
  <c r="I56" i="72"/>
  <c r="I57" i="72"/>
  <c r="I58" i="72"/>
  <c r="I59" i="72"/>
  <c r="I60" i="72"/>
  <c r="I61" i="72"/>
  <c r="I62" i="72"/>
  <c r="I63" i="72"/>
  <c r="I64" i="72"/>
  <c r="I65" i="72"/>
  <c r="I66" i="72"/>
  <c r="I67" i="72"/>
  <c r="I68" i="72"/>
  <c r="I69" i="72"/>
  <c r="I70" i="72"/>
  <c r="I71" i="72"/>
  <c r="I72" i="72"/>
  <c r="I73" i="72"/>
  <c r="I74" i="72"/>
  <c r="I75" i="72"/>
  <c r="I76" i="72"/>
  <c r="I77" i="72"/>
  <c r="I78" i="72"/>
  <c r="I79" i="72"/>
  <c r="I80" i="72"/>
  <c r="I81" i="72"/>
  <c r="I82" i="72"/>
  <c r="I83" i="72"/>
  <c r="I84" i="72"/>
  <c r="I85" i="72"/>
  <c r="I86" i="72"/>
  <c r="I87" i="72"/>
  <c r="I88" i="72"/>
  <c r="I89" i="72"/>
  <c r="I90" i="72"/>
  <c r="I91" i="72"/>
  <c r="I92" i="72"/>
  <c r="I93" i="72"/>
  <c r="I94" i="72"/>
  <c r="I95" i="72"/>
  <c r="I96" i="72"/>
  <c r="I97" i="72"/>
  <c r="I98" i="72"/>
  <c r="I99" i="72"/>
  <c r="I100" i="72"/>
  <c r="I101" i="72"/>
  <c r="I102" i="72"/>
  <c r="I103" i="72"/>
  <c r="I104" i="72"/>
  <c r="I105" i="72"/>
  <c r="I106" i="72"/>
  <c r="I107" i="72"/>
  <c r="I108" i="72"/>
  <c r="I109" i="72"/>
  <c r="I110" i="72"/>
  <c r="I111" i="72"/>
  <c r="I112" i="72"/>
  <c r="I113" i="72"/>
  <c r="I114" i="72"/>
  <c r="I115" i="72"/>
  <c r="I116" i="72"/>
  <c r="I117" i="72"/>
  <c r="I118" i="72"/>
  <c r="I119" i="72"/>
  <c r="I120" i="72"/>
  <c r="I121" i="72"/>
  <c r="I122" i="72"/>
  <c r="I123" i="72"/>
  <c r="I124" i="72"/>
  <c r="I125" i="72"/>
  <c r="I126" i="72"/>
  <c r="I127" i="72"/>
  <c r="I128" i="72"/>
  <c r="I129" i="72"/>
  <c r="I130" i="72"/>
  <c r="I131" i="72"/>
  <c r="I132" i="72"/>
  <c r="I133" i="72"/>
  <c r="I134" i="72"/>
  <c r="I135" i="72"/>
  <c r="I136" i="72"/>
  <c r="I137" i="72"/>
  <c r="I138" i="72"/>
  <c r="I139" i="72"/>
  <c r="I140" i="72"/>
  <c r="I141" i="72"/>
  <c r="I142" i="72"/>
  <c r="I143" i="72"/>
  <c r="I144" i="72"/>
  <c r="I145" i="72"/>
  <c r="I146" i="72"/>
  <c r="I3" i="72"/>
  <c r="E179" i="72"/>
  <c r="E180" i="72"/>
  <c r="E181" i="72"/>
  <c r="E182" i="72"/>
  <c r="E183" i="72"/>
  <c r="E184" i="72"/>
  <c r="E185" i="72"/>
  <c r="E186" i="72"/>
  <c r="E187" i="72"/>
  <c r="E188" i="72"/>
  <c r="E189" i="72"/>
  <c r="E178" i="72"/>
  <c r="E190" i="72" s="1"/>
  <c r="C45" i="9" l="1"/>
  <c r="U47" i="73" l="1"/>
  <c r="U24" i="73"/>
  <c r="U35" i="73"/>
  <c r="J14" i="17"/>
  <c r="J13" i="17"/>
  <c r="I13" i="17"/>
  <c r="I14" i="17"/>
  <c r="I12" i="17"/>
  <c r="U143" i="73"/>
  <c r="U107" i="73"/>
  <c r="U119" i="73"/>
  <c r="U131" i="73"/>
  <c r="I62" i="11"/>
  <c r="J62" i="11"/>
  <c r="K62" i="11"/>
  <c r="H62" i="11"/>
  <c r="D29" i="18" l="1"/>
  <c r="C29" i="18"/>
  <c r="B29" i="18"/>
  <c r="D27" i="18"/>
  <c r="C27" i="18"/>
  <c r="B27" i="18"/>
  <c r="D25" i="18"/>
  <c r="C25" i="18"/>
  <c r="B25" i="18"/>
  <c r="A25" i="18"/>
  <c r="D24" i="18"/>
  <c r="C24" i="18"/>
  <c r="B24" i="18"/>
  <c r="A24" i="18"/>
  <c r="D23" i="18"/>
  <c r="C23" i="18"/>
  <c r="B23" i="18"/>
  <c r="A23" i="18"/>
  <c r="D22" i="18"/>
  <c r="C22" i="18"/>
  <c r="B22" i="18"/>
  <c r="A22" i="18"/>
  <c r="D21" i="18"/>
  <c r="C21" i="18"/>
  <c r="B21" i="18"/>
  <c r="A21" i="18"/>
  <c r="D20" i="18"/>
  <c r="C20" i="18"/>
  <c r="B20" i="18"/>
  <c r="A20" i="18"/>
  <c r="D19" i="18"/>
  <c r="C19" i="18"/>
  <c r="B19" i="18"/>
  <c r="A19" i="18"/>
  <c r="D18" i="18"/>
  <c r="C18" i="18"/>
  <c r="B18" i="18"/>
  <c r="A18" i="18"/>
  <c r="D17" i="18"/>
  <c r="C17" i="18"/>
  <c r="B17" i="18"/>
  <c r="A17" i="18"/>
  <c r="D16" i="18"/>
  <c r="C16" i="18"/>
  <c r="B16" i="18"/>
  <c r="A16" i="18"/>
  <c r="A13" i="18"/>
  <c r="A12" i="18"/>
  <c r="E11" i="18"/>
  <c r="D11" i="18"/>
  <c r="C11" i="18"/>
  <c r="B11" i="18"/>
  <c r="A11" i="18"/>
  <c r="E10" i="18"/>
  <c r="D10" i="18"/>
  <c r="C10" i="18"/>
  <c r="B10" i="18"/>
  <c r="A10" i="18"/>
  <c r="E9" i="18"/>
  <c r="D9" i="18"/>
  <c r="C9" i="18"/>
  <c r="B9" i="18"/>
  <c r="A9" i="18"/>
  <c r="E8" i="18"/>
  <c r="D8" i="18"/>
  <c r="C8" i="18"/>
  <c r="B8" i="18"/>
  <c r="A8" i="18"/>
  <c r="E7" i="18"/>
  <c r="D7" i="18"/>
  <c r="C7" i="18"/>
  <c r="B7" i="18"/>
  <c r="A7" i="18"/>
  <c r="E6" i="18"/>
  <c r="D6" i="18"/>
  <c r="C6" i="18"/>
  <c r="B6" i="18"/>
  <c r="A6" i="18"/>
  <c r="E5" i="18"/>
  <c r="D5" i="18"/>
  <c r="C5" i="18"/>
  <c r="B5" i="18"/>
  <c r="A5" i="18"/>
  <c r="E4" i="18"/>
  <c r="D4" i="18"/>
  <c r="C4" i="18"/>
  <c r="B4" i="18"/>
  <c r="A4" i="18"/>
  <c r="E3" i="18"/>
  <c r="D3" i="18"/>
  <c r="C3" i="18"/>
  <c r="B3" i="18"/>
  <c r="A3" i="18"/>
  <c r="E2" i="18"/>
  <c r="D2" i="18"/>
  <c r="C2" i="18"/>
  <c r="B2" i="18"/>
  <c r="A2" i="18"/>
  <c r="D1" i="18"/>
  <c r="C1" i="18"/>
  <c r="B1" i="18"/>
  <c r="G33" i="17"/>
  <c r="F33" i="17"/>
  <c r="E33" i="17"/>
  <c r="D33" i="17"/>
  <c r="C33" i="17"/>
  <c r="B33" i="17"/>
  <c r="G31" i="17"/>
  <c r="F31" i="17"/>
  <c r="E31" i="17"/>
  <c r="D31" i="17"/>
  <c r="C31" i="17"/>
  <c r="B31" i="17"/>
  <c r="G26" i="17"/>
  <c r="F26" i="17"/>
  <c r="E26" i="17"/>
  <c r="D26" i="17"/>
  <c r="C26" i="17"/>
  <c r="B26" i="17"/>
  <c r="A26" i="17"/>
  <c r="G25" i="17"/>
  <c r="F25" i="17"/>
  <c r="E25" i="17"/>
  <c r="D25" i="17"/>
  <c r="C25" i="17"/>
  <c r="B25" i="17"/>
  <c r="A25" i="17"/>
  <c r="G24" i="17"/>
  <c r="F24" i="17"/>
  <c r="E24" i="17"/>
  <c r="D24" i="17"/>
  <c r="C24" i="17"/>
  <c r="B24" i="17"/>
  <c r="A24" i="17"/>
  <c r="G23" i="17"/>
  <c r="F23" i="17"/>
  <c r="E23" i="17"/>
  <c r="D23" i="17"/>
  <c r="C23" i="17"/>
  <c r="B23" i="17"/>
  <c r="A23" i="17"/>
  <c r="G22" i="17"/>
  <c r="F22" i="17"/>
  <c r="E22" i="17"/>
  <c r="D22" i="17"/>
  <c r="C22" i="17"/>
  <c r="B22" i="17"/>
  <c r="A22" i="17"/>
  <c r="G21" i="17"/>
  <c r="F21" i="17"/>
  <c r="E21" i="17"/>
  <c r="D21" i="17"/>
  <c r="C21" i="17"/>
  <c r="B21" i="17"/>
  <c r="A21" i="17"/>
  <c r="G20" i="17"/>
  <c r="F20" i="17"/>
  <c r="E20" i="17"/>
  <c r="D20" i="17"/>
  <c r="C20" i="17"/>
  <c r="B20" i="17"/>
  <c r="A20" i="17"/>
  <c r="G19" i="17"/>
  <c r="F19" i="17"/>
  <c r="E19" i="17"/>
  <c r="D19" i="17"/>
  <c r="C19" i="17"/>
  <c r="B19" i="17"/>
  <c r="A19" i="17"/>
  <c r="G18" i="17"/>
  <c r="F18" i="17"/>
  <c r="E18" i="17"/>
  <c r="D18" i="17"/>
  <c r="C18" i="17"/>
  <c r="B18" i="17"/>
  <c r="A18" i="17"/>
  <c r="H14" i="17"/>
  <c r="G14" i="17"/>
  <c r="F14" i="17"/>
  <c r="E14" i="17"/>
  <c r="D14" i="17"/>
  <c r="C14" i="17"/>
  <c r="B14" i="17"/>
  <c r="H13" i="17"/>
  <c r="G13" i="17"/>
  <c r="F13" i="17"/>
  <c r="E13" i="17"/>
  <c r="D13" i="17"/>
  <c r="C13" i="17"/>
  <c r="B13" i="17"/>
  <c r="H12" i="17"/>
  <c r="G12" i="17"/>
  <c r="F12" i="17"/>
  <c r="E12" i="17"/>
  <c r="D12" i="17"/>
  <c r="C12" i="17"/>
  <c r="B12" i="17"/>
  <c r="H11" i="17"/>
  <c r="G11" i="17"/>
  <c r="F11" i="17"/>
  <c r="E11" i="17"/>
  <c r="D11" i="17"/>
  <c r="C11" i="17"/>
  <c r="B11" i="17"/>
  <c r="H10" i="17"/>
  <c r="G10" i="17"/>
  <c r="F10" i="17"/>
  <c r="E10" i="17"/>
  <c r="D10" i="17"/>
  <c r="C10" i="17"/>
  <c r="B10" i="17"/>
  <c r="H9" i="17"/>
  <c r="G9" i="17"/>
  <c r="F9" i="17"/>
  <c r="E9" i="17"/>
  <c r="D9" i="17"/>
  <c r="C9" i="17"/>
  <c r="B9" i="17"/>
  <c r="H8" i="17"/>
  <c r="G8" i="17"/>
  <c r="F8" i="17"/>
  <c r="E8" i="17"/>
  <c r="D8" i="17"/>
  <c r="C8" i="17"/>
  <c r="B8" i="17"/>
  <c r="H7" i="17"/>
  <c r="G7" i="17"/>
  <c r="F7" i="17"/>
  <c r="E7" i="17"/>
  <c r="D7" i="17"/>
  <c r="C7" i="17"/>
  <c r="B7" i="17"/>
  <c r="H6" i="17"/>
  <c r="G6" i="17"/>
  <c r="F6" i="17"/>
  <c r="E6" i="17"/>
  <c r="D6" i="17"/>
  <c r="C6" i="17"/>
  <c r="B6" i="17"/>
  <c r="H5" i="17"/>
  <c r="G5" i="17"/>
  <c r="F5" i="17"/>
  <c r="E5" i="17"/>
  <c r="D5" i="17"/>
  <c r="C5" i="17"/>
  <c r="B5" i="17"/>
  <c r="H4" i="17"/>
  <c r="G4" i="17"/>
  <c r="F4" i="17"/>
  <c r="E4" i="17"/>
  <c r="D4" i="17"/>
  <c r="C4" i="17"/>
  <c r="B4" i="17"/>
  <c r="H3" i="17"/>
  <c r="G3" i="17"/>
  <c r="F3" i="17"/>
  <c r="E3" i="17"/>
  <c r="D3" i="17"/>
  <c r="C3" i="17"/>
  <c r="B3" i="17"/>
  <c r="G2" i="17"/>
  <c r="F2" i="17"/>
  <c r="E2" i="17"/>
  <c r="D2" i="17"/>
  <c r="C2" i="17"/>
  <c r="B2" i="17"/>
  <c r="A40" i="9"/>
  <c r="A39" i="9"/>
  <c r="N36" i="9"/>
  <c r="M36" i="9"/>
  <c r="L36" i="9"/>
  <c r="K36" i="9"/>
  <c r="J36" i="9"/>
  <c r="I36" i="9"/>
  <c r="H36" i="9"/>
  <c r="A36" i="9"/>
  <c r="N35" i="9"/>
  <c r="M35" i="9"/>
  <c r="L35" i="9"/>
  <c r="K35" i="9"/>
  <c r="J35" i="9"/>
  <c r="I35" i="9"/>
  <c r="H35" i="9"/>
  <c r="A35" i="9"/>
  <c r="I34" i="9"/>
  <c r="H34" i="9"/>
  <c r="A32" i="9"/>
  <c r="A31" i="9"/>
  <c r="M28" i="9"/>
  <c r="L28" i="9"/>
  <c r="K28" i="9"/>
  <c r="J28" i="9"/>
  <c r="I28" i="9"/>
  <c r="H28" i="9"/>
  <c r="G28" i="9"/>
  <c r="A28" i="9"/>
  <c r="M27" i="9"/>
  <c r="L27" i="9"/>
  <c r="K27" i="9"/>
  <c r="J27" i="9"/>
  <c r="I27" i="9"/>
  <c r="H27" i="9"/>
  <c r="G27" i="9"/>
  <c r="A27" i="9"/>
  <c r="M23" i="9"/>
  <c r="L23" i="9"/>
  <c r="K23" i="9"/>
  <c r="J23" i="9"/>
  <c r="I23" i="9"/>
  <c r="H23" i="9"/>
  <c r="A23" i="9"/>
  <c r="M22" i="9"/>
  <c r="L22" i="9"/>
  <c r="K22" i="9"/>
  <c r="J22" i="9"/>
  <c r="I22" i="9"/>
  <c r="H22" i="9"/>
  <c r="M21" i="9"/>
  <c r="L21" i="9"/>
  <c r="K21" i="9"/>
  <c r="J21" i="9"/>
  <c r="I21" i="9"/>
  <c r="H21" i="9"/>
  <c r="M12" i="9"/>
  <c r="L12" i="9"/>
  <c r="K12" i="9"/>
  <c r="J12" i="9"/>
  <c r="I12" i="9"/>
  <c r="H12" i="9"/>
  <c r="G12" i="9"/>
  <c r="M11" i="9"/>
  <c r="L11" i="9"/>
  <c r="K11" i="9"/>
  <c r="J11" i="9"/>
  <c r="I11" i="9"/>
  <c r="H11" i="9"/>
  <c r="G11" i="9"/>
  <c r="M10" i="9"/>
  <c r="L10" i="9"/>
  <c r="K10" i="9"/>
  <c r="J10" i="9"/>
  <c r="I10" i="9"/>
  <c r="H10" i="9"/>
  <c r="G10" i="9"/>
  <c r="M9" i="9"/>
  <c r="L9" i="9"/>
  <c r="K9" i="9"/>
  <c r="J9" i="9"/>
  <c r="I9" i="9"/>
  <c r="H9" i="9"/>
  <c r="G9" i="9"/>
  <c r="M8" i="9"/>
  <c r="L8" i="9"/>
  <c r="K8" i="9"/>
  <c r="J8" i="9"/>
  <c r="I8" i="9"/>
  <c r="H8" i="9"/>
  <c r="G8" i="9"/>
  <c r="M7" i="9"/>
  <c r="L7" i="9"/>
  <c r="K7" i="9"/>
  <c r="J7" i="9"/>
  <c r="I7" i="9"/>
  <c r="H7" i="9"/>
  <c r="G7" i="9"/>
  <c r="M6" i="9"/>
  <c r="L6" i="9"/>
  <c r="K6" i="9"/>
  <c r="J6" i="9"/>
  <c r="I6" i="9"/>
  <c r="H6" i="9"/>
  <c r="G6" i="9"/>
  <c r="M5" i="9"/>
  <c r="L5" i="9"/>
  <c r="K5" i="9"/>
  <c r="J5" i="9"/>
  <c r="I5" i="9"/>
  <c r="H5" i="9"/>
  <c r="G5" i="9"/>
  <c r="M4" i="9"/>
  <c r="L4" i="9"/>
  <c r="K4" i="9"/>
  <c r="J4" i="9"/>
  <c r="I4" i="9"/>
  <c r="H4" i="9"/>
  <c r="G4" i="9"/>
  <c r="M3" i="9"/>
  <c r="L3" i="9"/>
  <c r="K3" i="9"/>
  <c r="J3" i="9"/>
  <c r="I3" i="9"/>
  <c r="H3" i="9"/>
  <c r="G3" i="9"/>
  <c r="M2" i="9"/>
  <c r="L2" i="9"/>
  <c r="K2" i="9"/>
  <c r="J2" i="9"/>
  <c r="I2" i="9"/>
  <c r="H2" i="9"/>
  <c r="C146" i="72"/>
  <c r="C145" i="72"/>
  <c r="C141" i="72"/>
  <c r="C140" i="72"/>
  <c r="C139" i="72"/>
  <c r="C138" i="72"/>
  <c r="C136" i="72"/>
  <c r="C135" i="72"/>
  <c r="C134" i="72"/>
  <c r="F189" i="72" s="1"/>
  <c r="C133" i="72"/>
  <c r="F188" i="72" s="1"/>
  <c r="C132" i="72"/>
  <c r="F187" i="72" s="1"/>
  <c r="C131" i="72"/>
  <c r="F186" i="72" s="1"/>
  <c r="C130" i="72"/>
  <c r="C129" i="72"/>
  <c r="F184" i="72" s="1"/>
  <c r="C128" i="72"/>
  <c r="F183" i="72" s="1"/>
  <c r="C127" i="72"/>
  <c r="F182" i="72" s="1"/>
  <c r="C126" i="72"/>
  <c r="F181" i="72" s="1"/>
  <c r="C125" i="72"/>
  <c r="F180" i="72" s="1"/>
  <c r="C124" i="72"/>
  <c r="F179" i="72" s="1"/>
  <c r="C123" i="72"/>
  <c r="F178" i="72" s="1"/>
  <c r="B122" i="72"/>
  <c r="J121" i="72"/>
  <c r="B121" i="72"/>
  <c r="J120" i="72"/>
  <c r="B120" i="72"/>
  <c r="J119" i="72"/>
  <c r="M119" i="72" s="1"/>
  <c r="B119" i="72"/>
  <c r="B118" i="72"/>
  <c r="J117" i="72"/>
  <c r="B117" i="72"/>
  <c r="J116" i="72"/>
  <c r="B116" i="72"/>
  <c r="J115" i="72"/>
  <c r="B115" i="72"/>
  <c r="B114" i="72"/>
  <c r="J113" i="72"/>
  <c r="B113" i="72"/>
  <c r="J112" i="72"/>
  <c r="B112" i="72"/>
  <c r="B111" i="72"/>
  <c r="J110" i="72"/>
  <c r="K110" i="72" s="1"/>
  <c r="L110" i="72" s="1"/>
  <c r="B110" i="72"/>
  <c r="J109" i="72"/>
  <c r="M109" i="72" s="1"/>
  <c r="B109" i="72"/>
  <c r="J108" i="72"/>
  <c r="B108" i="72"/>
  <c r="J107" i="72"/>
  <c r="B107" i="72"/>
  <c r="J106" i="72"/>
  <c r="M106" i="72" s="1"/>
  <c r="B106" i="72"/>
  <c r="B105" i="72"/>
  <c r="J104" i="72"/>
  <c r="B104" i="72"/>
  <c r="B103" i="72"/>
  <c r="J102" i="72"/>
  <c r="B102" i="72"/>
  <c r="J101" i="72"/>
  <c r="B101" i="72"/>
  <c r="B100" i="72"/>
  <c r="B99" i="72"/>
  <c r="J98" i="72"/>
  <c r="B98" i="72"/>
  <c r="J97" i="72"/>
  <c r="B97" i="72"/>
  <c r="J96" i="72"/>
  <c r="B96" i="72"/>
  <c r="J95" i="72"/>
  <c r="B95" i="72"/>
  <c r="J94" i="72"/>
  <c r="B94" i="72"/>
  <c r="J93" i="72"/>
  <c r="K93" i="72" s="1"/>
  <c r="L93" i="72" s="1"/>
  <c r="B93" i="72"/>
  <c r="J92" i="72"/>
  <c r="B92" i="72"/>
  <c r="J91" i="72"/>
  <c r="M91" i="72" s="1"/>
  <c r="B91" i="72"/>
  <c r="J90" i="72"/>
  <c r="M90" i="72" s="1"/>
  <c r="B90" i="72"/>
  <c r="B89" i="72"/>
  <c r="B88" i="72"/>
  <c r="J87" i="72"/>
  <c r="B87" i="72"/>
  <c r="J86" i="72"/>
  <c r="B86" i="72"/>
  <c r="B85" i="72"/>
  <c r="J84" i="72"/>
  <c r="B84" i="72"/>
  <c r="B83" i="72"/>
  <c r="J82" i="72"/>
  <c r="M82" i="72" s="1"/>
  <c r="B82" i="72"/>
  <c r="J81" i="72"/>
  <c r="B81" i="72"/>
  <c r="B80" i="72"/>
  <c r="J79" i="72"/>
  <c r="B79" i="72"/>
  <c r="B78" i="72"/>
  <c r="B77" i="72"/>
  <c r="J76" i="72"/>
  <c r="B76" i="72"/>
  <c r="B75" i="72"/>
  <c r="J74" i="72"/>
  <c r="M74" i="72" s="1"/>
  <c r="B74" i="72"/>
  <c r="J73" i="72"/>
  <c r="B73" i="72"/>
  <c r="B72" i="72"/>
  <c r="J71" i="72"/>
  <c r="M71" i="72" s="1"/>
  <c r="B71" i="72"/>
  <c r="J70" i="72"/>
  <c r="B70" i="72"/>
  <c r="J69" i="72"/>
  <c r="B69" i="72"/>
  <c r="J68" i="72"/>
  <c r="B68" i="72"/>
  <c r="B67" i="72"/>
  <c r="J66" i="72"/>
  <c r="B66" i="72"/>
  <c r="J65" i="72"/>
  <c r="B65" i="72"/>
  <c r="J64" i="72"/>
  <c r="B64" i="72"/>
  <c r="B63" i="72"/>
  <c r="J62" i="72"/>
  <c r="B62" i="72"/>
  <c r="J61" i="72"/>
  <c r="B61" i="72"/>
  <c r="J60" i="72"/>
  <c r="B60" i="72"/>
  <c r="J59" i="72"/>
  <c r="B59" i="72"/>
  <c r="J58" i="72"/>
  <c r="B58" i="72"/>
  <c r="J57" i="72"/>
  <c r="M57" i="72" s="1"/>
  <c r="B57" i="72"/>
  <c r="B56" i="72"/>
  <c r="J55" i="72"/>
  <c r="B55" i="72"/>
  <c r="J54" i="72"/>
  <c r="B54" i="72"/>
  <c r="J53" i="72"/>
  <c r="B53" i="72"/>
  <c r="J52" i="72"/>
  <c r="K52" i="72" s="1"/>
  <c r="L52" i="72" s="1"/>
  <c r="B52" i="72"/>
  <c r="J51" i="72"/>
  <c r="K51" i="72" s="1"/>
  <c r="L51" i="72" s="1"/>
  <c r="B51" i="72"/>
  <c r="J50" i="72"/>
  <c r="B50" i="72"/>
  <c r="J49" i="72"/>
  <c r="K49" i="72" s="1"/>
  <c r="L49" i="72" s="1"/>
  <c r="B49" i="72"/>
  <c r="B48" i="72"/>
  <c r="B47" i="72"/>
  <c r="J46" i="72"/>
  <c r="B46" i="72"/>
  <c r="B45" i="72"/>
  <c r="J44" i="72"/>
  <c r="B44" i="72"/>
  <c r="J43" i="72"/>
  <c r="B43" i="72"/>
  <c r="J42" i="72"/>
  <c r="K42" i="72" s="1"/>
  <c r="L42" i="72" s="1"/>
  <c r="B42" i="72"/>
  <c r="J41" i="72"/>
  <c r="B41" i="72"/>
  <c r="B40" i="72"/>
  <c r="J39" i="72"/>
  <c r="B39" i="72"/>
  <c r="J38" i="72"/>
  <c r="M38" i="72" s="1"/>
  <c r="B38" i="72"/>
  <c r="J37" i="72"/>
  <c r="B37" i="72"/>
  <c r="J36" i="72"/>
  <c r="B36" i="72"/>
  <c r="J35" i="72"/>
  <c r="B35" i="72"/>
  <c r="J34" i="72"/>
  <c r="B34" i="72"/>
  <c r="B33" i="72"/>
  <c r="J32" i="72"/>
  <c r="B32" i="72"/>
  <c r="J31" i="72"/>
  <c r="B31" i="72"/>
  <c r="B30" i="72"/>
  <c r="B29" i="72"/>
  <c r="J28" i="72"/>
  <c r="K28" i="72" s="1"/>
  <c r="L28" i="72" s="1"/>
  <c r="B28" i="72"/>
  <c r="J27" i="72"/>
  <c r="B27" i="72"/>
  <c r="J26" i="72"/>
  <c r="B26" i="72"/>
  <c r="J25" i="72"/>
  <c r="B25" i="72"/>
  <c r="J24" i="72"/>
  <c r="B24" i="72"/>
  <c r="B23" i="72"/>
  <c r="J22" i="72"/>
  <c r="B22" i="72"/>
  <c r="J21" i="72"/>
  <c r="B21" i="72"/>
  <c r="J20" i="72"/>
  <c r="B20" i="72"/>
  <c r="J19" i="72"/>
  <c r="B19" i="72"/>
  <c r="J18" i="72"/>
  <c r="M18" i="72" s="1"/>
  <c r="B18" i="72"/>
  <c r="J17" i="72"/>
  <c r="B17" i="72"/>
  <c r="J16" i="72"/>
  <c r="M16" i="72" s="1"/>
  <c r="B16" i="72"/>
  <c r="B15" i="72"/>
  <c r="J14" i="72"/>
  <c r="K14" i="72" s="1"/>
  <c r="L14" i="72" s="1"/>
  <c r="B14" i="72"/>
  <c r="J13" i="72"/>
  <c r="B13" i="72"/>
  <c r="B12" i="72"/>
  <c r="J11" i="72"/>
  <c r="B11" i="72"/>
  <c r="J10" i="72"/>
  <c r="B10" i="72"/>
  <c r="J9" i="72"/>
  <c r="M9" i="72" s="1"/>
  <c r="B9" i="72"/>
  <c r="J8" i="72"/>
  <c r="B8" i="72"/>
  <c r="J7" i="72"/>
  <c r="B7" i="72"/>
  <c r="J6" i="72"/>
  <c r="B6" i="72"/>
  <c r="J5" i="72"/>
  <c r="B5" i="72"/>
  <c r="J4" i="72"/>
  <c r="B4" i="72"/>
  <c r="B3" i="72"/>
  <c r="K60" i="11"/>
  <c r="J60" i="11"/>
  <c r="I60" i="11"/>
  <c r="H60" i="11"/>
  <c r="G60" i="11"/>
  <c r="F60" i="11"/>
  <c r="E60" i="11"/>
  <c r="D60" i="11"/>
  <c r="C60" i="11"/>
  <c r="B60" i="11"/>
  <c r="K59" i="11"/>
  <c r="J59" i="11"/>
  <c r="I59" i="11"/>
  <c r="H59" i="11"/>
  <c r="G59" i="11"/>
  <c r="F59" i="11"/>
  <c r="E59" i="11"/>
  <c r="D59" i="11"/>
  <c r="C59" i="11"/>
  <c r="B59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H56" i="11"/>
  <c r="M55" i="11"/>
  <c r="L55" i="11"/>
  <c r="I55" i="11"/>
  <c r="H55" i="11"/>
  <c r="M54" i="11"/>
  <c r="L54" i="11"/>
  <c r="I54" i="11"/>
  <c r="H54" i="11"/>
  <c r="M53" i="11"/>
  <c r="L53" i="11"/>
  <c r="I53" i="11"/>
  <c r="H53" i="11"/>
  <c r="H52" i="11"/>
  <c r="M51" i="11"/>
  <c r="L51" i="11"/>
  <c r="I51" i="11"/>
  <c r="H51" i="11"/>
  <c r="M50" i="11"/>
  <c r="L50" i="11"/>
  <c r="I50" i="11"/>
  <c r="M49" i="11"/>
  <c r="L49" i="11"/>
  <c r="I49" i="11"/>
  <c r="K47" i="11"/>
  <c r="J47" i="11"/>
  <c r="I47" i="11"/>
  <c r="H47" i="11"/>
  <c r="G47" i="11"/>
  <c r="F47" i="11"/>
  <c r="E47" i="11"/>
  <c r="D47" i="11"/>
  <c r="C47" i="11"/>
  <c r="B47" i="11"/>
  <c r="K46" i="11"/>
  <c r="J46" i="11"/>
  <c r="I46" i="11"/>
  <c r="H46" i="11"/>
  <c r="G46" i="11"/>
  <c r="F46" i="11"/>
  <c r="E46" i="11"/>
  <c r="D46" i="11"/>
  <c r="C46" i="11"/>
  <c r="B46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K43" i="11"/>
  <c r="J43" i="11"/>
  <c r="I43" i="11"/>
  <c r="H43" i="11"/>
  <c r="G43" i="11"/>
  <c r="F43" i="11"/>
  <c r="E43" i="11"/>
  <c r="D43" i="11"/>
  <c r="C43" i="11"/>
  <c r="B43" i="11"/>
  <c r="K42" i="11"/>
  <c r="J42" i="11"/>
  <c r="I42" i="11"/>
  <c r="H42" i="11"/>
  <c r="G42" i="11"/>
  <c r="F42" i="11"/>
  <c r="E42" i="11"/>
  <c r="D42" i="11"/>
  <c r="C42" i="11"/>
  <c r="B42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K38" i="11"/>
  <c r="J38" i="11"/>
  <c r="I38" i="11"/>
  <c r="H38" i="11"/>
  <c r="G38" i="11"/>
  <c r="F38" i="11"/>
  <c r="E38" i="11"/>
  <c r="D38" i="11"/>
  <c r="C38" i="11"/>
  <c r="B38" i="11"/>
  <c r="K37" i="11"/>
  <c r="J37" i="11"/>
  <c r="I37" i="11"/>
  <c r="H37" i="11"/>
  <c r="G37" i="11"/>
  <c r="F37" i="11"/>
  <c r="E37" i="11"/>
  <c r="D37" i="11"/>
  <c r="C37" i="11"/>
  <c r="B37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5" i="11"/>
  <c r="K33" i="11"/>
  <c r="J33" i="11"/>
  <c r="I33" i="11"/>
  <c r="H33" i="11"/>
  <c r="G33" i="11"/>
  <c r="F33" i="11"/>
  <c r="E33" i="11"/>
  <c r="D33" i="11"/>
  <c r="C33" i="11"/>
  <c r="B33" i="11"/>
  <c r="K32" i="11"/>
  <c r="J32" i="11"/>
  <c r="I32" i="11"/>
  <c r="H32" i="11"/>
  <c r="G32" i="11"/>
  <c r="F32" i="11"/>
  <c r="E32" i="11"/>
  <c r="D32" i="11"/>
  <c r="C32" i="11"/>
  <c r="B32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0" i="11"/>
  <c r="K28" i="11"/>
  <c r="J28" i="11"/>
  <c r="I28" i="11"/>
  <c r="H28" i="11"/>
  <c r="G28" i="11"/>
  <c r="F28" i="11"/>
  <c r="E28" i="11"/>
  <c r="D28" i="11"/>
  <c r="C28" i="11"/>
  <c r="B28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6" i="11"/>
  <c r="K24" i="11"/>
  <c r="J24" i="11"/>
  <c r="I24" i="11"/>
  <c r="H24" i="11"/>
  <c r="G24" i="11"/>
  <c r="F24" i="11"/>
  <c r="E24" i="11"/>
  <c r="D24" i="11"/>
  <c r="C24" i="11"/>
  <c r="B24" i="11"/>
  <c r="K23" i="11"/>
  <c r="J23" i="11"/>
  <c r="I23" i="11"/>
  <c r="H23" i="11"/>
  <c r="G23" i="11"/>
  <c r="F23" i="11"/>
  <c r="E23" i="11"/>
  <c r="D23" i="11"/>
  <c r="C23" i="11"/>
  <c r="B23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1" i="11"/>
  <c r="K19" i="11"/>
  <c r="J19" i="11"/>
  <c r="I19" i="11"/>
  <c r="H19" i="11"/>
  <c r="G19" i="11"/>
  <c r="F19" i="11"/>
  <c r="E19" i="11"/>
  <c r="D19" i="11"/>
  <c r="C19" i="11"/>
  <c r="B19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7" i="11"/>
  <c r="K15" i="11"/>
  <c r="J15" i="11"/>
  <c r="I15" i="11"/>
  <c r="H15" i="11"/>
  <c r="G15" i="11"/>
  <c r="F15" i="11"/>
  <c r="E15" i="11"/>
  <c r="D15" i="11"/>
  <c r="C15" i="11"/>
  <c r="B15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3" i="11"/>
  <c r="K10" i="11"/>
  <c r="J10" i="11"/>
  <c r="I10" i="11"/>
  <c r="H10" i="11"/>
  <c r="G10" i="11"/>
  <c r="F10" i="11"/>
  <c r="E10" i="11"/>
  <c r="D10" i="11"/>
  <c r="C10" i="11"/>
  <c r="B10" i="11"/>
  <c r="R21" i="73"/>
  <c r="O21" i="73"/>
  <c r="M21" i="73"/>
  <c r="J21" i="73"/>
  <c r="H21" i="73"/>
  <c r="F21" i="73"/>
  <c r="G14" i="73"/>
  <c r="F14" i="73"/>
  <c r="E14" i="73"/>
  <c r="D14" i="73"/>
  <c r="C14" i="73"/>
  <c r="B14" i="73"/>
  <c r="G13" i="73"/>
  <c r="F13" i="73"/>
  <c r="E13" i="73"/>
  <c r="D13" i="73"/>
  <c r="C13" i="73"/>
  <c r="B13" i="73"/>
  <c r="G12" i="73"/>
  <c r="F12" i="73"/>
  <c r="E12" i="73"/>
  <c r="D12" i="73"/>
  <c r="C12" i="73"/>
  <c r="B12" i="73"/>
  <c r="G11" i="73"/>
  <c r="F11" i="73"/>
  <c r="E11" i="73"/>
  <c r="D11" i="73"/>
  <c r="C11" i="73"/>
  <c r="B11" i="73"/>
  <c r="G10" i="73"/>
  <c r="F10" i="73"/>
  <c r="E10" i="73"/>
  <c r="D10" i="73"/>
  <c r="C10" i="73"/>
  <c r="B10" i="73"/>
  <c r="G9" i="73"/>
  <c r="F9" i="73"/>
  <c r="E9" i="73"/>
  <c r="D9" i="73"/>
  <c r="C9" i="73"/>
  <c r="B9" i="73"/>
  <c r="G8" i="73"/>
  <c r="F8" i="73"/>
  <c r="E8" i="73"/>
  <c r="D8" i="73"/>
  <c r="C8" i="73"/>
  <c r="B8" i="73"/>
  <c r="G7" i="73"/>
  <c r="F7" i="73"/>
  <c r="E7" i="73"/>
  <c r="D7" i="73"/>
  <c r="C7" i="73"/>
  <c r="B7" i="73"/>
  <c r="G6" i="73"/>
  <c r="F6" i="73"/>
  <c r="E6" i="73"/>
  <c r="D6" i="73"/>
  <c r="C6" i="73"/>
  <c r="B6" i="73"/>
  <c r="G5" i="73"/>
  <c r="F5" i="73"/>
  <c r="E5" i="73"/>
  <c r="D5" i="73"/>
  <c r="C5" i="73"/>
  <c r="B5" i="73"/>
  <c r="N28" i="72" l="1"/>
  <c r="O28" i="72" s="1"/>
  <c r="J47" i="72"/>
  <c r="M47" i="72" s="1"/>
  <c r="N35" i="72"/>
  <c r="O35" i="72" s="1"/>
  <c r="M28" i="72"/>
  <c r="N39" i="72"/>
  <c r="O39" i="72" s="1"/>
  <c r="N94" i="72"/>
  <c r="O94" i="72" s="1"/>
  <c r="N17" i="72"/>
  <c r="O17" i="72" s="1"/>
  <c r="M17" i="72"/>
  <c r="K17" i="72"/>
  <c r="L17" i="72" s="1"/>
  <c r="M21" i="72"/>
  <c r="K21" i="72"/>
  <c r="L21" i="72" s="1"/>
  <c r="M53" i="72"/>
  <c r="K53" i="72"/>
  <c r="L53" i="72" s="1"/>
  <c r="M64" i="72"/>
  <c r="K64" i="72"/>
  <c r="L64" i="72" s="1"/>
  <c r="N86" i="72"/>
  <c r="O86" i="72" s="1"/>
  <c r="M86" i="72"/>
  <c r="K86" i="72"/>
  <c r="L86" i="72" s="1"/>
  <c r="M97" i="72"/>
  <c r="K97" i="72"/>
  <c r="L97" i="72" s="1"/>
  <c r="M108" i="72"/>
  <c r="K108" i="72"/>
  <c r="L108" i="72" s="1"/>
  <c r="N87" i="72"/>
  <c r="O87" i="72" s="1"/>
  <c r="N98" i="72"/>
  <c r="O98" i="72" s="1"/>
  <c r="K98" i="72"/>
  <c r="L98" i="72" s="1"/>
  <c r="K74" i="72"/>
  <c r="L74" i="72" s="1"/>
  <c r="N6" i="72"/>
  <c r="O6" i="72" s="1"/>
  <c r="M6" i="72"/>
  <c r="N91" i="72"/>
  <c r="O91" i="72" s="1"/>
  <c r="I158" i="72"/>
  <c r="C9" i="9" s="1"/>
  <c r="J75" i="72"/>
  <c r="N76" i="72" s="1"/>
  <c r="O76" i="72" s="1"/>
  <c r="J85" i="72"/>
  <c r="K6" i="72"/>
  <c r="L6" i="72" s="1"/>
  <c r="K119" i="72"/>
  <c r="L119" i="72" s="1"/>
  <c r="N70" i="72"/>
  <c r="O70" i="72" s="1"/>
  <c r="M70" i="72"/>
  <c r="K70" i="72"/>
  <c r="L70" i="72" s="1"/>
  <c r="N36" i="72"/>
  <c r="O36" i="72" s="1"/>
  <c r="M36" i="72"/>
  <c r="K36" i="72"/>
  <c r="L36" i="72" s="1"/>
  <c r="N47" i="72"/>
  <c r="O47" i="72" s="1"/>
  <c r="M19" i="72"/>
  <c r="N19" i="72"/>
  <c r="O19" i="72" s="1"/>
  <c r="K19" i="72"/>
  <c r="L19" i="72" s="1"/>
  <c r="N120" i="72"/>
  <c r="O120" i="72" s="1"/>
  <c r="M120" i="72"/>
  <c r="K120" i="72"/>
  <c r="L120" i="72" s="1"/>
  <c r="N58" i="72"/>
  <c r="O58" i="72" s="1"/>
  <c r="M58" i="72"/>
  <c r="K58" i="72"/>
  <c r="L58" i="72" s="1"/>
  <c r="M113" i="72"/>
  <c r="K113" i="72"/>
  <c r="L113" i="72" s="1"/>
  <c r="N113" i="72"/>
  <c r="O113" i="72" s="1"/>
  <c r="M13" i="72"/>
  <c r="K13" i="72"/>
  <c r="L13" i="72" s="1"/>
  <c r="M41" i="72"/>
  <c r="K41" i="72"/>
  <c r="L41" i="72" s="1"/>
  <c r="N116" i="72"/>
  <c r="O116" i="72" s="1"/>
  <c r="M116" i="72"/>
  <c r="K116" i="72"/>
  <c r="L116" i="72" s="1"/>
  <c r="K24" i="72"/>
  <c r="L24" i="72" s="1"/>
  <c r="M24" i="72"/>
  <c r="M7" i="72"/>
  <c r="N7" i="72"/>
  <c r="O7" i="72" s="1"/>
  <c r="K7" i="72"/>
  <c r="L7" i="72" s="1"/>
  <c r="M46" i="72"/>
  <c r="K46" i="72"/>
  <c r="L46" i="72" s="1"/>
  <c r="M92" i="72"/>
  <c r="N92" i="72"/>
  <c r="O92" i="72" s="1"/>
  <c r="N93" i="72"/>
  <c r="O93" i="72" s="1"/>
  <c r="K92" i="72"/>
  <c r="L92" i="72" s="1"/>
  <c r="N65" i="72"/>
  <c r="O65" i="72" s="1"/>
  <c r="M65" i="72"/>
  <c r="K65" i="72"/>
  <c r="L65" i="72" s="1"/>
  <c r="M50" i="72"/>
  <c r="K50" i="72"/>
  <c r="L50" i="72" s="1"/>
  <c r="M101" i="72"/>
  <c r="K101" i="72"/>
  <c r="L101" i="72" s="1"/>
  <c r="B154" i="72"/>
  <c r="K81" i="72"/>
  <c r="L81" i="72" s="1"/>
  <c r="K87" i="72"/>
  <c r="L87" i="72" s="1"/>
  <c r="N117" i="72"/>
  <c r="O117" i="72" s="1"/>
  <c r="M117" i="72"/>
  <c r="K117" i="72"/>
  <c r="L117" i="72" s="1"/>
  <c r="J29" i="72"/>
  <c r="N102" i="72"/>
  <c r="O102" i="72" s="1"/>
  <c r="K102" i="72"/>
  <c r="L102" i="72" s="1"/>
  <c r="M8" i="72"/>
  <c r="N8" i="72"/>
  <c r="O8" i="72" s="1"/>
  <c r="K8" i="72"/>
  <c r="L8" i="72" s="1"/>
  <c r="M44" i="72"/>
  <c r="K44" i="72"/>
  <c r="L44" i="72" s="1"/>
  <c r="M96" i="72"/>
  <c r="N97" i="72"/>
  <c r="O97" i="72" s="1"/>
  <c r="N96" i="72"/>
  <c r="O96" i="72" s="1"/>
  <c r="J103" i="72"/>
  <c r="N37" i="72"/>
  <c r="O37" i="72" s="1"/>
  <c r="M37" i="72"/>
  <c r="K37" i="72"/>
  <c r="L37" i="72" s="1"/>
  <c r="K68" i="72"/>
  <c r="L68" i="72" s="1"/>
  <c r="M68" i="72"/>
  <c r="K96" i="72"/>
  <c r="L96" i="72" s="1"/>
  <c r="M31" i="72"/>
  <c r="K60" i="72"/>
  <c r="L60" i="72" s="1"/>
  <c r="N60" i="72"/>
  <c r="O60" i="72" s="1"/>
  <c r="J83" i="72"/>
  <c r="N84" i="72" s="1"/>
  <c r="O84" i="72" s="1"/>
  <c r="K104" i="72"/>
  <c r="L104" i="72" s="1"/>
  <c r="N104" i="72"/>
  <c r="O104" i="72" s="1"/>
  <c r="K31" i="72"/>
  <c r="L31" i="72" s="1"/>
  <c r="M60" i="72"/>
  <c r="N69" i="72"/>
  <c r="O69" i="72" s="1"/>
  <c r="K69" i="72"/>
  <c r="L69" i="72" s="1"/>
  <c r="M104" i="72"/>
  <c r="M112" i="72"/>
  <c r="K112" i="72"/>
  <c r="L112" i="72" s="1"/>
  <c r="J105" i="72"/>
  <c r="K91" i="72"/>
  <c r="L91" i="72" s="1"/>
  <c r="M11" i="72"/>
  <c r="K11" i="72"/>
  <c r="L11" i="72" s="1"/>
  <c r="N11" i="72"/>
  <c r="O11" i="72" s="1"/>
  <c r="N62" i="72"/>
  <c r="O62" i="72" s="1"/>
  <c r="M62" i="72"/>
  <c r="K62" i="72"/>
  <c r="L62" i="72" s="1"/>
  <c r="I155" i="72"/>
  <c r="K47" i="72"/>
  <c r="L47" i="72" s="1"/>
  <c r="B157" i="72"/>
  <c r="N51" i="72"/>
  <c r="O51" i="72" s="1"/>
  <c r="K25" i="72"/>
  <c r="L25" i="72" s="1"/>
  <c r="N25" i="72"/>
  <c r="O25" i="72" s="1"/>
  <c r="M25" i="72"/>
  <c r="J40" i="72"/>
  <c r="J63" i="72"/>
  <c r="M107" i="72"/>
  <c r="N107" i="72"/>
  <c r="O107" i="72" s="1"/>
  <c r="N108" i="72"/>
  <c r="O108" i="72" s="1"/>
  <c r="K107" i="72"/>
  <c r="L107" i="72" s="1"/>
  <c r="N121" i="72"/>
  <c r="O121" i="72" s="1"/>
  <c r="M121" i="72"/>
  <c r="K121" i="72"/>
  <c r="L121" i="72" s="1"/>
  <c r="N26" i="72"/>
  <c r="O26" i="72" s="1"/>
  <c r="M26" i="72"/>
  <c r="K26" i="72"/>
  <c r="L26" i="72" s="1"/>
  <c r="N27" i="72"/>
  <c r="O27" i="72" s="1"/>
  <c r="K115" i="72"/>
  <c r="L115" i="72" s="1"/>
  <c r="J48" i="72"/>
  <c r="B156" i="72"/>
  <c r="M115" i="72"/>
  <c r="K35" i="72"/>
  <c r="L35" i="72" s="1"/>
  <c r="B155" i="72"/>
  <c r="N50" i="72"/>
  <c r="O50" i="72" s="1"/>
  <c r="B159" i="72"/>
  <c r="M73" i="72"/>
  <c r="K73" i="72"/>
  <c r="L73" i="72" s="1"/>
  <c r="N74" i="72"/>
  <c r="O74" i="72" s="1"/>
  <c r="N66" i="72"/>
  <c r="O66" i="72" s="1"/>
  <c r="M66" i="72"/>
  <c r="K66" i="72"/>
  <c r="L66" i="72" s="1"/>
  <c r="M81" i="72"/>
  <c r="M87" i="72"/>
  <c r="K109" i="72"/>
  <c r="L109" i="72" s="1"/>
  <c r="I154" i="72"/>
  <c r="N95" i="72"/>
  <c r="O95" i="72" s="1"/>
  <c r="M95" i="72"/>
  <c r="K95" i="72"/>
  <c r="L95" i="72" s="1"/>
  <c r="M102" i="72"/>
  <c r="N110" i="72"/>
  <c r="O110" i="72" s="1"/>
  <c r="M22" i="72"/>
  <c r="N22" i="72"/>
  <c r="O22" i="72" s="1"/>
  <c r="K22" i="72"/>
  <c r="L22" i="72" s="1"/>
  <c r="J30" i="72"/>
  <c r="M52" i="72"/>
  <c r="N52" i="72"/>
  <c r="O52" i="72" s="1"/>
  <c r="N53" i="72"/>
  <c r="O53" i="72" s="1"/>
  <c r="K82" i="72"/>
  <c r="L82" i="72" s="1"/>
  <c r="N82" i="72"/>
  <c r="O82" i="72" s="1"/>
  <c r="J88" i="72"/>
  <c r="N109" i="72"/>
  <c r="O109" i="72" s="1"/>
  <c r="N10" i="72"/>
  <c r="O10" i="72" s="1"/>
  <c r="M10" i="72"/>
  <c r="K10" i="72"/>
  <c r="L10" i="72" s="1"/>
  <c r="N32" i="72"/>
  <c r="O32" i="72" s="1"/>
  <c r="M32" i="72"/>
  <c r="K32" i="72"/>
  <c r="L32" i="72" s="1"/>
  <c r="N61" i="72"/>
  <c r="O61" i="72" s="1"/>
  <c r="M61" i="72"/>
  <c r="K61" i="72"/>
  <c r="L61" i="72" s="1"/>
  <c r="M69" i="72"/>
  <c r="M76" i="72"/>
  <c r="K76" i="72"/>
  <c r="L76" i="72" s="1"/>
  <c r="N18" i="72"/>
  <c r="O18" i="72" s="1"/>
  <c r="K18" i="72"/>
  <c r="L18" i="72" s="1"/>
  <c r="J77" i="72"/>
  <c r="N14" i="72"/>
  <c r="O14" i="72" s="1"/>
  <c r="M14" i="72"/>
  <c r="M35" i="72"/>
  <c r="K57" i="72"/>
  <c r="L57" i="72" s="1"/>
  <c r="I159" i="72"/>
  <c r="N44" i="72"/>
  <c r="O44" i="72" s="1"/>
  <c r="B152" i="72"/>
  <c r="M54" i="72"/>
  <c r="N54" i="72"/>
  <c r="O54" i="72" s="1"/>
  <c r="F185" i="72"/>
  <c r="C142" i="72"/>
  <c r="B153" i="72"/>
  <c r="M20" i="72"/>
  <c r="N20" i="72"/>
  <c r="O20" i="72" s="1"/>
  <c r="N21" i="72"/>
  <c r="O21" i="72" s="1"/>
  <c r="M49" i="72"/>
  <c r="K54" i="72"/>
  <c r="L54" i="72" s="1"/>
  <c r="I160" i="72"/>
  <c r="N43" i="72"/>
  <c r="O43" i="72" s="1"/>
  <c r="M43" i="72"/>
  <c r="K43" i="72"/>
  <c r="L43" i="72" s="1"/>
  <c r="K55" i="72"/>
  <c r="L55" i="72" s="1"/>
  <c r="N55" i="72"/>
  <c r="O55" i="72" s="1"/>
  <c r="J111" i="72"/>
  <c r="J78" i="72"/>
  <c r="N79" i="72" s="1"/>
  <c r="O79" i="72" s="1"/>
  <c r="K90" i="72"/>
  <c r="L90" i="72" s="1"/>
  <c r="B160" i="72"/>
  <c r="J100" i="72"/>
  <c r="I153" i="72"/>
  <c r="K20" i="72"/>
  <c r="L20" i="72" s="1"/>
  <c r="K71" i="72"/>
  <c r="L71" i="72" s="1"/>
  <c r="N71" i="72"/>
  <c r="O71" i="72" s="1"/>
  <c r="J99" i="72"/>
  <c r="M110" i="72"/>
  <c r="K4" i="72"/>
  <c r="L4" i="72" s="1"/>
  <c r="J15" i="72"/>
  <c r="B161" i="72"/>
  <c r="M4" i="72"/>
  <c r="M55" i="72"/>
  <c r="J72" i="72"/>
  <c r="N73" i="72" s="1"/>
  <c r="O73" i="72" s="1"/>
  <c r="M84" i="72"/>
  <c r="K84" i="72"/>
  <c r="L84" i="72" s="1"/>
  <c r="K106" i="72"/>
  <c r="L106" i="72" s="1"/>
  <c r="K5" i="72"/>
  <c r="L5" i="72" s="1"/>
  <c r="N5" i="72"/>
  <c r="O5" i="72" s="1"/>
  <c r="J56" i="72"/>
  <c r="M5" i="72"/>
  <c r="K27" i="72"/>
  <c r="L27" i="72" s="1"/>
  <c r="M27" i="72"/>
  <c r="K39" i="72"/>
  <c r="L39" i="72" s="1"/>
  <c r="K79" i="72"/>
  <c r="L79" i="72" s="1"/>
  <c r="J122" i="72"/>
  <c r="I161" i="72"/>
  <c r="M34" i="72"/>
  <c r="K34" i="72"/>
  <c r="L34" i="72" s="1"/>
  <c r="M51" i="72"/>
  <c r="M79" i="72"/>
  <c r="M39" i="72"/>
  <c r="J45" i="72"/>
  <c r="J118" i="72"/>
  <c r="I156" i="72"/>
  <c r="J80" i="72"/>
  <c r="N81" i="72" s="1"/>
  <c r="O81" i="72" s="1"/>
  <c r="I152" i="72"/>
  <c r="J3" i="72"/>
  <c r="N4" i="72" s="1"/>
  <c r="O4" i="72" s="1"/>
  <c r="N9" i="72"/>
  <c r="O9" i="72" s="1"/>
  <c r="K94" i="72"/>
  <c r="L94" i="72" s="1"/>
  <c r="K9" i="72"/>
  <c r="L9" i="72" s="1"/>
  <c r="J33" i="72"/>
  <c r="N34" i="72" s="1"/>
  <c r="O34" i="72" s="1"/>
  <c r="M98" i="72"/>
  <c r="C137" i="72"/>
  <c r="J23" i="72"/>
  <c r="N59" i="72"/>
  <c r="O59" i="72" s="1"/>
  <c r="M59" i="72"/>
  <c r="K59" i="72"/>
  <c r="L59" i="72" s="1"/>
  <c r="M94" i="72"/>
  <c r="J114" i="72"/>
  <c r="N42" i="72"/>
  <c r="O42" i="72" s="1"/>
  <c r="I157" i="72"/>
  <c r="J67" i="72"/>
  <c r="B158" i="72"/>
  <c r="M93" i="72"/>
  <c r="J12" i="72"/>
  <c r="N13" i="72" s="1"/>
  <c r="O13" i="72" s="1"/>
  <c r="K38" i="72"/>
  <c r="L38" i="72" s="1"/>
  <c r="N38" i="72"/>
  <c r="O38" i="72" s="1"/>
  <c r="M42" i="72"/>
  <c r="J89" i="72"/>
  <c r="K16" i="72"/>
  <c r="L16" i="72" s="1"/>
  <c r="C143" i="72"/>
  <c r="F190" i="72"/>
  <c r="C144" i="72"/>
  <c r="H5" i="11" l="1"/>
  <c r="M85" i="72"/>
  <c r="K85" i="72"/>
  <c r="L85" i="72" s="1"/>
  <c r="N85" i="72"/>
  <c r="O85" i="72" s="1"/>
  <c r="K75" i="72"/>
  <c r="L75" i="72" s="1"/>
  <c r="M75" i="72"/>
  <c r="N75" i="72"/>
  <c r="O75" i="72" s="1"/>
  <c r="M45" i="72"/>
  <c r="K45" i="72"/>
  <c r="L45" i="72" s="1"/>
  <c r="N45" i="72"/>
  <c r="O45" i="72" s="1"/>
  <c r="M72" i="72"/>
  <c r="K72" i="72"/>
  <c r="L72" i="72" s="1"/>
  <c r="N72" i="72"/>
  <c r="O72" i="72" s="1"/>
  <c r="N40" i="72"/>
  <c r="O40" i="72" s="1"/>
  <c r="M40" i="72"/>
  <c r="K40" i="72"/>
  <c r="L40" i="72" s="1"/>
  <c r="M30" i="72"/>
  <c r="N30" i="72"/>
  <c r="O30" i="72" s="1"/>
  <c r="K30" i="72"/>
  <c r="L30" i="72" s="1"/>
  <c r="N31" i="72"/>
  <c r="O31" i="72" s="1"/>
  <c r="M67" i="72"/>
  <c r="K67" i="72"/>
  <c r="L67" i="72" s="1"/>
  <c r="N67" i="72"/>
  <c r="O67" i="72" s="1"/>
  <c r="B12" i="9"/>
  <c r="F12" i="9" s="1"/>
  <c r="K4" i="11"/>
  <c r="E4" i="11"/>
  <c r="B6" i="9"/>
  <c r="F6" i="9" s="1"/>
  <c r="N83" i="72"/>
  <c r="O83" i="72" s="1"/>
  <c r="M83" i="72"/>
  <c r="K83" i="72"/>
  <c r="L83" i="72" s="1"/>
  <c r="K5" i="11"/>
  <c r="C12" i="9"/>
  <c r="M29" i="72"/>
  <c r="K29" i="72"/>
  <c r="L29" i="72" s="1"/>
  <c r="N29" i="72"/>
  <c r="O29" i="72" s="1"/>
  <c r="B5" i="9"/>
  <c r="F5" i="9" s="1"/>
  <c r="D4" i="11"/>
  <c r="C3" i="9"/>
  <c r="B5" i="11"/>
  <c r="I165" i="72"/>
  <c r="N77" i="72"/>
  <c r="O77" i="72" s="1"/>
  <c r="K77" i="72"/>
  <c r="L77" i="72" s="1"/>
  <c r="M77" i="72"/>
  <c r="N15" i="72"/>
  <c r="O15" i="72" s="1"/>
  <c r="M15" i="72"/>
  <c r="K15" i="72"/>
  <c r="L15" i="72" s="1"/>
  <c r="N46" i="72"/>
  <c r="O46" i="72" s="1"/>
  <c r="B8" i="9"/>
  <c r="F8" i="9" s="1"/>
  <c r="G4" i="11"/>
  <c r="M122" i="72"/>
  <c r="K122" i="72"/>
  <c r="L122" i="72" s="1"/>
  <c r="N122" i="72"/>
  <c r="O122" i="72" s="1"/>
  <c r="N99" i="72"/>
  <c r="O99" i="72" s="1"/>
  <c r="M99" i="72"/>
  <c r="K99" i="72"/>
  <c r="L99" i="72" s="1"/>
  <c r="M89" i="72"/>
  <c r="K89" i="72"/>
  <c r="L89" i="72" s="1"/>
  <c r="N90" i="72"/>
  <c r="O90" i="72" s="1"/>
  <c r="N89" i="72"/>
  <c r="O89" i="72" s="1"/>
  <c r="N41" i="72"/>
  <c r="O41" i="72" s="1"/>
  <c r="H4" i="11"/>
  <c r="H6" i="11" s="1"/>
  <c r="B9" i="9"/>
  <c r="F9" i="9" s="1"/>
  <c r="M118" i="72"/>
  <c r="K118" i="72"/>
  <c r="L118" i="72" s="1"/>
  <c r="N118" i="72"/>
  <c r="O118" i="72" s="1"/>
  <c r="N119" i="72"/>
  <c r="O119" i="72" s="1"/>
  <c r="C8" i="9"/>
  <c r="G5" i="11"/>
  <c r="G6" i="11" s="1"/>
  <c r="M63" i="72"/>
  <c r="K63" i="72"/>
  <c r="L63" i="72" s="1"/>
  <c r="N64" i="72"/>
  <c r="O64" i="72" s="1"/>
  <c r="N63" i="72"/>
  <c r="O63" i="72" s="1"/>
  <c r="I4" i="11"/>
  <c r="B10" i="9"/>
  <c r="F10" i="9" s="1"/>
  <c r="K114" i="72"/>
  <c r="L114" i="72" s="1"/>
  <c r="M114" i="72"/>
  <c r="N114" i="72"/>
  <c r="O114" i="72" s="1"/>
  <c r="J5" i="11"/>
  <c r="J6" i="11" s="1"/>
  <c r="C11" i="9"/>
  <c r="F4" i="11"/>
  <c r="B7" i="9"/>
  <c r="F7" i="9" s="1"/>
  <c r="M23" i="72"/>
  <c r="K23" i="72"/>
  <c r="L23" i="72" s="1"/>
  <c r="N23" i="72"/>
  <c r="O23" i="72" s="1"/>
  <c r="M48" i="72"/>
  <c r="K48" i="72"/>
  <c r="L48" i="72" s="1"/>
  <c r="N48" i="72"/>
  <c r="O48" i="72" s="1"/>
  <c r="N49" i="72"/>
  <c r="O49" i="72" s="1"/>
  <c r="I163" i="72"/>
  <c r="B4" i="9"/>
  <c r="F4" i="9" s="1"/>
  <c r="C4" i="11"/>
  <c r="N115" i="72"/>
  <c r="O115" i="72" s="1"/>
  <c r="E5" i="11"/>
  <c r="C6" i="9"/>
  <c r="I162" i="72"/>
  <c r="N16" i="72"/>
  <c r="O16" i="72" s="1"/>
  <c r="K33" i="72"/>
  <c r="L33" i="72" s="1"/>
  <c r="N33" i="72"/>
  <c r="O33" i="72" s="1"/>
  <c r="M33" i="72"/>
  <c r="C4" i="9"/>
  <c r="C5" i="11"/>
  <c r="C5" i="9"/>
  <c r="D5" i="9" s="1"/>
  <c r="E5" i="9" s="1"/>
  <c r="D5" i="11"/>
  <c r="M100" i="72"/>
  <c r="K100" i="72"/>
  <c r="L100" i="72" s="1"/>
  <c r="N100" i="72"/>
  <c r="O100" i="72" s="1"/>
  <c r="B3" i="9"/>
  <c r="F3" i="9" s="1"/>
  <c r="B165" i="72"/>
  <c r="B4" i="11"/>
  <c r="N68" i="72"/>
  <c r="O68" i="72" s="1"/>
  <c r="N24" i="72"/>
  <c r="O24" i="72" s="1"/>
  <c r="M56" i="72"/>
  <c r="K56" i="72"/>
  <c r="L56" i="72" s="1"/>
  <c r="N56" i="72"/>
  <c r="O56" i="72" s="1"/>
  <c r="J4" i="11"/>
  <c r="B11" i="9"/>
  <c r="F11" i="9" s="1"/>
  <c r="I150" i="72"/>
  <c r="C10" i="9"/>
  <c r="I5" i="11"/>
  <c r="K3" i="72"/>
  <c r="L3" i="72" s="1"/>
  <c r="M3" i="72"/>
  <c r="M78" i="72"/>
  <c r="K78" i="72"/>
  <c r="L78" i="72" s="1"/>
  <c r="N78" i="72"/>
  <c r="O78" i="72" s="1"/>
  <c r="N105" i="72"/>
  <c r="O105" i="72" s="1"/>
  <c r="M105" i="72"/>
  <c r="K105" i="72"/>
  <c r="L105" i="72" s="1"/>
  <c r="N101" i="72"/>
  <c r="O101" i="72" s="1"/>
  <c r="M12" i="72"/>
  <c r="K12" i="72"/>
  <c r="L12" i="72" s="1"/>
  <c r="N12" i="72"/>
  <c r="O12" i="72" s="1"/>
  <c r="M111" i="72"/>
  <c r="K111" i="72"/>
  <c r="L111" i="72" s="1"/>
  <c r="N111" i="72"/>
  <c r="O111" i="72" s="1"/>
  <c r="N112" i="72"/>
  <c r="O112" i="72" s="1"/>
  <c r="N57" i="72"/>
  <c r="O57" i="72" s="1"/>
  <c r="M88" i="72"/>
  <c r="K88" i="72"/>
  <c r="L88" i="72" s="1"/>
  <c r="N88" i="72"/>
  <c r="O88" i="72" s="1"/>
  <c r="N80" i="72"/>
  <c r="O80" i="72" s="1"/>
  <c r="M80" i="72"/>
  <c r="K80" i="72"/>
  <c r="L80" i="72" s="1"/>
  <c r="N106" i="72"/>
  <c r="O106" i="72" s="1"/>
  <c r="N103" i="72"/>
  <c r="O103" i="72" s="1"/>
  <c r="M103" i="72"/>
  <c r="K103" i="72"/>
  <c r="L103" i="72" s="1"/>
  <c r="C7" i="9"/>
  <c r="D7" i="9" s="1"/>
  <c r="E7" i="9" s="1"/>
  <c r="F5" i="11"/>
  <c r="F6" i="11" s="1"/>
  <c r="D6" i="11" l="1"/>
  <c r="D11" i="9"/>
  <c r="E11" i="9" s="1"/>
  <c r="D10" i="9"/>
  <c r="E10" i="9" s="1"/>
  <c r="I6" i="11"/>
  <c r="B6" i="11"/>
  <c r="I167" i="72"/>
  <c r="O123" i="72"/>
  <c r="J165" i="72"/>
  <c r="D4" i="9"/>
  <c r="E4" i="9" s="1"/>
  <c r="L123" i="72"/>
  <c r="D12" i="9"/>
  <c r="E12" i="9" s="1"/>
  <c r="C13" i="9"/>
  <c r="L5" i="11"/>
  <c r="K6" i="11"/>
  <c r="C6" i="11"/>
  <c r="M123" i="72"/>
  <c r="R29" i="72" s="1"/>
  <c r="J167" i="72"/>
  <c r="D6" i="9"/>
  <c r="E6" i="9" s="1"/>
  <c r="D8" i="9"/>
  <c r="E8" i="9" s="1"/>
  <c r="F16" i="9"/>
  <c r="E6" i="11"/>
  <c r="D9" i="9"/>
  <c r="E9" i="9" s="1"/>
  <c r="C14" i="9"/>
  <c r="M5" i="11"/>
  <c r="D3" i="9"/>
  <c r="E3" i="9" s="1"/>
  <c r="C18" i="9" l="1"/>
  <c r="G13" i="9"/>
  <c r="C19" i="9"/>
  <c r="G14" i="9"/>
  <c r="G31" i="9" l="1"/>
  <c r="G35" i="9" s="1"/>
  <c r="L10" i="11"/>
  <c r="G18" i="9"/>
  <c r="L46" i="11"/>
  <c r="G32" i="9"/>
  <c r="G36" i="9" s="1"/>
  <c r="M46" i="11"/>
  <c r="G19" i="9"/>
  <c r="M10" i="11"/>
  <c r="J40" i="9" l="1"/>
  <c r="J32" i="9" s="1"/>
  <c r="I40" i="9"/>
  <c r="I32" i="9" s="1"/>
  <c r="M19" i="11" s="1"/>
  <c r="H40" i="9"/>
  <c r="L40" i="9"/>
  <c r="L32" i="9" s="1"/>
  <c r="M40" i="9"/>
  <c r="M32" i="9" s="1"/>
  <c r="K40" i="9"/>
  <c r="K32" i="9" s="1"/>
  <c r="M28" i="11" s="1"/>
  <c r="K39" i="9"/>
  <c r="K31" i="9" s="1"/>
  <c r="L28" i="11" s="1"/>
  <c r="J39" i="9"/>
  <c r="J31" i="9" s="1"/>
  <c r="H39" i="9"/>
  <c r="I39" i="9"/>
  <c r="I31" i="9" s="1"/>
  <c r="L19" i="11" s="1"/>
  <c r="M39" i="9"/>
  <c r="M31" i="9" s="1"/>
  <c r="L39" i="9"/>
  <c r="L31" i="9" s="1"/>
  <c r="L32" i="11" l="1"/>
  <c r="C12" i="18"/>
  <c r="L33" i="11" s="1"/>
  <c r="L23" i="11"/>
  <c r="B12" i="18"/>
  <c r="D12" i="18"/>
  <c r="L38" i="11" s="1"/>
  <c r="L37" i="11"/>
  <c r="G39" i="9"/>
  <c r="H31" i="9"/>
  <c r="M37" i="11"/>
  <c r="D13" i="18"/>
  <c r="M38" i="11" s="1"/>
  <c r="M32" i="11"/>
  <c r="C13" i="18"/>
  <c r="M33" i="11" s="1"/>
  <c r="G40" i="9"/>
  <c r="H32" i="9"/>
  <c r="B13" i="18"/>
  <c r="M23" i="11"/>
  <c r="L15" i="11" l="1"/>
  <c r="N31" i="9"/>
  <c r="E12" i="18"/>
  <c r="L24" i="11"/>
  <c r="L43" i="11" s="1"/>
  <c r="N32" i="9"/>
  <c r="O32" i="9" s="1"/>
  <c r="P32" i="9" s="1"/>
  <c r="M15" i="11"/>
  <c r="M24" i="11"/>
  <c r="M43" i="11" s="1"/>
  <c r="E13" i="18"/>
  <c r="H49" i="11" l="1"/>
  <c r="L47" i="11"/>
  <c r="L60" i="11" s="1"/>
  <c r="H50" i="11"/>
  <c r="M47" i="11"/>
  <c r="M60" i="11" s="1"/>
  <c r="O15" i="11"/>
  <c r="M62" i="11"/>
  <c r="M42" i="11"/>
  <c r="M59" i="11" s="1"/>
  <c r="N15" i="11"/>
  <c r="L62" i="11"/>
  <c r="L42" i="11"/>
  <c r="L59" i="11" s="1"/>
</calcChain>
</file>

<file path=xl/sharedStrings.xml><?xml version="1.0" encoding="utf-8"?>
<sst xmlns="http://schemas.openxmlformats.org/spreadsheetml/2006/main" count="292" uniqueCount="130">
  <si>
    <t>Loss Factor</t>
  </si>
  <si>
    <t>Total Billed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</si>
  <si>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</si>
  <si>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</si>
  <si>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</si>
  <si>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</si>
  <si>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</si>
  <si>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</si>
  <si>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</si>
  <si>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</si>
  <si>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</si>
  <si>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</si>
  <si>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</si>
  <si>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</si>
  <si>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</si>
  <si>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</si>
  <si>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</si>
  <si>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</si>
  <si>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</si>
  <si>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</si>
  <si>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</si>
  <si>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</si>
  <si>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</si>
  <si>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</si>
  <si>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</si>
  <si>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</si>
  <si>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</si>
  <si>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</si>
  <si>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</si>
  <si>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</si>
  <si>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</si>
  <si>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</si>
  <si>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</si>
  <si>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</si>
  <si>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</si>
  <si>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</si>
  <si>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</si>
  <si>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</si>
  <si>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</si>
  <si>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</si>
  <si>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</si>
  <si>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</si>
  <si>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</si>
  <si>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</si>
  <si>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</si>
  <si>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</si>
  <si>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</si>
  <si>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</si>
  <si>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</si>
  <si>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</si>
  <si>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</si>
  <si>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</si>
  <si>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</si>
  <si>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</si>
  <si>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</si>
  <si>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</si>
  <si>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</si>
  <si>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</si>
  <si>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Coefficient-If negative, it's reducing, if +ve, it's adding</t>
  </si>
  <si>
    <t>R Square of 90% is OK</t>
  </si>
  <si>
    <t>Adjusted R Square takes into consideration the number of variables</t>
  </si>
  <si>
    <t>ANOVA is not really used</t>
  </si>
  <si>
    <t>Tstat indicates how relevant a variable is.Should be greater than absolute value of 2, if less than 2 it is not statistically significant so don’t use it</t>
  </si>
  <si>
    <t>Year</t>
  </si>
  <si>
    <t>Check - must be zero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</si>
  <si>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</si>
  <si>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</si>
  <si>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</si>
  <si>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</si>
  <si>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</si>
  <si>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</si>
  <si>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</si>
  <si>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>USL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</si>
  <si>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</si>
  <si>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</si>
  <si>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</si>
  <si>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</si>
  <si>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</si>
  <si>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</si>
  <si>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</si>
  <si>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</si>
  <si>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</si>
  <si>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</si>
  <si>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</si>
  <si>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</si>
  <si>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</si>
  <si>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</si>
  <si>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</si>
  <si>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</si>
  <si>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</si>
  <si>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</si>
  <si>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</si>
  <si>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</si>
  <si>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Average Customer / Connection Count</t>
  </si>
  <si>
    <t>Month</t>
  </si>
  <si>
    <t>Weather Normal</t>
  </si>
  <si>
    <t xml:space="preserve">2020 Actual </t>
  </si>
  <si>
    <t>2015 Actual</t>
  </si>
  <si>
    <t>2024 Bridge</t>
  </si>
  <si>
    <t>2025 Test</t>
  </si>
  <si>
    <t>2014 Actual</t>
  </si>
  <si>
    <t>Sentinel Lighting</t>
  </si>
  <si>
    <t>Street Lighting</t>
  </si>
  <si>
    <t>*Obtained from Beatrice Station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</si>
  <si>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</si>
  <si>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</si>
  <si>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</si>
  <si>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</si>
  <si>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</si>
  <si>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</si>
  <si>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</si>
  <si>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Trend</t>
  </si>
  <si>
    <t>2023 Actual</t>
  </si>
  <si>
    <t>Lakeland Power Weather Normal Load Forecast for 2025 Rate Application</t>
  </si>
  <si>
    <t>Summer Flag</t>
  </si>
  <si>
    <t>Heating Degree Days</t>
  </si>
  <si>
    <t>Residual (kWh)</t>
  </si>
  <si>
    <t>% Residual</t>
  </si>
  <si>
    <t>% Residual (Abs)</t>
  </si>
  <si>
    <t>Residual Squared</t>
  </si>
  <si>
    <t>Difference of Residuals</t>
  </si>
  <si>
    <t>Difference of Residuals Squared</t>
  </si>
  <si>
    <t>Sum of Squared Residuals</t>
  </si>
  <si>
    <t>Durbin-Watson Calculation</t>
  </si>
  <si>
    <t>These values are close to PEG for 2020 to 2023</t>
  </si>
  <si>
    <t xml:space="preserve">Weather Normal </t>
  </si>
  <si>
    <t>Actual</t>
  </si>
  <si>
    <t>Covid Flag</t>
  </si>
  <si>
    <t>Mean Absolute Percentage Error (MAPE)</t>
  </si>
  <si>
    <t>Sum of Squared Difference of 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</si>
</sst>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#,##0.0;\-#,##0.0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4">
    <xf numFmtId="0" fontId="0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5" borderId="1" applyNumberFormat="0" applyProtection="0">
      <alignment horizontal="left" vertical="center"/>
    </xf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9" fillId="0" borderId="0"/>
    <xf numFmtId="174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5" fontId="9" fillId="0" borderId="0"/>
    <xf numFmtId="176" fontId="9" fillId="0" borderId="0"/>
    <xf numFmtId="175" fontId="9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24" fillId="7" borderId="0" applyNumberFormat="0" applyBorder="0" applyAlignment="0" applyProtection="0"/>
    <xf numFmtId="0" fontId="28" fillId="10" borderId="10" applyNumberFormat="0" applyAlignment="0" applyProtection="0"/>
    <xf numFmtId="0" fontId="30" fillId="11" borderId="13" applyNumberFormat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15" fillId="37" borderId="0" applyNumberFormat="0" applyBorder="0" applyAlignment="0" applyProtection="0"/>
    <xf numFmtId="38" fontId="15" fillId="3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10" fontId="15" fillId="38" borderId="1" applyNumberFormat="0" applyBorder="0" applyAlignment="0" applyProtection="0"/>
    <xf numFmtId="10" fontId="15" fillId="38" borderId="1" applyNumberFormat="0" applyBorder="0" applyAlignment="0" applyProtection="0"/>
    <xf numFmtId="0" fontId="26" fillId="9" borderId="10" applyNumberFormat="0" applyAlignment="0" applyProtection="0"/>
    <xf numFmtId="0" fontId="29" fillId="0" borderId="12" applyNumberFormat="0" applyFill="0" applyAlignment="0" applyProtection="0"/>
    <xf numFmtId="177" fontId="9" fillId="0" borderId="0"/>
    <xf numFmtId="172" fontId="9" fillId="0" borderId="0"/>
    <xf numFmtId="177" fontId="9" fillId="0" borderId="0"/>
    <xf numFmtId="177" fontId="9" fillId="0" borderId="0"/>
    <xf numFmtId="177" fontId="9" fillId="0" borderId="0"/>
    <xf numFmtId="177" fontId="9" fillId="0" borderId="0"/>
    <xf numFmtId="0" fontId="25" fillId="8" borderId="0" applyNumberFormat="0" applyBorder="0" applyAlignment="0" applyProtection="0"/>
    <xf numFmtId="178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12" borderId="14" applyNumberFormat="0" applyFont="0" applyAlignment="0" applyProtection="0"/>
    <xf numFmtId="0" fontId="27" fillId="10" borderId="11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0" applyNumberFormat="0" applyBorder="0" applyAlignment="0"/>
    <xf numFmtId="0" fontId="37" fillId="0" borderId="16">
      <alignment horizontal="center" vertical="center"/>
    </xf>
    <xf numFmtId="0" fontId="19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38" fillId="0" borderId="0"/>
    <xf numFmtId="166" fontId="38" fillId="0" borderId="0" applyFont="0" applyFill="0" applyBorder="0" applyAlignment="0" applyProtection="0"/>
    <xf numFmtId="0" fontId="38" fillId="0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43" fontId="38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1" applyNumberFormat="0" applyProtection="0">
      <alignment horizontal="left" vertical="center"/>
    </xf>
    <xf numFmtId="0" fontId="9" fillId="5" borderId="1" applyNumberFormat="0" applyProtection="0">
      <alignment horizontal="left"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16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60" fillId="59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9" fillId="0" borderId="0"/>
    <xf numFmtId="0" fontId="21" fillId="0" borderId="8" applyNumberFormat="0" applyFill="0" applyAlignment="0" applyProtection="0"/>
    <xf numFmtId="0" fontId="20" fillId="0" borderId="7" applyNumberFormat="0" applyFill="0" applyAlignment="0" applyProtection="0"/>
    <xf numFmtId="0" fontId="4" fillId="0" borderId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0" applyNumberFormat="0" applyAlignment="0" applyProtection="0"/>
    <xf numFmtId="0" fontId="27" fillId="10" borderId="11" applyNumberFormat="0" applyAlignment="0" applyProtection="0"/>
    <xf numFmtId="0" fontId="28" fillId="10" borderId="10" applyNumberFormat="0" applyAlignment="0" applyProtection="0"/>
    <xf numFmtId="0" fontId="29" fillId="0" borderId="12" applyNumberFormat="0" applyFill="0" applyAlignment="0" applyProtection="0"/>
    <xf numFmtId="0" fontId="30" fillId="11" borderId="13" applyNumberFormat="0" applyAlignment="0" applyProtection="0"/>
    <xf numFmtId="0" fontId="31" fillId="0" borderId="0" applyNumberFormat="0" applyFill="0" applyBorder="0" applyAlignment="0" applyProtection="0"/>
    <xf numFmtId="0" fontId="4" fillId="12" borderId="14" applyNumberFormat="0" applyFont="0" applyAlignment="0" applyProtection="0"/>
    <xf numFmtId="0" fontId="32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3" fillId="3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70" fillId="59" borderId="24" applyNumberFormat="0" applyAlignment="0" applyProtection="0"/>
    <xf numFmtId="0" fontId="61" fillId="60" borderId="18" applyNumberFormat="0" applyAlignment="0" applyProtection="0"/>
    <xf numFmtId="0" fontId="67" fillId="46" borderId="17" applyNumberFormat="0" applyAlignment="0" applyProtection="0"/>
    <xf numFmtId="0" fontId="9" fillId="62" borderId="23" applyNumberFormat="0" applyFont="0" applyAlignment="0" applyProtection="0"/>
    <xf numFmtId="0" fontId="63" fillId="43" borderId="0" applyNumberFormat="0" applyBorder="0" applyAlignment="0" applyProtection="0"/>
    <xf numFmtId="0" fontId="59" fillId="42" borderId="0" applyNumberFormat="0" applyBorder="0" applyAlignment="0" applyProtection="0"/>
    <xf numFmtId="0" fontId="66" fillId="0" borderId="21" applyNumberFormat="0" applyFill="0" applyAlignment="0" applyProtection="0"/>
    <xf numFmtId="0" fontId="65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8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58" borderId="0" applyNumberFormat="0" applyBorder="0" applyAlignment="0" applyProtection="0"/>
    <xf numFmtId="0" fontId="58" fillId="52" borderId="0" applyNumberFormat="0" applyBorder="0" applyAlignment="0" applyProtection="0"/>
    <xf numFmtId="4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0" fontId="68" fillId="0" borderId="22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67" fillId="46" borderId="17" applyNumberFormat="0" applyAlignment="0" applyProtection="0"/>
    <xf numFmtId="0" fontId="67" fillId="46" borderId="17" applyNumberFormat="0" applyAlignment="0" applyProtection="0"/>
    <xf numFmtId="0" fontId="67" fillId="46" borderId="17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7" fillId="46" borderId="17" applyNumberFormat="0" applyAlignment="0" applyProtection="0"/>
    <xf numFmtId="0" fontId="9" fillId="0" borderId="0"/>
    <xf numFmtId="0" fontId="38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9" fillId="0" borderId="0" applyFont="0" applyFill="0" applyBorder="0" applyAlignment="0" applyProtection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4" fontId="3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74" fillId="0" borderId="0"/>
    <xf numFmtId="0" fontId="3" fillId="0" borderId="0"/>
    <xf numFmtId="0" fontId="76" fillId="0" borderId="0"/>
    <xf numFmtId="179" fontId="78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2" fillId="0" borderId="0"/>
    <xf numFmtId="0" fontId="2" fillId="0" borderId="0"/>
    <xf numFmtId="0" fontId="9" fillId="0" borderId="0"/>
    <xf numFmtId="0" fontId="9" fillId="0" borderId="0"/>
    <xf numFmtId="0" fontId="72" fillId="0" borderId="53" applyNumberFormat="0" applyFill="0" applyAlignment="0" applyProtection="0"/>
    <xf numFmtId="0" fontId="60" fillId="59" borderId="42" applyNumberFormat="0" applyAlignment="0" applyProtection="0"/>
    <xf numFmtId="0" fontId="70" fillId="59" borderId="52" applyNumberFormat="0" applyAlignment="0" applyProtection="0"/>
    <xf numFmtId="0" fontId="67" fillId="46" borderId="50" applyNumberFormat="0" applyAlignment="0" applyProtection="0"/>
    <xf numFmtId="0" fontId="60" fillId="59" borderId="50" applyNumberFormat="0" applyAlignment="0" applyProtection="0"/>
    <xf numFmtId="0" fontId="67" fillId="46" borderId="42" applyNumberFormat="0" applyAlignment="0" applyProtection="0"/>
    <xf numFmtId="0" fontId="9" fillId="62" borderId="43" applyNumberFormat="0" applyFont="0" applyAlignment="0" applyProtection="0"/>
    <xf numFmtId="0" fontId="70" fillId="59" borderId="44" applyNumberFormat="0" applyAlignment="0" applyProtection="0"/>
    <xf numFmtId="0" fontId="72" fillId="0" borderId="45" applyNumberFormat="0" applyFill="0" applyAlignment="0" applyProtection="0"/>
    <xf numFmtId="0" fontId="9" fillId="0" borderId="0"/>
    <xf numFmtId="0" fontId="1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7" fillId="46" borderId="50" applyNumberForma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0" fontId="15" fillId="38" borderId="46" applyNumberFormat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62" borderId="43" applyNumberFormat="0" applyFont="0" applyAlignment="0" applyProtection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46" borderId="50" applyNumberFormat="0" applyAlignment="0" applyProtection="0"/>
    <xf numFmtId="10" fontId="15" fillId="38" borderId="41" applyNumberFormat="0" applyBorder="0" applyAlignment="0" applyProtection="0"/>
    <xf numFmtId="0" fontId="9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7" fontId="10" fillId="0" borderId="0" xfId="0" applyNumberFormat="1" applyFont="1" applyAlignment="1">
      <alignment horizontal="center"/>
    </xf>
    <xf numFmtId="3" fontId="9" fillId="0" borderId="0" xfId="1" applyNumberFormat="1" applyAlignment="1">
      <alignment horizontal="center"/>
    </xf>
    <xf numFmtId="167" fontId="1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17" fontId="12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12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8" fontId="0" fillId="0" borderId="0" xfId="0" applyNumberFormat="1" applyAlignment="1">
      <alignment horizontal="center"/>
    </xf>
    <xf numFmtId="167" fontId="0" fillId="0" borderId="0" xfId="2" applyNumberFormat="1" applyFont="1" applyFill="1" applyBorder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left"/>
    </xf>
    <xf numFmtId="37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0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0" fillId="0" borderId="0" xfId="0" applyNumberFormat="1" applyFont="1"/>
    <xf numFmtId="9" fontId="0" fillId="0" borderId="0" xfId="2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9" fillId="0" borderId="0" xfId="736" applyFont="1"/>
    <xf numFmtId="0" fontId="9" fillId="0" borderId="0" xfId="736" applyFont="1" applyAlignment="1">
      <alignment horizontal="center" vertical="center"/>
    </xf>
    <xf numFmtId="0" fontId="9" fillId="0" borderId="0" xfId="736" applyFont="1" applyAlignment="1">
      <alignment vertical="center"/>
    </xf>
    <xf numFmtId="0" fontId="9" fillId="0" borderId="0" xfId="736" applyFont="1" applyAlignment="1">
      <alignment horizontal="center"/>
    </xf>
    <xf numFmtId="0" fontId="9" fillId="0" borderId="0" xfId="1526" applyFont="1"/>
    <xf numFmtId="0" fontId="75" fillId="40" borderId="1" xfId="1524" applyFont="1" applyFill="1" applyBorder="1" applyAlignment="1">
      <alignment horizontal="center" vertical="center" wrapText="1"/>
    </xf>
    <xf numFmtId="0" fontId="77" fillId="0" borderId="0" xfId="1526" applyFont="1" applyAlignment="1">
      <alignment horizontal="left" vertical="center"/>
    </xf>
    <xf numFmtId="0" fontId="75" fillId="0" borderId="0" xfId="1524" applyFont="1" applyAlignment="1">
      <alignment horizontal="center" vertical="center" wrapText="1"/>
    </xf>
    <xf numFmtId="0" fontId="9" fillId="0" borderId="1" xfId="1526" applyFont="1" applyBorder="1" applyAlignment="1">
      <alignment horizontal="center"/>
    </xf>
    <xf numFmtId="0" fontId="9" fillId="0" borderId="30" xfId="1526" applyFont="1" applyBorder="1" applyAlignment="1">
      <alignment horizontal="center"/>
    </xf>
    <xf numFmtId="1" fontId="9" fillId="0" borderId="31" xfId="1526" applyNumberFormat="1" applyFont="1" applyBorder="1" applyAlignment="1">
      <alignment horizontal="center"/>
    </xf>
    <xf numFmtId="0" fontId="9" fillId="0" borderId="32" xfId="1526" applyFont="1" applyBorder="1" applyAlignment="1">
      <alignment horizontal="left"/>
    </xf>
    <xf numFmtId="2" fontId="16" fillId="0" borderId="31" xfId="1526" applyNumberFormat="1" applyFont="1" applyBorder="1" applyAlignment="1">
      <alignment horizontal="center"/>
    </xf>
    <xf numFmtId="0" fontId="9" fillId="0" borderId="30" xfId="1526" applyFont="1" applyBorder="1" applyAlignment="1">
      <alignment horizontal="left"/>
    </xf>
    <xf numFmtId="0" fontId="9" fillId="0" borderId="33" xfId="1526" applyFont="1" applyBorder="1" applyAlignment="1">
      <alignment horizontal="center"/>
    </xf>
    <xf numFmtId="2" fontId="16" fillId="0" borderId="34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center"/>
    </xf>
    <xf numFmtId="2" fontId="16" fillId="0" borderId="30" xfId="1526" applyNumberFormat="1" applyFont="1" applyBorder="1" applyAlignment="1">
      <alignment horizontal="center"/>
    </xf>
    <xf numFmtId="0" fontId="9" fillId="0" borderId="6" xfId="1526" applyFont="1" applyBorder="1" applyAlignment="1">
      <alignment horizontal="left"/>
    </xf>
    <xf numFmtId="2" fontId="16" fillId="0" borderId="35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left"/>
    </xf>
    <xf numFmtId="0" fontId="12" fillId="0" borderId="1" xfId="1526" applyFont="1" applyBorder="1" applyAlignment="1">
      <alignment horizontal="center"/>
    </xf>
    <xf numFmtId="17" fontId="9" fillId="0" borderId="1" xfId="1526" applyNumberFormat="1" applyFont="1" applyBorder="1" applyAlignment="1">
      <alignment horizontal="left"/>
    </xf>
    <xf numFmtId="0" fontId="9" fillId="0" borderId="0" xfId="1526" applyFont="1" applyAlignment="1">
      <alignment horizontal="center"/>
    </xf>
    <xf numFmtId="1" fontId="9" fillId="64" borderId="36" xfId="1527" applyNumberFormat="1" applyFont="1" applyFill="1" applyBorder="1" applyAlignment="1">
      <alignment horizontal="center"/>
    </xf>
    <xf numFmtId="1" fontId="9" fillId="64" borderId="5" xfId="1527" applyNumberFormat="1" applyFont="1" applyFill="1" applyBorder="1" applyAlignment="1">
      <alignment horizontal="center"/>
    </xf>
    <xf numFmtId="1" fontId="9" fillId="64" borderId="37" xfId="1526" applyNumberFormat="1" applyFont="1" applyFill="1" applyBorder="1" applyAlignment="1">
      <alignment horizontal="center"/>
    </xf>
    <xf numFmtId="1" fontId="9" fillId="64" borderId="36" xfId="1526" applyNumberFormat="1" applyFont="1" applyFill="1" applyBorder="1" applyAlignment="1">
      <alignment horizontal="center"/>
    </xf>
    <xf numFmtId="1" fontId="9" fillId="64" borderId="1" xfId="1526" applyNumberFormat="1" applyFont="1" applyFill="1" applyBorder="1" applyAlignment="1">
      <alignment horizontal="center"/>
    </xf>
    <xf numFmtId="1" fontId="9" fillId="64" borderId="4" xfId="1526" applyNumberFormat="1" applyFont="1" applyFill="1" applyBorder="1" applyAlignment="1">
      <alignment horizontal="center"/>
    </xf>
    <xf numFmtId="17" fontId="9" fillId="0" borderId="0" xfId="1526" applyNumberFormat="1" applyFont="1" applyAlignment="1">
      <alignment horizontal="left"/>
    </xf>
    <xf numFmtId="1" fontId="9" fillId="65" borderId="36" xfId="1527" applyNumberFormat="1" applyFont="1" applyFill="1" applyBorder="1" applyAlignment="1">
      <alignment horizontal="center"/>
    </xf>
    <xf numFmtId="1" fontId="9" fillId="65" borderId="5" xfId="1527" applyNumberFormat="1" applyFont="1" applyFill="1" applyBorder="1" applyAlignment="1">
      <alignment horizontal="center"/>
    </xf>
    <xf numFmtId="1" fontId="9" fillId="65" borderId="37" xfId="1526" applyNumberFormat="1" applyFont="1" applyFill="1" applyBorder="1" applyAlignment="1">
      <alignment horizontal="center"/>
    </xf>
    <xf numFmtId="1" fontId="9" fillId="65" borderId="36" xfId="1526" applyNumberFormat="1" applyFont="1" applyFill="1" applyBorder="1" applyAlignment="1">
      <alignment horizontal="center"/>
    </xf>
    <xf numFmtId="1" fontId="9" fillId="65" borderId="1" xfId="1526" applyNumberFormat="1" applyFont="1" applyFill="1" applyBorder="1" applyAlignment="1">
      <alignment horizontal="center"/>
    </xf>
    <xf numFmtId="1" fontId="9" fillId="65" borderId="4" xfId="1526" applyNumberFormat="1" applyFont="1" applyFill="1" applyBorder="1" applyAlignment="1">
      <alignment horizontal="center"/>
    </xf>
    <xf numFmtId="1" fontId="9" fillId="65" borderId="26" xfId="1527" applyNumberFormat="1" applyFont="1" applyFill="1" applyBorder="1" applyAlignment="1">
      <alignment horizontal="center"/>
    </xf>
    <xf numFmtId="1" fontId="9" fillId="65" borderId="28" xfId="1527" applyNumberFormat="1" applyFont="1" applyFill="1" applyBorder="1" applyAlignment="1">
      <alignment horizontal="center"/>
    </xf>
    <xf numFmtId="1" fontId="9" fillId="65" borderId="27" xfId="1526" applyNumberFormat="1" applyFont="1" applyFill="1" applyBorder="1" applyAlignment="1">
      <alignment horizontal="center"/>
    </xf>
    <xf numFmtId="1" fontId="9" fillId="65" borderId="26" xfId="1526" applyNumberFormat="1" applyFont="1" applyFill="1" applyBorder="1" applyAlignment="1">
      <alignment horizontal="center"/>
    </xf>
    <xf numFmtId="1" fontId="9" fillId="65" borderId="29" xfId="1526" applyNumberFormat="1" applyFont="1" applyFill="1" applyBorder="1" applyAlignment="1">
      <alignment horizontal="center"/>
    </xf>
    <xf numFmtId="1" fontId="9" fillId="65" borderId="38" xfId="1526" applyNumberFormat="1" applyFont="1" applyFill="1" applyBorder="1" applyAlignment="1">
      <alignment horizontal="center"/>
    </xf>
    <xf numFmtId="37" fontId="10" fillId="63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wrapText="1"/>
    </xf>
    <xf numFmtId="0" fontId="9" fillId="4" borderId="0" xfId="0" applyFont="1" applyFill="1" applyAlignment="1">
      <alignment horizontal="left"/>
    </xf>
    <xf numFmtId="0" fontId="9" fillId="66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0" fillId="0" borderId="0" xfId="0" applyFont="1"/>
    <xf numFmtId="12" fontId="10" fillId="0" borderId="1" xfId="0" applyNumberFormat="1" applyFont="1" applyBorder="1" applyAlignment="1">
      <alignment horizontal="center" vertical="center"/>
    </xf>
    <xf numFmtId="0" fontId="75" fillId="68" borderId="6" xfId="1524" applyFont="1" applyFill="1" applyBorder="1" applyAlignment="1">
      <alignment horizontal="center" vertical="center" wrapText="1"/>
    </xf>
    <xf numFmtId="1" fontId="9" fillId="63" borderId="1" xfId="736" applyNumberFormat="1" applyFont="1" applyFill="1" applyBorder="1" applyAlignment="1">
      <alignment horizontal="center"/>
    </xf>
    <xf numFmtId="0" fontId="12" fillId="69" borderId="1" xfId="736" applyFont="1" applyFill="1" applyBorder="1" applyAlignment="1">
      <alignment horizontal="center"/>
    </xf>
    <xf numFmtId="0" fontId="75" fillId="40" borderId="6" xfId="1524" applyFont="1" applyFill="1" applyBorder="1" applyAlignment="1">
      <alignment horizontal="center" vertical="center" wrapText="1"/>
    </xf>
    <xf numFmtId="0" fontId="75" fillId="68" borderId="30" xfId="1524" applyFont="1" applyFill="1" applyBorder="1" applyAlignment="1">
      <alignment horizontal="center" vertical="center" wrapText="1"/>
    </xf>
    <xf numFmtId="1" fontId="75" fillId="68" borderId="31" xfId="1524" applyNumberFormat="1" applyFont="1" applyFill="1" applyBorder="1" applyAlignment="1">
      <alignment horizontal="center" vertical="center" wrapText="1"/>
    </xf>
    <xf numFmtId="0" fontId="75" fillId="68" borderId="26" xfId="1524" applyFont="1" applyFill="1" applyBorder="1" applyAlignment="1">
      <alignment horizontal="center" vertical="center" wrapText="1"/>
    </xf>
    <xf numFmtId="1" fontId="75" fillId="68" borderId="27" xfId="1524" applyNumberFormat="1" applyFont="1" applyFill="1" applyBorder="1" applyAlignment="1">
      <alignment horizontal="center" vertical="center" wrapText="1"/>
    </xf>
    <xf numFmtId="0" fontId="75" fillId="68" borderId="28" xfId="1524" applyFont="1" applyFill="1" applyBorder="1" applyAlignment="1">
      <alignment horizontal="center" vertical="center" wrapText="1"/>
    </xf>
    <xf numFmtId="0" fontId="75" fillId="68" borderId="27" xfId="1524" applyFont="1" applyFill="1" applyBorder="1" applyAlignment="1">
      <alignment horizontal="center" vertical="center" wrapText="1"/>
    </xf>
    <xf numFmtId="0" fontId="75" fillId="68" borderId="29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9" fillId="0" borderId="0" xfId="736" applyNumberFormat="1" applyFont="1"/>
    <xf numFmtId="3" fontId="0" fillId="70" borderId="0" xfId="0" applyNumberFormat="1" applyFill="1" applyAlignment="1">
      <alignment horizontal="center"/>
    </xf>
    <xf numFmtId="3" fontId="10" fillId="7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37" fontId="9" fillId="0" borderId="4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7" fontId="0" fillId="0" borderId="1" xfId="0" applyNumberFormat="1" applyBorder="1" applyAlignment="1">
      <alignment horizontal="center"/>
    </xf>
    <xf numFmtId="12" fontId="0" fillId="0" borderId="0" xfId="0" applyNumberFormat="1" applyAlignment="1">
      <alignment horizontal="center"/>
    </xf>
    <xf numFmtId="17" fontId="0" fillId="0" borderId="6" xfId="0" applyNumberFormat="1" applyBorder="1" applyAlignment="1">
      <alignment horizontal="center"/>
    </xf>
    <xf numFmtId="37" fontId="10" fillId="0" borderId="6" xfId="0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12" fontId="0" fillId="0" borderId="46" xfId="0" applyNumberFormat="1" applyBorder="1" applyAlignment="1">
      <alignment horizontal="center"/>
    </xf>
    <xf numFmtId="0" fontId="11" fillId="0" borderId="46" xfId="0" applyFont="1" applyBorder="1" applyAlignment="1">
      <alignment horizontal="center" vertical="center" wrapText="1"/>
    </xf>
    <xf numFmtId="37" fontId="9" fillId="0" borderId="46" xfId="0" applyNumberFormat="1" applyFont="1" applyBorder="1" applyAlignment="1">
      <alignment horizontal="center"/>
    </xf>
    <xf numFmtId="180" fontId="9" fillId="0" borderId="46" xfId="0" applyNumberFormat="1" applyFont="1" applyBorder="1" applyAlignment="1">
      <alignment horizontal="center"/>
    </xf>
    <xf numFmtId="0" fontId="0" fillId="0" borderId="2" xfId="0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3" fontId="0" fillId="0" borderId="2" xfId="0" applyNumberFormat="1" applyBorder="1"/>
    <xf numFmtId="167" fontId="0" fillId="0" borderId="0" xfId="0" applyNumberFormat="1"/>
    <xf numFmtId="0" fontId="81" fillId="67" borderId="54" xfId="1524" applyFont="1" applyFill="1" applyBorder="1" applyAlignment="1">
      <alignment horizontal="center" vertical="center"/>
    </xf>
    <xf numFmtId="0" fontId="81" fillId="67" borderId="55" xfId="1524" applyFont="1" applyFill="1" applyBorder="1" applyAlignment="1">
      <alignment horizontal="center" vertical="center"/>
    </xf>
    <xf numFmtId="0" fontId="81" fillId="67" borderId="56" xfId="1524" applyFont="1" applyFill="1" applyBorder="1" applyAlignment="1">
      <alignment horizontal="center" vertical="center"/>
    </xf>
    <xf numFmtId="0" fontId="81" fillId="67" borderId="1" xfId="1524" applyFont="1" applyFill="1" applyBorder="1" applyAlignment="1">
      <alignment horizontal="center" vertical="center" wrapText="1"/>
    </xf>
    <xf numFmtId="0" fontId="81" fillId="67" borderId="54" xfId="1524" applyFont="1" applyFill="1" applyBorder="1" applyAlignment="1">
      <alignment horizontal="center" vertical="center" wrapText="1"/>
    </xf>
    <xf numFmtId="0" fontId="81" fillId="67" borderId="56" xfId="1524" applyFont="1" applyFill="1" applyBorder="1" applyAlignment="1">
      <alignment horizontal="center" vertical="center" wrapText="1"/>
    </xf>
    <xf numFmtId="0" fontId="75" fillId="68" borderId="40" xfId="1524" applyFont="1" applyFill="1" applyBorder="1" applyAlignment="1">
      <alignment horizontal="center" vertical="center" wrapText="1"/>
    </xf>
    <xf numFmtId="0" fontId="75" fillId="68" borderId="35" xfId="1524" applyFont="1" applyFill="1" applyBorder="1" applyAlignment="1">
      <alignment horizontal="center" vertical="center" wrapText="1"/>
    </xf>
    <xf numFmtId="0" fontId="75" fillId="68" borderId="39" xfId="1524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39" borderId="0" xfId="0" applyFill="1" applyAlignment="1">
      <alignment horizontal="center"/>
    </xf>
    <xf numFmtId="12" fontId="0" fillId="0" borderId="46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654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36" xfId="1653" xr:uid="{076D641D-97E9-445E-9AC5-A4CD88BE16E3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5 2" xfId="1652" xr:uid="{2A9AE1CD-AF8D-4A51-81DF-029D51AB8D1B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21166</xdr:colOff>
      <xdr:row>0</xdr:row>
      <xdr:rowOff>10584</xdr:rowOff>
    </xdr:from>
    <xdr:to>
      <xdr:col>18</xdr:col>
      <xdr:colOff>795923</xdr:colOff>
      <xdr:row>19</xdr:row>
      <xdr:rowOff>44341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E10D5D-E528-B296-B173-E9F3887E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7083" y="10584"/>
          <a:ext cx="5590173" cy="337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</sheetPr>
  <dimension ref="A1:V143"/>
  <sheetViews>
    <sheetView showGridLines="0" zoomScale="80" zoomScaleNormal="80" workbookViewId="0"/>
  </sheetViews>
  <sheetFormatPr defaultRowHeight="12.75" x14ac:dyDescent="0.2"/>
  <cols>
    <col min="1" max="3" width="14.5703125" style="57" customWidth="1"/>
    <col min="4" max="6" width="14.5703125" style="60" customWidth="1"/>
    <col min="7" max="8" width="14.5703125" style="57" customWidth="1"/>
    <col min="9" max="12" width="14" style="57" customWidth="1"/>
    <col min="13" max="13" width="14.5703125" style="58" bestFit="1" customWidth="1"/>
    <col min="14" max="20" width="14" style="57" customWidth="1"/>
    <col min="21" max="22" width="13.28515625" style="57" customWidth="1"/>
    <col min="23" max="247" width="9.140625" style="57"/>
    <col min="248" max="248" width="31" style="57" customWidth="1"/>
    <col min="249" max="249" width="18.5703125" style="57" customWidth="1"/>
    <col min="250" max="250" width="3.85546875" style="57" customWidth="1"/>
    <col min="251" max="251" width="18.7109375" style="57" customWidth="1"/>
    <col min="252" max="260" width="14" style="57" customWidth="1"/>
    <col min="261" max="261" width="13" style="57" bestFit="1" customWidth="1"/>
    <col min="262" max="262" width="14.5703125" style="57" bestFit="1" customWidth="1"/>
    <col min="263" max="263" width="12.140625" style="57" bestFit="1" customWidth="1"/>
    <col min="264" max="274" width="14" style="57" customWidth="1"/>
    <col min="275" max="278" width="13.28515625" style="57" customWidth="1"/>
    <col min="279" max="503" width="9.140625" style="57"/>
    <col min="504" max="504" width="31" style="57" customWidth="1"/>
    <col min="505" max="505" width="18.5703125" style="57" customWidth="1"/>
    <col min="506" max="506" width="3.85546875" style="57" customWidth="1"/>
    <col min="507" max="507" width="18.7109375" style="57" customWidth="1"/>
    <col min="508" max="516" width="14" style="57" customWidth="1"/>
    <col min="517" max="517" width="13" style="57" bestFit="1" customWidth="1"/>
    <col min="518" max="518" width="14.5703125" style="57" bestFit="1" customWidth="1"/>
    <col min="519" max="519" width="12.140625" style="57" bestFit="1" customWidth="1"/>
    <col min="520" max="530" width="14" style="57" customWidth="1"/>
    <col min="531" max="534" width="13.28515625" style="57" customWidth="1"/>
    <col min="535" max="759" width="9.140625" style="57"/>
    <col min="760" max="760" width="31" style="57" customWidth="1"/>
    <col min="761" max="761" width="18.5703125" style="57" customWidth="1"/>
    <col min="762" max="762" width="3.85546875" style="57" customWidth="1"/>
    <col min="763" max="763" width="18.7109375" style="57" customWidth="1"/>
    <col min="764" max="772" width="14" style="57" customWidth="1"/>
    <col min="773" max="773" width="13" style="57" bestFit="1" customWidth="1"/>
    <col min="774" max="774" width="14.5703125" style="57" bestFit="1" customWidth="1"/>
    <col min="775" max="775" width="12.140625" style="57" bestFit="1" customWidth="1"/>
    <col min="776" max="786" width="14" style="57" customWidth="1"/>
    <col min="787" max="790" width="13.28515625" style="57" customWidth="1"/>
    <col min="791" max="1015" width="9.140625" style="57"/>
    <col min="1016" max="1016" width="31" style="57" customWidth="1"/>
    <col min="1017" max="1017" width="18.5703125" style="57" customWidth="1"/>
    <col min="1018" max="1018" width="3.85546875" style="57" customWidth="1"/>
    <col min="1019" max="1019" width="18.7109375" style="57" customWidth="1"/>
    <col min="1020" max="1028" width="14" style="57" customWidth="1"/>
    <col min="1029" max="1029" width="13" style="57" bestFit="1" customWidth="1"/>
    <col min="1030" max="1030" width="14.5703125" style="57" bestFit="1" customWidth="1"/>
    <col min="1031" max="1031" width="12.140625" style="57" bestFit="1" customWidth="1"/>
    <col min="1032" max="1042" width="14" style="57" customWidth="1"/>
    <col min="1043" max="1046" width="13.28515625" style="57" customWidth="1"/>
    <col min="1047" max="1271" width="9.140625" style="57"/>
    <col min="1272" max="1272" width="31" style="57" customWidth="1"/>
    <col min="1273" max="1273" width="18.5703125" style="57" customWidth="1"/>
    <col min="1274" max="1274" width="3.85546875" style="57" customWidth="1"/>
    <col min="1275" max="1275" width="18.7109375" style="57" customWidth="1"/>
    <col min="1276" max="1284" width="14" style="57" customWidth="1"/>
    <col min="1285" max="1285" width="13" style="57" bestFit="1" customWidth="1"/>
    <col min="1286" max="1286" width="14.5703125" style="57" bestFit="1" customWidth="1"/>
    <col min="1287" max="1287" width="12.140625" style="57" bestFit="1" customWidth="1"/>
    <col min="1288" max="1298" width="14" style="57" customWidth="1"/>
    <col min="1299" max="1302" width="13.28515625" style="57" customWidth="1"/>
    <col min="1303" max="1527" width="9.140625" style="57"/>
    <col min="1528" max="1528" width="31" style="57" customWidth="1"/>
    <col min="1529" max="1529" width="18.5703125" style="57" customWidth="1"/>
    <col min="1530" max="1530" width="3.85546875" style="57" customWidth="1"/>
    <col min="1531" max="1531" width="18.7109375" style="57" customWidth="1"/>
    <col min="1532" max="1540" width="14" style="57" customWidth="1"/>
    <col min="1541" max="1541" width="13" style="57" bestFit="1" customWidth="1"/>
    <col min="1542" max="1542" width="14.5703125" style="57" bestFit="1" customWidth="1"/>
    <col min="1543" max="1543" width="12.140625" style="57" bestFit="1" customWidth="1"/>
    <col min="1544" max="1554" width="14" style="57" customWidth="1"/>
    <col min="1555" max="1558" width="13.28515625" style="57" customWidth="1"/>
    <col min="1559" max="1783" width="9.140625" style="57"/>
    <col min="1784" max="1784" width="31" style="57" customWidth="1"/>
    <col min="1785" max="1785" width="18.5703125" style="57" customWidth="1"/>
    <col min="1786" max="1786" width="3.85546875" style="57" customWidth="1"/>
    <col min="1787" max="1787" width="18.7109375" style="57" customWidth="1"/>
    <col min="1788" max="1796" width="14" style="57" customWidth="1"/>
    <col min="1797" max="1797" width="13" style="57" bestFit="1" customWidth="1"/>
    <col min="1798" max="1798" width="14.5703125" style="57" bestFit="1" customWidth="1"/>
    <col min="1799" max="1799" width="12.140625" style="57" bestFit="1" customWidth="1"/>
    <col min="1800" max="1810" width="14" style="57" customWidth="1"/>
    <col min="1811" max="1814" width="13.28515625" style="57" customWidth="1"/>
    <col min="1815" max="2039" width="9.140625" style="57"/>
    <col min="2040" max="2040" width="31" style="57" customWidth="1"/>
    <col min="2041" max="2041" width="18.5703125" style="57" customWidth="1"/>
    <col min="2042" max="2042" width="3.85546875" style="57" customWidth="1"/>
    <col min="2043" max="2043" width="18.7109375" style="57" customWidth="1"/>
    <col min="2044" max="2052" width="14" style="57" customWidth="1"/>
    <col min="2053" max="2053" width="13" style="57" bestFit="1" customWidth="1"/>
    <col min="2054" max="2054" width="14.5703125" style="57" bestFit="1" customWidth="1"/>
    <col min="2055" max="2055" width="12.140625" style="57" bestFit="1" customWidth="1"/>
    <col min="2056" max="2066" width="14" style="57" customWidth="1"/>
    <col min="2067" max="2070" width="13.28515625" style="57" customWidth="1"/>
    <col min="2071" max="2295" width="9.140625" style="57"/>
    <col min="2296" max="2296" width="31" style="57" customWidth="1"/>
    <col min="2297" max="2297" width="18.5703125" style="57" customWidth="1"/>
    <col min="2298" max="2298" width="3.85546875" style="57" customWidth="1"/>
    <col min="2299" max="2299" width="18.7109375" style="57" customWidth="1"/>
    <col min="2300" max="2308" width="14" style="57" customWidth="1"/>
    <col min="2309" max="2309" width="13" style="57" bestFit="1" customWidth="1"/>
    <col min="2310" max="2310" width="14.5703125" style="57" bestFit="1" customWidth="1"/>
    <col min="2311" max="2311" width="12.140625" style="57" bestFit="1" customWidth="1"/>
    <col min="2312" max="2322" width="14" style="57" customWidth="1"/>
    <col min="2323" max="2326" width="13.28515625" style="57" customWidth="1"/>
    <col min="2327" max="2551" width="9.140625" style="57"/>
    <col min="2552" max="2552" width="31" style="57" customWidth="1"/>
    <col min="2553" max="2553" width="18.5703125" style="57" customWidth="1"/>
    <col min="2554" max="2554" width="3.85546875" style="57" customWidth="1"/>
    <col min="2555" max="2555" width="18.7109375" style="57" customWidth="1"/>
    <col min="2556" max="2564" width="14" style="57" customWidth="1"/>
    <col min="2565" max="2565" width="13" style="57" bestFit="1" customWidth="1"/>
    <col min="2566" max="2566" width="14.5703125" style="57" bestFit="1" customWidth="1"/>
    <col min="2567" max="2567" width="12.140625" style="57" bestFit="1" customWidth="1"/>
    <col min="2568" max="2578" width="14" style="57" customWidth="1"/>
    <col min="2579" max="2582" width="13.28515625" style="57" customWidth="1"/>
    <col min="2583" max="2807" width="9.140625" style="57"/>
    <col min="2808" max="2808" width="31" style="57" customWidth="1"/>
    <col min="2809" max="2809" width="18.5703125" style="57" customWidth="1"/>
    <col min="2810" max="2810" width="3.85546875" style="57" customWidth="1"/>
    <col min="2811" max="2811" width="18.7109375" style="57" customWidth="1"/>
    <col min="2812" max="2820" width="14" style="57" customWidth="1"/>
    <col min="2821" max="2821" width="13" style="57" bestFit="1" customWidth="1"/>
    <col min="2822" max="2822" width="14.5703125" style="57" bestFit="1" customWidth="1"/>
    <col min="2823" max="2823" width="12.140625" style="57" bestFit="1" customWidth="1"/>
    <col min="2824" max="2834" width="14" style="57" customWidth="1"/>
    <col min="2835" max="2838" width="13.28515625" style="57" customWidth="1"/>
    <col min="2839" max="3063" width="9.140625" style="57"/>
    <col min="3064" max="3064" width="31" style="57" customWidth="1"/>
    <col min="3065" max="3065" width="18.5703125" style="57" customWidth="1"/>
    <col min="3066" max="3066" width="3.85546875" style="57" customWidth="1"/>
    <col min="3067" max="3067" width="18.7109375" style="57" customWidth="1"/>
    <col min="3068" max="3076" width="14" style="57" customWidth="1"/>
    <col min="3077" max="3077" width="13" style="57" bestFit="1" customWidth="1"/>
    <col min="3078" max="3078" width="14.5703125" style="57" bestFit="1" customWidth="1"/>
    <col min="3079" max="3079" width="12.140625" style="57" bestFit="1" customWidth="1"/>
    <col min="3080" max="3090" width="14" style="57" customWidth="1"/>
    <col min="3091" max="3094" width="13.28515625" style="57" customWidth="1"/>
    <col min="3095" max="3319" width="9.140625" style="57"/>
    <col min="3320" max="3320" width="31" style="57" customWidth="1"/>
    <col min="3321" max="3321" width="18.5703125" style="57" customWidth="1"/>
    <col min="3322" max="3322" width="3.85546875" style="57" customWidth="1"/>
    <col min="3323" max="3323" width="18.7109375" style="57" customWidth="1"/>
    <col min="3324" max="3332" width="14" style="57" customWidth="1"/>
    <col min="3333" max="3333" width="13" style="57" bestFit="1" customWidth="1"/>
    <col min="3334" max="3334" width="14.5703125" style="57" bestFit="1" customWidth="1"/>
    <col min="3335" max="3335" width="12.140625" style="57" bestFit="1" customWidth="1"/>
    <col min="3336" max="3346" width="14" style="57" customWidth="1"/>
    <col min="3347" max="3350" width="13.28515625" style="57" customWidth="1"/>
    <col min="3351" max="3575" width="9.140625" style="57"/>
    <col min="3576" max="3576" width="31" style="57" customWidth="1"/>
    <col min="3577" max="3577" width="18.5703125" style="57" customWidth="1"/>
    <col min="3578" max="3578" width="3.85546875" style="57" customWidth="1"/>
    <col min="3579" max="3579" width="18.7109375" style="57" customWidth="1"/>
    <col min="3580" max="3588" width="14" style="57" customWidth="1"/>
    <col min="3589" max="3589" width="13" style="57" bestFit="1" customWidth="1"/>
    <col min="3590" max="3590" width="14.5703125" style="57" bestFit="1" customWidth="1"/>
    <col min="3591" max="3591" width="12.140625" style="57" bestFit="1" customWidth="1"/>
    <col min="3592" max="3602" width="14" style="57" customWidth="1"/>
    <col min="3603" max="3606" width="13.28515625" style="57" customWidth="1"/>
    <col min="3607" max="3831" width="9.140625" style="57"/>
    <col min="3832" max="3832" width="31" style="57" customWidth="1"/>
    <col min="3833" max="3833" width="18.5703125" style="57" customWidth="1"/>
    <col min="3834" max="3834" width="3.85546875" style="57" customWidth="1"/>
    <col min="3835" max="3835" width="18.7109375" style="57" customWidth="1"/>
    <col min="3836" max="3844" width="14" style="57" customWidth="1"/>
    <col min="3845" max="3845" width="13" style="57" bestFit="1" customWidth="1"/>
    <col min="3846" max="3846" width="14.5703125" style="57" bestFit="1" customWidth="1"/>
    <col min="3847" max="3847" width="12.140625" style="57" bestFit="1" customWidth="1"/>
    <col min="3848" max="3858" width="14" style="57" customWidth="1"/>
    <col min="3859" max="3862" width="13.28515625" style="57" customWidth="1"/>
    <col min="3863" max="4087" width="9.140625" style="57"/>
    <col min="4088" max="4088" width="31" style="57" customWidth="1"/>
    <col min="4089" max="4089" width="18.5703125" style="57" customWidth="1"/>
    <col min="4090" max="4090" width="3.85546875" style="57" customWidth="1"/>
    <col min="4091" max="4091" width="18.7109375" style="57" customWidth="1"/>
    <col min="4092" max="4100" width="14" style="57" customWidth="1"/>
    <col min="4101" max="4101" width="13" style="57" bestFit="1" customWidth="1"/>
    <col min="4102" max="4102" width="14.5703125" style="57" bestFit="1" customWidth="1"/>
    <col min="4103" max="4103" width="12.140625" style="57" bestFit="1" customWidth="1"/>
    <col min="4104" max="4114" width="14" style="57" customWidth="1"/>
    <col min="4115" max="4118" width="13.28515625" style="57" customWidth="1"/>
    <col min="4119" max="4343" width="9.140625" style="57"/>
    <col min="4344" max="4344" width="31" style="57" customWidth="1"/>
    <col min="4345" max="4345" width="18.5703125" style="57" customWidth="1"/>
    <col min="4346" max="4346" width="3.85546875" style="57" customWidth="1"/>
    <col min="4347" max="4347" width="18.7109375" style="57" customWidth="1"/>
    <col min="4348" max="4356" width="14" style="57" customWidth="1"/>
    <col min="4357" max="4357" width="13" style="57" bestFit="1" customWidth="1"/>
    <col min="4358" max="4358" width="14.5703125" style="57" bestFit="1" customWidth="1"/>
    <col min="4359" max="4359" width="12.140625" style="57" bestFit="1" customWidth="1"/>
    <col min="4360" max="4370" width="14" style="57" customWidth="1"/>
    <col min="4371" max="4374" width="13.28515625" style="57" customWidth="1"/>
    <col min="4375" max="4599" width="9.140625" style="57"/>
    <col min="4600" max="4600" width="31" style="57" customWidth="1"/>
    <col min="4601" max="4601" width="18.5703125" style="57" customWidth="1"/>
    <col min="4602" max="4602" width="3.85546875" style="57" customWidth="1"/>
    <col min="4603" max="4603" width="18.7109375" style="57" customWidth="1"/>
    <col min="4604" max="4612" width="14" style="57" customWidth="1"/>
    <col min="4613" max="4613" width="13" style="57" bestFit="1" customWidth="1"/>
    <col min="4614" max="4614" width="14.5703125" style="57" bestFit="1" customWidth="1"/>
    <col min="4615" max="4615" width="12.140625" style="57" bestFit="1" customWidth="1"/>
    <col min="4616" max="4626" width="14" style="57" customWidth="1"/>
    <col min="4627" max="4630" width="13.28515625" style="57" customWidth="1"/>
    <col min="4631" max="4855" width="9.140625" style="57"/>
    <col min="4856" max="4856" width="31" style="57" customWidth="1"/>
    <col min="4857" max="4857" width="18.5703125" style="57" customWidth="1"/>
    <col min="4858" max="4858" width="3.85546875" style="57" customWidth="1"/>
    <col min="4859" max="4859" width="18.7109375" style="57" customWidth="1"/>
    <col min="4860" max="4868" width="14" style="57" customWidth="1"/>
    <col min="4869" max="4869" width="13" style="57" bestFit="1" customWidth="1"/>
    <col min="4870" max="4870" width="14.5703125" style="57" bestFit="1" customWidth="1"/>
    <col min="4871" max="4871" width="12.140625" style="57" bestFit="1" customWidth="1"/>
    <col min="4872" max="4882" width="14" style="57" customWidth="1"/>
    <col min="4883" max="4886" width="13.28515625" style="57" customWidth="1"/>
    <col min="4887" max="5111" width="9.140625" style="57"/>
    <col min="5112" max="5112" width="31" style="57" customWidth="1"/>
    <col min="5113" max="5113" width="18.5703125" style="57" customWidth="1"/>
    <col min="5114" max="5114" width="3.85546875" style="57" customWidth="1"/>
    <col min="5115" max="5115" width="18.7109375" style="57" customWidth="1"/>
    <col min="5116" max="5124" width="14" style="57" customWidth="1"/>
    <col min="5125" max="5125" width="13" style="57" bestFit="1" customWidth="1"/>
    <col min="5126" max="5126" width="14.5703125" style="57" bestFit="1" customWidth="1"/>
    <col min="5127" max="5127" width="12.140625" style="57" bestFit="1" customWidth="1"/>
    <col min="5128" max="5138" width="14" style="57" customWidth="1"/>
    <col min="5139" max="5142" width="13.28515625" style="57" customWidth="1"/>
    <col min="5143" max="5367" width="9.140625" style="57"/>
    <col min="5368" max="5368" width="31" style="57" customWidth="1"/>
    <col min="5369" max="5369" width="18.5703125" style="57" customWidth="1"/>
    <col min="5370" max="5370" width="3.85546875" style="57" customWidth="1"/>
    <col min="5371" max="5371" width="18.7109375" style="57" customWidth="1"/>
    <col min="5372" max="5380" width="14" style="57" customWidth="1"/>
    <col min="5381" max="5381" width="13" style="57" bestFit="1" customWidth="1"/>
    <col min="5382" max="5382" width="14.5703125" style="57" bestFit="1" customWidth="1"/>
    <col min="5383" max="5383" width="12.140625" style="57" bestFit="1" customWidth="1"/>
    <col min="5384" max="5394" width="14" style="57" customWidth="1"/>
    <col min="5395" max="5398" width="13.28515625" style="57" customWidth="1"/>
    <col min="5399" max="5623" width="9.140625" style="57"/>
    <col min="5624" max="5624" width="31" style="57" customWidth="1"/>
    <col min="5625" max="5625" width="18.5703125" style="57" customWidth="1"/>
    <col min="5626" max="5626" width="3.85546875" style="57" customWidth="1"/>
    <col min="5627" max="5627" width="18.7109375" style="57" customWidth="1"/>
    <col min="5628" max="5636" width="14" style="57" customWidth="1"/>
    <col min="5637" max="5637" width="13" style="57" bestFit="1" customWidth="1"/>
    <col min="5638" max="5638" width="14.5703125" style="57" bestFit="1" customWidth="1"/>
    <col min="5639" max="5639" width="12.140625" style="57" bestFit="1" customWidth="1"/>
    <col min="5640" max="5650" width="14" style="57" customWidth="1"/>
    <col min="5651" max="5654" width="13.28515625" style="57" customWidth="1"/>
    <col min="5655" max="5879" width="9.140625" style="57"/>
    <col min="5880" max="5880" width="31" style="57" customWidth="1"/>
    <col min="5881" max="5881" width="18.5703125" style="57" customWidth="1"/>
    <col min="5882" max="5882" width="3.85546875" style="57" customWidth="1"/>
    <col min="5883" max="5883" width="18.7109375" style="57" customWidth="1"/>
    <col min="5884" max="5892" width="14" style="57" customWidth="1"/>
    <col min="5893" max="5893" width="13" style="57" bestFit="1" customWidth="1"/>
    <col min="5894" max="5894" width="14.5703125" style="57" bestFit="1" customWidth="1"/>
    <col min="5895" max="5895" width="12.140625" style="57" bestFit="1" customWidth="1"/>
    <col min="5896" max="5906" width="14" style="57" customWidth="1"/>
    <col min="5907" max="5910" width="13.28515625" style="57" customWidth="1"/>
    <col min="5911" max="6135" width="9.140625" style="57"/>
    <col min="6136" max="6136" width="31" style="57" customWidth="1"/>
    <col min="6137" max="6137" width="18.5703125" style="57" customWidth="1"/>
    <col min="6138" max="6138" width="3.85546875" style="57" customWidth="1"/>
    <col min="6139" max="6139" width="18.7109375" style="57" customWidth="1"/>
    <col min="6140" max="6148" width="14" style="57" customWidth="1"/>
    <col min="6149" max="6149" width="13" style="57" bestFit="1" customWidth="1"/>
    <col min="6150" max="6150" width="14.5703125" style="57" bestFit="1" customWidth="1"/>
    <col min="6151" max="6151" width="12.140625" style="57" bestFit="1" customWidth="1"/>
    <col min="6152" max="6162" width="14" style="57" customWidth="1"/>
    <col min="6163" max="6166" width="13.28515625" style="57" customWidth="1"/>
    <col min="6167" max="6391" width="9.140625" style="57"/>
    <col min="6392" max="6392" width="31" style="57" customWidth="1"/>
    <col min="6393" max="6393" width="18.5703125" style="57" customWidth="1"/>
    <col min="6394" max="6394" width="3.85546875" style="57" customWidth="1"/>
    <col min="6395" max="6395" width="18.7109375" style="57" customWidth="1"/>
    <col min="6396" max="6404" width="14" style="57" customWidth="1"/>
    <col min="6405" max="6405" width="13" style="57" bestFit="1" customWidth="1"/>
    <col min="6406" max="6406" width="14.5703125" style="57" bestFit="1" customWidth="1"/>
    <col min="6407" max="6407" width="12.140625" style="57" bestFit="1" customWidth="1"/>
    <col min="6408" max="6418" width="14" style="57" customWidth="1"/>
    <col min="6419" max="6422" width="13.28515625" style="57" customWidth="1"/>
    <col min="6423" max="6647" width="9.140625" style="57"/>
    <col min="6648" max="6648" width="31" style="57" customWidth="1"/>
    <col min="6649" max="6649" width="18.5703125" style="57" customWidth="1"/>
    <col min="6650" max="6650" width="3.85546875" style="57" customWidth="1"/>
    <col min="6651" max="6651" width="18.7109375" style="57" customWidth="1"/>
    <col min="6652" max="6660" width="14" style="57" customWidth="1"/>
    <col min="6661" max="6661" width="13" style="57" bestFit="1" customWidth="1"/>
    <col min="6662" max="6662" width="14.5703125" style="57" bestFit="1" customWidth="1"/>
    <col min="6663" max="6663" width="12.140625" style="57" bestFit="1" customWidth="1"/>
    <col min="6664" max="6674" width="14" style="57" customWidth="1"/>
    <col min="6675" max="6678" width="13.28515625" style="57" customWidth="1"/>
    <col min="6679" max="6903" width="9.140625" style="57"/>
    <col min="6904" max="6904" width="31" style="57" customWidth="1"/>
    <col min="6905" max="6905" width="18.5703125" style="57" customWidth="1"/>
    <col min="6906" max="6906" width="3.85546875" style="57" customWidth="1"/>
    <col min="6907" max="6907" width="18.7109375" style="57" customWidth="1"/>
    <col min="6908" max="6916" width="14" style="57" customWidth="1"/>
    <col min="6917" max="6917" width="13" style="57" bestFit="1" customWidth="1"/>
    <col min="6918" max="6918" width="14.5703125" style="57" bestFit="1" customWidth="1"/>
    <col min="6919" max="6919" width="12.140625" style="57" bestFit="1" customWidth="1"/>
    <col min="6920" max="6930" width="14" style="57" customWidth="1"/>
    <col min="6931" max="6934" width="13.28515625" style="57" customWidth="1"/>
    <col min="6935" max="7159" width="9.140625" style="57"/>
    <col min="7160" max="7160" width="31" style="57" customWidth="1"/>
    <col min="7161" max="7161" width="18.5703125" style="57" customWidth="1"/>
    <col min="7162" max="7162" width="3.85546875" style="57" customWidth="1"/>
    <col min="7163" max="7163" width="18.7109375" style="57" customWidth="1"/>
    <col min="7164" max="7172" width="14" style="57" customWidth="1"/>
    <col min="7173" max="7173" width="13" style="57" bestFit="1" customWidth="1"/>
    <col min="7174" max="7174" width="14.5703125" style="57" bestFit="1" customWidth="1"/>
    <col min="7175" max="7175" width="12.140625" style="57" bestFit="1" customWidth="1"/>
    <col min="7176" max="7186" width="14" style="57" customWidth="1"/>
    <col min="7187" max="7190" width="13.28515625" style="57" customWidth="1"/>
    <col min="7191" max="7415" width="9.140625" style="57"/>
    <col min="7416" max="7416" width="31" style="57" customWidth="1"/>
    <col min="7417" max="7417" width="18.5703125" style="57" customWidth="1"/>
    <col min="7418" max="7418" width="3.85546875" style="57" customWidth="1"/>
    <col min="7419" max="7419" width="18.7109375" style="57" customWidth="1"/>
    <col min="7420" max="7428" width="14" style="57" customWidth="1"/>
    <col min="7429" max="7429" width="13" style="57" bestFit="1" customWidth="1"/>
    <col min="7430" max="7430" width="14.5703125" style="57" bestFit="1" customWidth="1"/>
    <col min="7431" max="7431" width="12.140625" style="57" bestFit="1" customWidth="1"/>
    <col min="7432" max="7442" width="14" style="57" customWidth="1"/>
    <col min="7443" max="7446" width="13.28515625" style="57" customWidth="1"/>
    <col min="7447" max="7671" width="9.140625" style="57"/>
    <col min="7672" max="7672" width="31" style="57" customWidth="1"/>
    <col min="7673" max="7673" width="18.5703125" style="57" customWidth="1"/>
    <col min="7674" max="7674" width="3.85546875" style="57" customWidth="1"/>
    <col min="7675" max="7675" width="18.7109375" style="57" customWidth="1"/>
    <col min="7676" max="7684" width="14" style="57" customWidth="1"/>
    <col min="7685" max="7685" width="13" style="57" bestFit="1" customWidth="1"/>
    <col min="7686" max="7686" width="14.5703125" style="57" bestFit="1" customWidth="1"/>
    <col min="7687" max="7687" width="12.140625" style="57" bestFit="1" customWidth="1"/>
    <col min="7688" max="7698" width="14" style="57" customWidth="1"/>
    <col min="7699" max="7702" width="13.28515625" style="57" customWidth="1"/>
    <col min="7703" max="7927" width="9.140625" style="57"/>
    <col min="7928" max="7928" width="31" style="57" customWidth="1"/>
    <col min="7929" max="7929" width="18.5703125" style="57" customWidth="1"/>
    <col min="7930" max="7930" width="3.85546875" style="57" customWidth="1"/>
    <col min="7931" max="7931" width="18.7109375" style="57" customWidth="1"/>
    <col min="7932" max="7940" width="14" style="57" customWidth="1"/>
    <col min="7941" max="7941" width="13" style="57" bestFit="1" customWidth="1"/>
    <col min="7942" max="7942" width="14.5703125" style="57" bestFit="1" customWidth="1"/>
    <col min="7943" max="7943" width="12.140625" style="57" bestFit="1" customWidth="1"/>
    <col min="7944" max="7954" width="14" style="57" customWidth="1"/>
    <col min="7955" max="7958" width="13.28515625" style="57" customWidth="1"/>
    <col min="7959" max="8183" width="9.140625" style="57"/>
    <col min="8184" max="8184" width="31" style="57" customWidth="1"/>
    <col min="8185" max="8185" width="18.5703125" style="57" customWidth="1"/>
    <col min="8186" max="8186" width="3.85546875" style="57" customWidth="1"/>
    <col min="8187" max="8187" width="18.7109375" style="57" customWidth="1"/>
    <col min="8188" max="8196" width="14" style="57" customWidth="1"/>
    <col min="8197" max="8197" width="13" style="57" bestFit="1" customWidth="1"/>
    <col min="8198" max="8198" width="14.5703125" style="57" bestFit="1" customWidth="1"/>
    <col min="8199" max="8199" width="12.140625" style="57" bestFit="1" customWidth="1"/>
    <col min="8200" max="8210" width="14" style="57" customWidth="1"/>
    <col min="8211" max="8214" width="13.28515625" style="57" customWidth="1"/>
    <col min="8215" max="8439" width="9.140625" style="57"/>
    <col min="8440" max="8440" width="31" style="57" customWidth="1"/>
    <col min="8441" max="8441" width="18.5703125" style="57" customWidth="1"/>
    <col min="8442" max="8442" width="3.85546875" style="57" customWidth="1"/>
    <col min="8443" max="8443" width="18.7109375" style="57" customWidth="1"/>
    <col min="8444" max="8452" width="14" style="57" customWidth="1"/>
    <col min="8453" max="8453" width="13" style="57" bestFit="1" customWidth="1"/>
    <col min="8454" max="8454" width="14.5703125" style="57" bestFit="1" customWidth="1"/>
    <col min="8455" max="8455" width="12.140625" style="57" bestFit="1" customWidth="1"/>
    <col min="8456" max="8466" width="14" style="57" customWidth="1"/>
    <col min="8467" max="8470" width="13.28515625" style="57" customWidth="1"/>
    <col min="8471" max="8695" width="9.140625" style="57"/>
    <col min="8696" max="8696" width="31" style="57" customWidth="1"/>
    <col min="8697" max="8697" width="18.5703125" style="57" customWidth="1"/>
    <col min="8698" max="8698" width="3.85546875" style="57" customWidth="1"/>
    <col min="8699" max="8699" width="18.7109375" style="57" customWidth="1"/>
    <col min="8700" max="8708" width="14" style="57" customWidth="1"/>
    <col min="8709" max="8709" width="13" style="57" bestFit="1" customWidth="1"/>
    <col min="8710" max="8710" width="14.5703125" style="57" bestFit="1" customWidth="1"/>
    <col min="8711" max="8711" width="12.140625" style="57" bestFit="1" customWidth="1"/>
    <col min="8712" max="8722" width="14" style="57" customWidth="1"/>
    <col min="8723" max="8726" width="13.28515625" style="57" customWidth="1"/>
    <col min="8727" max="8951" width="9.140625" style="57"/>
    <col min="8952" max="8952" width="31" style="57" customWidth="1"/>
    <col min="8953" max="8953" width="18.5703125" style="57" customWidth="1"/>
    <col min="8954" max="8954" width="3.85546875" style="57" customWidth="1"/>
    <col min="8955" max="8955" width="18.7109375" style="57" customWidth="1"/>
    <col min="8956" max="8964" width="14" style="57" customWidth="1"/>
    <col min="8965" max="8965" width="13" style="57" bestFit="1" customWidth="1"/>
    <col min="8966" max="8966" width="14.5703125" style="57" bestFit="1" customWidth="1"/>
    <col min="8967" max="8967" width="12.140625" style="57" bestFit="1" customWidth="1"/>
    <col min="8968" max="8978" width="14" style="57" customWidth="1"/>
    <col min="8979" max="8982" width="13.28515625" style="57" customWidth="1"/>
    <col min="8983" max="9207" width="9.140625" style="57"/>
    <col min="9208" max="9208" width="31" style="57" customWidth="1"/>
    <col min="9209" max="9209" width="18.5703125" style="57" customWidth="1"/>
    <col min="9210" max="9210" width="3.85546875" style="57" customWidth="1"/>
    <col min="9211" max="9211" width="18.7109375" style="57" customWidth="1"/>
    <col min="9212" max="9220" width="14" style="57" customWidth="1"/>
    <col min="9221" max="9221" width="13" style="57" bestFit="1" customWidth="1"/>
    <col min="9222" max="9222" width="14.5703125" style="57" bestFit="1" customWidth="1"/>
    <col min="9223" max="9223" width="12.140625" style="57" bestFit="1" customWidth="1"/>
    <col min="9224" max="9234" width="14" style="57" customWidth="1"/>
    <col min="9235" max="9238" width="13.28515625" style="57" customWidth="1"/>
    <col min="9239" max="9463" width="9.140625" style="57"/>
    <col min="9464" max="9464" width="31" style="57" customWidth="1"/>
    <col min="9465" max="9465" width="18.5703125" style="57" customWidth="1"/>
    <col min="9466" max="9466" width="3.85546875" style="57" customWidth="1"/>
    <col min="9467" max="9467" width="18.7109375" style="57" customWidth="1"/>
    <col min="9468" max="9476" width="14" style="57" customWidth="1"/>
    <col min="9477" max="9477" width="13" style="57" bestFit="1" customWidth="1"/>
    <col min="9478" max="9478" width="14.5703125" style="57" bestFit="1" customWidth="1"/>
    <col min="9479" max="9479" width="12.140625" style="57" bestFit="1" customWidth="1"/>
    <col min="9480" max="9490" width="14" style="57" customWidth="1"/>
    <col min="9491" max="9494" width="13.28515625" style="57" customWidth="1"/>
    <col min="9495" max="9719" width="9.140625" style="57"/>
    <col min="9720" max="9720" width="31" style="57" customWidth="1"/>
    <col min="9721" max="9721" width="18.5703125" style="57" customWidth="1"/>
    <col min="9722" max="9722" width="3.85546875" style="57" customWidth="1"/>
    <col min="9723" max="9723" width="18.7109375" style="57" customWidth="1"/>
    <col min="9724" max="9732" width="14" style="57" customWidth="1"/>
    <col min="9733" max="9733" width="13" style="57" bestFit="1" customWidth="1"/>
    <col min="9734" max="9734" width="14.5703125" style="57" bestFit="1" customWidth="1"/>
    <col min="9735" max="9735" width="12.140625" style="57" bestFit="1" customWidth="1"/>
    <col min="9736" max="9746" width="14" style="57" customWidth="1"/>
    <col min="9747" max="9750" width="13.28515625" style="57" customWidth="1"/>
    <col min="9751" max="9975" width="9.140625" style="57"/>
    <col min="9976" max="9976" width="31" style="57" customWidth="1"/>
    <col min="9977" max="9977" width="18.5703125" style="57" customWidth="1"/>
    <col min="9978" max="9978" width="3.85546875" style="57" customWidth="1"/>
    <col min="9979" max="9979" width="18.7109375" style="57" customWidth="1"/>
    <col min="9980" max="9988" width="14" style="57" customWidth="1"/>
    <col min="9989" max="9989" width="13" style="57" bestFit="1" customWidth="1"/>
    <col min="9990" max="9990" width="14.5703125" style="57" bestFit="1" customWidth="1"/>
    <col min="9991" max="9991" width="12.140625" style="57" bestFit="1" customWidth="1"/>
    <col min="9992" max="10002" width="14" style="57" customWidth="1"/>
    <col min="10003" max="10006" width="13.28515625" style="57" customWidth="1"/>
    <col min="10007" max="10231" width="9.140625" style="57"/>
    <col min="10232" max="10232" width="31" style="57" customWidth="1"/>
    <col min="10233" max="10233" width="18.5703125" style="57" customWidth="1"/>
    <col min="10234" max="10234" width="3.85546875" style="57" customWidth="1"/>
    <col min="10235" max="10235" width="18.7109375" style="57" customWidth="1"/>
    <col min="10236" max="10244" width="14" style="57" customWidth="1"/>
    <col min="10245" max="10245" width="13" style="57" bestFit="1" customWidth="1"/>
    <col min="10246" max="10246" width="14.5703125" style="57" bestFit="1" customWidth="1"/>
    <col min="10247" max="10247" width="12.140625" style="57" bestFit="1" customWidth="1"/>
    <col min="10248" max="10258" width="14" style="57" customWidth="1"/>
    <col min="10259" max="10262" width="13.28515625" style="57" customWidth="1"/>
    <col min="10263" max="10487" width="9.140625" style="57"/>
    <col min="10488" max="10488" width="31" style="57" customWidth="1"/>
    <col min="10489" max="10489" width="18.5703125" style="57" customWidth="1"/>
    <col min="10490" max="10490" width="3.85546875" style="57" customWidth="1"/>
    <col min="10491" max="10491" width="18.7109375" style="57" customWidth="1"/>
    <col min="10492" max="10500" width="14" style="57" customWidth="1"/>
    <col min="10501" max="10501" width="13" style="57" bestFit="1" customWidth="1"/>
    <col min="10502" max="10502" width="14.5703125" style="57" bestFit="1" customWidth="1"/>
    <col min="10503" max="10503" width="12.140625" style="57" bestFit="1" customWidth="1"/>
    <col min="10504" max="10514" width="14" style="57" customWidth="1"/>
    <col min="10515" max="10518" width="13.28515625" style="57" customWidth="1"/>
    <col min="10519" max="10743" width="9.140625" style="57"/>
    <col min="10744" max="10744" width="31" style="57" customWidth="1"/>
    <col min="10745" max="10745" width="18.5703125" style="57" customWidth="1"/>
    <col min="10746" max="10746" width="3.85546875" style="57" customWidth="1"/>
    <col min="10747" max="10747" width="18.7109375" style="57" customWidth="1"/>
    <col min="10748" max="10756" width="14" style="57" customWidth="1"/>
    <col min="10757" max="10757" width="13" style="57" bestFit="1" customWidth="1"/>
    <col min="10758" max="10758" width="14.5703125" style="57" bestFit="1" customWidth="1"/>
    <col min="10759" max="10759" width="12.140625" style="57" bestFit="1" customWidth="1"/>
    <col min="10760" max="10770" width="14" style="57" customWidth="1"/>
    <col min="10771" max="10774" width="13.28515625" style="57" customWidth="1"/>
    <col min="10775" max="10999" width="9.140625" style="57"/>
    <col min="11000" max="11000" width="31" style="57" customWidth="1"/>
    <col min="11001" max="11001" width="18.5703125" style="57" customWidth="1"/>
    <col min="11002" max="11002" width="3.85546875" style="57" customWidth="1"/>
    <col min="11003" max="11003" width="18.7109375" style="57" customWidth="1"/>
    <col min="11004" max="11012" width="14" style="57" customWidth="1"/>
    <col min="11013" max="11013" width="13" style="57" bestFit="1" customWidth="1"/>
    <col min="11014" max="11014" width="14.5703125" style="57" bestFit="1" customWidth="1"/>
    <col min="11015" max="11015" width="12.140625" style="57" bestFit="1" customWidth="1"/>
    <col min="11016" max="11026" width="14" style="57" customWidth="1"/>
    <col min="11027" max="11030" width="13.28515625" style="57" customWidth="1"/>
    <col min="11031" max="11255" width="9.140625" style="57"/>
    <col min="11256" max="11256" width="31" style="57" customWidth="1"/>
    <col min="11257" max="11257" width="18.5703125" style="57" customWidth="1"/>
    <col min="11258" max="11258" width="3.85546875" style="57" customWidth="1"/>
    <col min="11259" max="11259" width="18.7109375" style="57" customWidth="1"/>
    <col min="11260" max="11268" width="14" style="57" customWidth="1"/>
    <col min="11269" max="11269" width="13" style="57" bestFit="1" customWidth="1"/>
    <col min="11270" max="11270" width="14.5703125" style="57" bestFit="1" customWidth="1"/>
    <col min="11271" max="11271" width="12.140625" style="57" bestFit="1" customWidth="1"/>
    <col min="11272" max="11282" width="14" style="57" customWidth="1"/>
    <col min="11283" max="11286" width="13.28515625" style="57" customWidth="1"/>
    <col min="11287" max="11511" width="9.140625" style="57"/>
    <col min="11512" max="11512" width="31" style="57" customWidth="1"/>
    <col min="11513" max="11513" width="18.5703125" style="57" customWidth="1"/>
    <col min="11514" max="11514" width="3.85546875" style="57" customWidth="1"/>
    <col min="11515" max="11515" width="18.7109375" style="57" customWidth="1"/>
    <col min="11516" max="11524" width="14" style="57" customWidth="1"/>
    <col min="11525" max="11525" width="13" style="57" bestFit="1" customWidth="1"/>
    <col min="11526" max="11526" width="14.5703125" style="57" bestFit="1" customWidth="1"/>
    <col min="11527" max="11527" width="12.140625" style="57" bestFit="1" customWidth="1"/>
    <col min="11528" max="11538" width="14" style="57" customWidth="1"/>
    <col min="11539" max="11542" width="13.28515625" style="57" customWidth="1"/>
    <col min="11543" max="11767" width="9.140625" style="57"/>
    <col min="11768" max="11768" width="31" style="57" customWidth="1"/>
    <col min="11769" max="11769" width="18.5703125" style="57" customWidth="1"/>
    <col min="11770" max="11770" width="3.85546875" style="57" customWidth="1"/>
    <col min="11771" max="11771" width="18.7109375" style="57" customWidth="1"/>
    <col min="11772" max="11780" width="14" style="57" customWidth="1"/>
    <col min="11781" max="11781" width="13" style="57" bestFit="1" customWidth="1"/>
    <col min="11782" max="11782" width="14.5703125" style="57" bestFit="1" customWidth="1"/>
    <col min="11783" max="11783" width="12.140625" style="57" bestFit="1" customWidth="1"/>
    <col min="11784" max="11794" width="14" style="57" customWidth="1"/>
    <col min="11795" max="11798" width="13.28515625" style="57" customWidth="1"/>
    <col min="11799" max="12023" width="9.140625" style="57"/>
    <col min="12024" max="12024" width="31" style="57" customWidth="1"/>
    <col min="12025" max="12025" width="18.5703125" style="57" customWidth="1"/>
    <col min="12026" max="12026" width="3.85546875" style="57" customWidth="1"/>
    <col min="12027" max="12027" width="18.7109375" style="57" customWidth="1"/>
    <col min="12028" max="12036" width="14" style="57" customWidth="1"/>
    <col min="12037" max="12037" width="13" style="57" bestFit="1" customWidth="1"/>
    <col min="12038" max="12038" width="14.5703125" style="57" bestFit="1" customWidth="1"/>
    <col min="12039" max="12039" width="12.140625" style="57" bestFit="1" customWidth="1"/>
    <col min="12040" max="12050" width="14" style="57" customWidth="1"/>
    <col min="12051" max="12054" width="13.28515625" style="57" customWidth="1"/>
    <col min="12055" max="12279" width="9.140625" style="57"/>
    <col min="12280" max="12280" width="31" style="57" customWidth="1"/>
    <col min="12281" max="12281" width="18.5703125" style="57" customWidth="1"/>
    <col min="12282" max="12282" width="3.85546875" style="57" customWidth="1"/>
    <col min="12283" max="12283" width="18.7109375" style="57" customWidth="1"/>
    <col min="12284" max="12292" width="14" style="57" customWidth="1"/>
    <col min="12293" max="12293" width="13" style="57" bestFit="1" customWidth="1"/>
    <col min="12294" max="12294" width="14.5703125" style="57" bestFit="1" customWidth="1"/>
    <col min="12295" max="12295" width="12.140625" style="57" bestFit="1" customWidth="1"/>
    <col min="12296" max="12306" width="14" style="57" customWidth="1"/>
    <col min="12307" max="12310" width="13.28515625" style="57" customWidth="1"/>
    <col min="12311" max="12535" width="9.140625" style="57"/>
    <col min="12536" max="12536" width="31" style="57" customWidth="1"/>
    <col min="12537" max="12537" width="18.5703125" style="57" customWidth="1"/>
    <col min="12538" max="12538" width="3.85546875" style="57" customWidth="1"/>
    <col min="12539" max="12539" width="18.7109375" style="57" customWidth="1"/>
    <col min="12540" max="12548" width="14" style="57" customWidth="1"/>
    <col min="12549" max="12549" width="13" style="57" bestFit="1" customWidth="1"/>
    <col min="12550" max="12550" width="14.5703125" style="57" bestFit="1" customWidth="1"/>
    <col min="12551" max="12551" width="12.140625" style="57" bestFit="1" customWidth="1"/>
    <col min="12552" max="12562" width="14" style="57" customWidth="1"/>
    <col min="12563" max="12566" width="13.28515625" style="57" customWidth="1"/>
    <col min="12567" max="12791" width="9.140625" style="57"/>
    <col min="12792" max="12792" width="31" style="57" customWidth="1"/>
    <col min="12793" max="12793" width="18.5703125" style="57" customWidth="1"/>
    <col min="12794" max="12794" width="3.85546875" style="57" customWidth="1"/>
    <col min="12795" max="12795" width="18.7109375" style="57" customWidth="1"/>
    <col min="12796" max="12804" width="14" style="57" customWidth="1"/>
    <col min="12805" max="12805" width="13" style="57" bestFit="1" customWidth="1"/>
    <col min="12806" max="12806" width="14.5703125" style="57" bestFit="1" customWidth="1"/>
    <col min="12807" max="12807" width="12.140625" style="57" bestFit="1" customWidth="1"/>
    <col min="12808" max="12818" width="14" style="57" customWidth="1"/>
    <col min="12819" max="12822" width="13.28515625" style="57" customWidth="1"/>
    <col min="12823" max="13047" width="9.140625" style="57"/>
    <col min="13048" max="13048" width="31" style="57" customWidth="1"/>
    <col min="13049" max="13049" width="18.5703125" style="57" customWidth="1"/>
    <col min="13050" max="13050" width="3.85546875" style="57" customWidth="1"/>
    <col min="13051" max="13051" width="18.7109375" style="57" customWidth="1"/>
    <col min="13052" max="13060" width="14" style="57" customWidth="1"/>
    <col min="13061" max="13061" width="13" style="57" bestFit="1" customWidth="1"/>
    <col min="13062" max="13062" width="14.5703125" style="57" bestFit="1" customWidth="1"/>
    <col min="13063" max="13063" width="12.140625" style="57" bestFit="1" customWidth="1"/>
    <col min="13064" max="13074" width="14" style="57" customWidth="1"/>
    <col min="13075" max="13078" width="13.28515625" style="57" customWidth="1"/>
    <col min="13079" max="13303" width="9.140625" style="57"/>
    <col min="13304" max="13304" width="31" style="57" customWidth="1"/>
    <col min="13305" max="13305" width="18.5703125" style="57" customWidth="1"/>
    <col min="13306" max="13306" width="3.85546875" style="57" customWidth="1"/>
    <col min="13307" max="13307" width="18.7109375" style="57" customWidth="1"/>
    <col min="13308" max="13316" width="14" style="57" customWidth="1"/>
    <col min="13317" max="13317" width="13" style="57" bestFit="1" customWidth="1"/>
    <col min="13318" max="13318" width="14.5703125" style="57" bestFit="1" customWidth="1"/>
    <col min="13319" max="13319" width="12.140625" style="57" bestFit="1" customWidth="1"/>
    <col min="13320" max="13330" width="14" style="57" customWidth="1"/>
    <col min="13331" max="13334" width="13.28515625" style="57" customWidth="1"/>
    <col min="13335" max="13559" width="9.140625" style="57"/>
    <col min="13560" max="13560" width="31" style="57" customWidth="1"/>
    <col min="13561" max="13561" width="18.5703125" style="57" customWidth="1"/>
    <col min="13562" max="13562" width="3.85546875" style="57" customWidth="1"/>
    <col min="13563" max="13563" width="18.7109375" style="57" customWidth="1"/>
    <col min="13564" max="13572" width="14" style="57" customWidth="1"/>
    <col min="13573" max="13573" width="13" style="57" bestFit="1" customWidth="1"/>
    <col min="13574" max="13574" width="14.5703125" style="57" bestFit="1" customWidth="1"/>
    <col min="13575" max="13575" width="12.140625" style="57" bestFit="1" customWidth="1"/>
    <col min="13576" max="13586" width="14" style="57" customWidth="1"/>
    <col min="13587" max="13590" width="13.28515625" style="57" customWidth="1"/>
    <col min="13591" max="13815" width="9.140625" style="57"/>
    <col min="13816" max="13816" width="31" style="57" customWidth="1"/>
    <col min="13817" max="13817" width="18.5703125" style="57" customWidth="1"/>
    <col min="13818" max="13818" width="3.85546875" style="57" customWidth="1"/>
    <col min="13819" max="13819" width="18.7109375" style="57" customWidth="1"/>
    <col min="13820" max="13828" width="14" style="57" customWidth="1"/>
    <col min="13829" max="13829" width="13" style="57" bestFit="1" customWidth="1"/>
    <col min="13830" max="13830" width="14.5703125" style="57" bestFit="1" customWidth="1"/>
    <col min="13831" max="13831" width="12.140625" style="57" bestFit="1" customWidth="1"/>
    <col min="13832" max="13842" width="14" style="57" customWidth="1"/>
    <col min="13843" max="13846" width="13.28515625" style="57" customWidth="1"/>
    <col min="13847" max="14071" width="9.140625" style="57"/>
    <col min="14072" max="14072" width="31" style="57" customWidth="1"/>
    <col min="14073" max="14073" width="18.5703125" style="57" customWidth="1"/>
    <col min="14074" max="14074" width="3.85546875" style="57" customWidth="1"/>
    <col min="14075" max="14075" width="18.7109375" style="57" customWidth="1"/>
    <col min="14076" max="14084" width="14" style="57" customWidth="1"/>
    <col min="14085" max="14085" width="13" style="57" bestFit="1" customWidth="1"/>
    <col min="14086" max="14086" width="14.5703125" style="57" bestFit="1" customWidth="1"/>
    <col min="14087" max="14087" width="12.140625" style="57" bestFit="1" customWidth="1"/>
    <col min="14088" max="14098" width="14" style="57" customWidth="1"/>
    <col min="14099" max="14102" width="13.28515625" style="57" customWidth="1"/>
    <col min="14103" max="14327" width="9.140625" style="57"/>
    <col min="14328" max="14328" width="31" style="57" customWidth="1"/>
    <col min="14329" max="14329" width="18.5703125" style="57" customWidth="1"/>
    <col min="14330" max="14330" width="3.85546875" style="57" customWidth="1"/>
    <col min="14331" max="14331" width="18.7109375" style="57" customWidth="1"/>
    <col min="14332" max="14340" width="14" style="57" customWidth="1"/>
    <col min="14341" max="14341" width="13" style="57" bestFit="1" customWidth="1"/>
    <col min="14342" max="14342" width="14.5703125" style="57" bestFit="1" customWidth="1"/>
    <col min="14343" max="14343" width="12.140625" style="57" bestFit="1" customWidth="1"/>
    <col min="14344" max="14354" width="14" style="57" customWidth="1"/>
    <col min="14355" max="14358" width="13.28515625" style="57" customWidth="1"/>
    <col min="14359" max="14583" width="9.140625" style="57"/>
    <col min="14584" max="14584" width="31" style="57" customWidth="1"/>
    <col min="14585" max="14585" width="18.5703125" style="57" customWidth="1"/>
    <col min="14586" max="14586" width="3.85546875" style="57" customWidth="1"/>
    <col min="14587" max="14587" width="18.7109375" style="57" customWidth="1"/>
    <col min="14588" max="14596" width="14" style="57" customWidth="1"/>
    <col min="14597" max="14597" width="13" style="57" bestFit="1" customWidth="1"/>
    <col min="14598" max="14598" width="14.5703125" style="57" bestFit="1" customWidth="1"/>
    <col min="14599" max="14599" width="12.140625" style="57" bestFit="1" customWidth="1"/>
    <col min="14600" max="14610" width="14" style="57" customWidth="1"/>
    <col min="14611" max="14614" width="13.28515625" style="57" customWidth="1"/>
    <col min="14615" max="14839" width="9.140625" style="57"/>
    <col min="14840" max="14840" width="31" style="57" customWidth="1"/>
    <col min="14841" max="14841" width="18.5703125" style="57" customWidth="1"/>
    <col min="14842" max="14842" width="3.85546875" style="57" customWidth="1"/>
    <col min="14843" max="14843" width="18.7109375" style="57" customWidth="1"/>
    <col min="14844" max="14852" width="14" style="57" customWidth="1"/>
    <col min="14853" max="14853" width="13" style="57" bestFit="1" customWidth="1"/>
    <col min="14854" max="14854" width="14.5703125" style="57" bestFit="1" customWidth="1"/>
    <col min="14855" max="14855" width="12.140625" style="57" bestFit="1" customWidth="1"/>
    <col min="14856" max="14866" width="14" style="57" customWidth="1"/>
    <col min="14867" max="14870" width="13.28515625" style="57" customWidth="1"/>
    <col min="14871" max="15095" width="9.140625" style="57"/>
    <col min="15096" max="15096" width="31" style="57" customWidth="1"/>
    <col min="15097" max="15097" width="18.5703125" style="57" customWidth="1"/>
    <col min="15098" max="15098" width="3.85546875" style="57" customWidth="1"/>
    <col min="15099" max="15099" width="18.7109375" style="57" customWidth="1"/>
    <col min="15100" max="15108" width="14" style="57" customWidth="1"/>
    <col min="15109" max="15109" width="13" style="57" bestFit="1" customWidth="1"/>
    <col min="15110" max="15110" width="14.5703125" style="57" bestFit="1" customWidth="1"/>
    <col min="15111" max="15111" width="12.140625" style="57" bestFit="1" customWidth="1"/>
    <col min="15112" max="15122" width="14" style="57" customWidth="1"/>
    <col min="15123" max="15126" width="13.28515625" style="57" customWidth="1"/>
    <col min="15127" max="15351" width="9.140625" style="57"/>
    <col min="15352" max="15352" width="31" style="57" customWidth="1"/>
    <col min="15353" max="15353" width="18.5703125" style="57" customWidth="1"/>
    <col min="15354" max="15354" width="3.85546875" style="57" customWidth="1"/>
    <col min="15355" max="15355" width="18.7109375" style="57" customWidth="1"/>
    <col min="15356" max="15364" width="14" style="57" customWidth="1"/>
    <col min="15365" max="15365" width="13" style="57" bestFit="1" customWidth="1"/>
    <col min="15366" max="15366" width="14.5703125" style="57" bestFit="1" customWidth="1"/>
    <col min="15367" max="15367" width="12.140625" style="57" bestFit="1" customWidth="1"/>
    <col min="15368" max="15378" width="14" style="57" customWidth="1"/>
    <col min="15379" max="15382" width="13.28515625" style="57" customWidth="1"/>
    <col min="15383" max="15607" width="9.140625" style="57"/>
    <col min="15608" max="15608" width="31" style="57" customWidth="1"/>
    <col min="15609" max="15609" width="18.5703125" style="57" customWidth="1"/>
    <col min="15610" max="15610" width="3.85546875" style="57" customWidth="1"/>
    <col min="15611" max="15611" width="18.7109375" style="57" customWidth="1"/>
    <col min="15612" max="15620" width="14" style="57" customWidth="1"/>
    <col min="15621" max="15621" width="13" style="57" bestFit="1" customWidth="1"/>
    <col min="15622" max="15622" width="14.5703125" style="57" bestFit="1" customWidth="1"/>
    <col min="15623" max="15623" width="12.140625" style="57" bestFit="1" customWidth="1"/>
    <col min="15624" max="15634" width="14" style="57" customWidth="1"/>
    <col min="15635" max="15638" width="13.28515625" style="57" customWidth="1"/>
    <col min="15639" max="15863" width="9.140625" style="57"/>
    <col min="15864" max="15864" width="31" style="57" customWidth="1"/>
    <col min="15865" max="15865" width="18.5703125" style="57" customWidth="1"/>
    <col min="15866" max="15866" width="3.85546875" style="57" customWidth="1"/>
    <col min="15867" max="15867" width="18.7109375" style="57" customWidth="1"/>
    <col min="15868" max="15876" width="14" style="57" customWidth="1"/>
    <col min="15877" max="15877" width="13" style="57" bestFit="1" customWidth="1"/>
    <col min="15878" max="15878" width="14.5703125" style="57" bestFit="1" customWidth="1"/>
    <col min="15879" max="15879" width="12.140625" style="57" bestFit="1" customWidth="1"/>
    <col min="15880" max="15890" width="14" style="57" customWidth="1"/>
    <col min="15891" max="15894" width="13.28515625" style="57" customWidth="1"/>
    <col min="15895" max="16119" width="9.140625" style="57"/>
    <col min="16120" max="16120" width="31" style="57" customWidth="1"/>
    <col min="16121" max="16121" width="18.5703125" style="57" customWidth="1"/>
    <col min="16122" max="16122" width="3.85546875" style="57" customWidth="1"/>
    <col min="16123" max="16123" width="18.7109375" style="57" customWidth="1"/>
    <col min="16124" max="16132" width="14" style="57" customWidth="1"/>
    <col min="16133" max="16133" width="13" style="57" bestFit="1" customWidth="1"/>
    <col min="16134" max="16134" width="14.5703125" style="57" bestFit="1" customWidth="1"/>
    <col min="16135" max="16135" width="12.140625" style="57" bestFit="1" customWidth="1"/>
    <col min="16136" max="16146" width="14" style="57" customWidth="1"/>
    <col min="16147" max="16150" width="13.28515625" style="57" customWidth="1"/>
    <col min="16151" max="16384" width="9.140625" style="57"/>
  </cols>
  <sheetData>
    <row r="1" spans="1:20" x14ac:dyDescent="0.2">
      <c r="D1" s="57"/>
      <c r="E1" s="57"/>
      <c r="F1" s="57"/>
    </row>
    <row r="2" spans="1:20" x14ac:dyDescent="0.2">
      <c r="D2" s="57"/>
      <c r="E2" s="57"/>
      <c r="F2" s="57"/>
      <c r="P2"/>
      <c r="Q2"/>
      <c r="R2"/>
      <c r="S2"/>
      <c r="T2"/>
    </row>
    <row r="3" spans="1:20" s="59" customFormat="1" ht="15.75" customHeight="1" x14ac:dyDescent="0.2">
      <c r="A3" s="148" t="s">
        <v>93</v>
      </c>
      <c r="B3" s="149"/>
      <c r="C3" s="149"/>
      <c r="D3" s="149"/>
      <c r="E3" s="149"/>
      <c r="F3" s="149"/>
      <c r="G3" s="150"/>
      <c r="H3"/>
      <c r="I3"/>
      <c r="J3"/>
      <c r="K3"/>
      <c r="L3"/>
    </row>
    <row r="4" spans="1:20" ht="44.25" customHeight="1" x14ac:dyDescent="0.2">
      <c r="A4" s="111" t="s">
        <v>69</v>
      </c>
      <c r="B4" s="111" t="s">
        <v>57</v>
      </c>
      <c r="C4" s="111" t="s">
        <v>70</v>
      </c>
      <c r="D4" s="111" t="s">
        <v>71</v>
      </c>
      <c r="E4" s="111" t="s">
        <v>72</v>
      </c>
      <c r="F4" s="111" t="s">
        <v>101</v>
      </c>
      <c r="G4" s="111" t="s">
        <v>102</v>
      </c>
      <c r="H4"/>
      <c r="I4"/>
      <c r="J4"/>
      <c r="K4"/>
      <c r="L4"/>
      <c r="M4" s="57"/>
    </row>
    <row r="5" spans="1:20" x14ac:dyDescent="0.2">
      <c r="A5" s="113">
        <v>2014</v>
      </c>
      <c r="B5" s="112">
        <f>AVERAGEIF($A$24:$A$143,$A5,G$24:G$143)</f>
        <v>10964.083333333334</v>
      </c>
      <c r="C5" s="112">
        <f>AVERAGEIF($A$24:$A$143,$A5,I$24:I$143)</f>
        <v>2106</v>
      </c>
      <c r="D5" s="112">
        <f>AVERAGEIF($A$24:$A$143,$A5,L$24:L$143)</f>
        <v>172</v>
      </c>
      <c r="E5" s="112">
        <f>AVERAGEIF($A$24:$A$143,$A5,N$24:N$143)</f>
        <v>54.75</v>
      </c>
      <c r="F5" s="112">
        <f>AVERAGEIF($A$24:$A$143,$A5,Q$24:Q$143)</f>
        <v>56.666666666666664</v>
      </c>
      <c r="G5" s="112">
        <f>AVERAGEIF($A$24:$A$143,$A5,T$24:T$143)</f>
        <v>2843.6666666666665</v>
      </c>
      <c r="H5"/>
      <c r="I5"/>
      <c r="J5"/>
      <c r="K5"/>
      <c r="L5"/>
      <c r="M5" s="57"/>
    </row>
    <row r="6" spans="1:20" x14ac:dyDescent="0.2">
      <c r="A6" s="113">
        <v>2015</v>
      </c>
      <c r="B6" s="112">
        <f t="shared" ref="B6:B14" si="0">AVERAGEIF($A$24:$A$143,$A6,G$24:G$143)</f>
        <v>11020.916666666666</v>
      </c>
      <c r="C6" s="112">
        <f t="shared" ref="C6:C14" si="1">AVERAGEIF($A$24:$A$143,$A6,I$24:I$143)</f>
        <v>2132.5833333333335</v>
      </c>
      <c r="D6" s="112">
        <f t="shared" ref="D6:D14" si="2">AVERAGEIF($A$24:$A$143,$A6,L$24:L$143)</f>
        <v>155.83333333333334</v>
      </c>
      <c r="E6" s="112">
        <f t="shared" ref="E6:E14" si="3">AVERAGEIF($A$24:$A$143,$A6,N$24:N$143)</f>
        <v>52.166666666666664</v>
      </c>
      <c r="F6" s="112">
        <f t="shared" ref="F6:F14" si="4">AVERAGEIF($A$24:$A$143,$A6,Q$24:Q$143)</f>
        <v>53</v>
      </c>
      <c r="G6" s="112">
        <f t="shared" ref="G6:G14" si="5">AVERAGEIF($A$24:$A$143,$A6,T$24:T$143)</f>
        <v>2766.0833333333335</v>
      </c>
      <c r="H6"/>
      <c r="I6"/>
      <c r="J6"/>
      <c r="K6"/>
      <c r="L6"/>
      <c r="M6" s="57"/>
    </row>
    <row r="7" spans="1:20" x14ac:dyDescent="0.2">
      <c r="A7" s="113">
        <v>2016</v>
      </c>
      <c r="B7" s="112">
        <f t="shared" si="0"/>
        <v>11078.416666666666</v>
      </c>
      <c r="C7" s="112">
        <f t="shared" si="1"/>
        <v>2137.6666666666665</v>
      </c>
      <c r="D7" s="112">
        <f t="shared" si="2"/>
        <v>149.33333333333334</v>
      </c>
      <c r="E7" s="112">
        <f t="shared" si="3"/>
        <v>51</v>
      </c>
      <c r="F7" s="112">
        <f t="shared" si="4"/>
        <v>52.333333333333336</v>
      </c>
      <c r="G7" s="112">
        <f t="shared" si="5"/>
        <v>2679.1666666666665</v>
      </c>
      <c r="H7"/>
      <c r="I7"/>
      <c r="J7"/>
      <c r="K7"/>
      <c r="L7"/>
      <c r="M7" s="57"/>
    </row>
    <row r="8" spans="1:20" x14ac:dyDescent="0.2">
      <c r="A8" s="113">
        <v>2017</v>
      </c>
      <c r="B8" s="112">
        <f t="shared" si="0"/>
        <v>11168.75</v>
      </c>
      <c r="C8" s="112">
        <f t="shared" si="1"/>
        <v>2144.4166666666665</v>
      </c>
      <c r="D8" s="112">
        <f t="shared" si="2"/>
        <v>137.91666666666666</v>
      </c>
      <c r="E8" s="112">
        <f t="shared" si="3"/>
        <v>51</v>
      </c>
      <c r="F8" s="112">
        <f t="shared" si="4"/>
        <v>45.5</v>
      </c>
      <c r="G8" s="112">
        <f t="shared" si="5"/>
        <v>2848.3333333333335</v>
      </c>
      <c r="H8"/>
      <c r="I8"/>
      <c r="J8"/>
      <c r="K8"/>
      <c r="L8"/>
      <c r="M8" s="57"/>
    </row>
    <row r="9" spans="1:20" x14ac:dyDescent="0.2">
      <c r="A9" s="113">
        <v>2018</v>
      </c>
      <c r="B9" s="112">
        <f t="shared" si="0"/>
        <v>11288.666666666666</v>
      </c>
      <c r="C9" s="112">
        <f t="shared" si="1"/>
        <v>2158.8333333333335</v>
      </c>
      <c r="D9" s="112">
        <f t="shared" si="2"/>
        <v>137.5</v>
      </c>
      <c r="E9" s="112">
        <f t="shared" si="3"/>
        <v>51</v>
      </c>
      <c r="F9" s="112">
        <f t="shared" si="4"/>
        <v>44</v>
      </c>
      <c r="G9" s="112">
        <f t="shared" si="5"/>
        <v>2849</v>
      </c>
      <c r="H9"/>
      <c r="I9"/>
      <c r="J9"/>
      <c r="K9"/>
      <c r="L9"/>
      <c r="M9" s="57"/>
    </row>
    <row r="10" spans="1:20" x14ac:dyDescent="0.2">
      <c r="A10" s="113">
        <v>2019</v>
      </c>
      <c r="B10" s="112">
        <f t="shared" si="0"/>
        <v>11429.75</v>
      </c>
      <c r="C10" s="112">
        <f t="shared" si="1"/>
        <v>2154.3333333333335</v>
      </c>
      <c r="D10" s="112">
        <f t="shared" si="2"/>
        <v>136.66666666666666</v>
      </c>
      <c r="E10" s="112">
        <f t="shared" si="3"/>
        <v>54.583333333333336</v>
      </c>
      <c r="F10" s="112">
        <f t="shared" si="4"/>
        <v>41.25</v>
      </c>
      <c r="G10" s="112">
        <f t="shared" si="5"/>
        <v>2849.1666666666665</v>
      </c>
      <c r="H10"/>
      <c r="I10"/>
      <c r="J10"/>
      <c r="K10"/>
      <c r="L10"/>
      <c r="M10" s="57"/>
    </row>
    <row r="11" spans="1:20" x14ac:dyDescent="0.2">
      <c r="A11" s="113">
        <v>2020</v>
      </c>
      <c r="B11" s="112">
        <f t="shared" si="0"/>
        <v>11566</v>
      </c>
      <c r="C11" s="112">
        <f t="shared" si="1"/>
        <v>2155.3333333333335</v>
      </c>
      <c r="D11" s="112">
        <f t="shared" si="2"/>
        <v>135.83333333333334</v>
      </c>
      <c r="E11" s="112">
        <f t="shared" si="3"/>
        <v>56</v>
      </c>
      <c r="F11" s="112">
        <f t="shared" si="4"/>
        <v>40</v>
      </c>
      <c r="G11" s="112">
        <f t="shared" si="5"/>
        <v>2851</v>
      </c>
      <c r="H11"/>
      <c r="I11"/>
      <c r="J11"/>
      <c r="K11"/>
      <c r="L11"/>
      <c r="M11" s="57"/>
    </row>
    <row r="12" spans="1:20" x14ac:dyDescent="0.2">
      <c r="A12" s="113">
        <v>2021</v>
      </c>
      <c r="B12" s="112">
        <f t="shared" si="0"/>
        <v>11725.916666666666</v>
      </c>
      <c r="C12" s="112">
        <f t="shared" si="1"/>
        <v>2190.8333333333335</v>
      </c>
      <c r="D12" s="112">
        <f t="shared" si="2"/>
        <v>130.75</v>
      </c>
      <c r="E12" s="112">
        <f t="shared" si="3"/>
        <v>64.5</v>
      </c>
      <c r="F12" s="112">
        <f t="shared" si="4"/>
        <v>40</v>
      </c>
      <c r="G12" s="112">
        <f t="shared" si="5"/>
        <v>2851</v>
      </c>
      <c r="H12"/>
      <c r="I12"/>
      <c r="J12"/>
      <c r="K12"/>
      <c r="L12"/>
      <c r="M12" s="57"/>
    </row>
    <row r="13" spans="1:20" x14ac:dyDescent="0.2">
      <c r="A13" s="113">
        <v>2022</v>
      </c>
      <c r="B13" s="112">
        <f t="shared" si="0"/>
        <v>11911.916666666666</v>
      </c>
      <c r="C13" s="112">
        <f t="shared" si="1"/>
        <v>2205.1666666666665</v>
      </c>
      <c r="D13" s="112">
        <f t="shared" si="2"/>
        <v>129.08333333333334</v>
      </c>
      <c r="E13" s="112">
        <f t="shared" si="3"/>
        <v>64.25</v>
      </c>
      <c r="F13" s="112">
        <f t="shared" si="4"/>
        <v>37.583333333333336</v>
      </c>
      <c r="G13" s="112">
        <f t="shared" si="5"/>
        <v>2851</v>
      </c>
      <c r="H13"/>
      <c r="I13"/>
      <c r="J13"/>
      <c r="K13"/>
      <c r="L13"/>
      <c r="M13" s="57"/>
    </row>
    <row r="14" spans="1:20" x14ac:dyDescent="0.2">
      <c r="A14" s="113">
        <v>2023</v>
      </c>
      <c r="B14" s="112">
        <f t="shared" si="0"/>
        <v>12125.25</v>
      </c>
      <c r="C14" s="112">
        <f t="shared" si="1"/>
        <v>2206.4166666666665</v>
      </c>
      <c r="D14" s="112">
        <f t="shared" si="2"/>
        <v>130.08333333333334</v>
      </c>
      <c r="E14" s="112">
        <f t="shared" si="3"/>
        <v>63.333333333333336</v>
      </c>
      <c r="F14" s="112">
        <f t="shared" si="4"/>
        <v>32.5</v>
      </c>
      <c r="G14" s="112">
        <f t="shared" si="5"/>
        <v>2851</v>
      </c>
      <c r="H14"/>
      <c r="I14"/>
      <c r="J14"/>
      <c r="K14"/>
      <c r="L14"/>
      <c r="M14" s="57"/>
    </row>
    <row r="15" spans="1:20" x14ac:dyDescent="0.2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0" x14ac:dyDescent="0.2">
      <c r="A16"/>
      <c r="B16"/>
      <c r="D16"/>
      <c r="E16"/>
      <c r="F16"/>
      <c r="G16"/>
      <c r="H16"/>
      <c r="I16" s="41"/>
      <c r="J16"/>
      <c r="K16"/>
      <c r="L16"/>
      <c r="M16"/>
      <c r="N16"/>
      <c r="O16"/>
      <c r="P16"/>
      <c r="Q16"/>
      <c r="R16"/>
      <c r="S16"/>
    </row>
    <row r="17" spans="1:22" x14ac:dyDescent="0.2">
      <c r="A17"/>
      <c r="B17" s="4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22" x14ac:dyDescent="0.2">
      <c r="A18"/>
      <c r="B18"/>
      <c r="D18"/>
      <c r="E18"/>
      <c r="F18"/>
      <c r="G18" s="41"/>
      <c r="H18"/>
      <c r="I18"/>
      <c r="J18"/>
      <c r="K18"/>
      <c r="L18"/>
      <c r="M18"/>
      <c r="N18"/>
      <c r="O18"/>
      <c r="P18"/>
      <c r="Q18"/>
      <c r="R18"/>
      <c r="S18"/>
    </row>
    <row r="20" spans="1:22" ht="15.75" x14ac:dyDescent="0.2">
      <c r="A20" s="151" t="s">
        <v>73</v>
      </c>
      <c r="B20" s="151"/>
      <c r="C20" s="61"/>
      <c r="D20" s="152" t="s">
        <v>74</v>
      </c>
      <c r="E20" s="153"/>
      <c r="F20" s="151" t="s">
        <v>75</v>
      </c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1:22" ht="22.5" x14ac:dyDescent="0.2">
      <c r="A21" s="114"/>
      <c r="B21" s="114"/>
      <c r="C21" s="63"/>
      <c r="D21" s="115" t="s">
        <v>76</v>
      </c>
      <c r="E21" s="116"/>
      <c r="F21" s="155" t="str">
        <f>B4</f>
        <v>Residential</v>
      </c>
      <c r="G21" s="156"/>
      <c r="H21" s="154" t="str">
        <f>C4</f>
        <v>General Service &lt; 50 kW</v>
      </c>
      <c r="I21" s="156"/>
      <c r="J21" s="154" t="str">
        <f>D4</f>
        <v>General Service &gt; 50 to 4999 kW</v>
      </c>
      <c r="K21" s="155"/>
      <c r="L21" s="156"/>
      <c r="M21" s="154" t="str">
        <f>E4</f>
        <v>USL</v>
      </c>
      <c r="N21" s="156"/>
      <c r="O21" s="154" t="str">
        <f>F4</f>
        <v>Sentinel Lighting</v>
      </c>
      <c r="P21" s="155"/>
      <c r="Q21" s="156"/>
      <c r="R21" s="154" t="str">
        <f>G4</f>
        <v>Street Lighting</v>
      </c>
      <c r="S21" s="155"/>
      <c r="T21" s="156"/>
    </row>
    <row r="22" spans="1:22" ht="34.5" thickBot="1" x14ac:dyDescent="0.25">
      <c r="A22" s="62"/>
      <c r="B22" s="62"/>
      <c r="C22" s="64"/>
      <c r="D22" s="117" t="s">
        <v>46</v>
      </c>
      <c r="E22" s="118"/>
      <c r="F22" s="119" t="s">
        <v>46</v>
      </c>
      <c r="G22" s="120" t="s">
        <v>77</v>
      </c>
      <c r="H22" s="117" t="s">
        <v>46</v>
      </c>
      <c r="I22" s="120" t="s">
        <v>77</v>
      </c>
      <c r="J22" s="117" t="s">
        <v>46</v>
      </c>
      <c r="K22" s="121" t="s">
        <v>47</v>
      </c>
      <c r="L22" s="120" t="s">
        <v>77</v>
      </c>
      <c r="M22" s="117" t="s">
        <v>46</v>
      </c>
      <c r="N22" s="120" t="s">
        <v>78</v>
      </c>
      <c r="O22" s="117" t="s">
        <v>46</v>
      </c>
      <c r="P22" s="121" t="s">
        <v>47</v>
      </c>
      <c r="Q22" s="120" t="s">
        <v>77</v>
      </c>
      <c r="R22" s="117" t="s">
        <v>46</v>
      </c>
      <c r="S22" s="121" t="s">
        <v>47</v>
      </c>
      <c r="T22" s="120" t="s">
        <v>77</v>
      </c>
    </row>
    <row r="23" spans="1:22" x14ac:dyDescent="0.2">
      <c r="A23" s="65" t="s">
        <v>63</v>
      </c>
      <c r="B23" s="65" t="s">
        <v>94</v>
      </c>
      <c r="C23" s="64"/>
      <c r="D23" s="66"/>
      <c r="E23" s="67"/>
      <c r="F23" s="68"/>
      <c r="G23" s="69"/>
      <c r="H23" s="70"/>
      <c r="I23" s="69"/>
      <c r="J23" s="70"/>
      <c r="K23" s="71"/>
      <c r="L23" s="72"/>
      <c r="M23" s="74"/>
      <c r="N23" s="73"/>
      <c r="O23" s="74"/>
      <c r="P23" s="76"/>
      <c r="Q23" s="77"/>
      <c r="R23" s="74"/>
      <c r="S23" s="75"/>
      <c r="T23" s="69"/>
    </row>
    <row r="24" spans="1:22" x14ac:dyDescent="0.2">
      <c r="A24" s="78">
        <v>2014</v>
      </c>
      <c r="B24" s="79" t="s">
        <v>79</v>
      </c>
      <c r="C24" s="80"/>
      <c r="D24" s="81">
        <v>35005917</v>
      </c>
      <c r="E24" s="81"/>
      <c r="F24" s="82">
        <v>15094589.382763438</v>
      </c>
      <c r="G24" s="83">
        <v>10951</v>
      </c>
      <c r="H24" s="81">
        <v>6383202.7170219291</v>
      </c>
      <c r="I24" s="83">
        <v>2100</v>
      </c>
      <c r="J24" s="84">
        <v>10877889.20781571</v>
      </c>
      <c r="K24" s="85">
        <v>23851.56</v>
      </c>
      <c r="L24" s="83">
        <v>172</v>
      </c>
      <c r="M24" s="81">
        <v>15114.006383569249</v>
      </c>
      <c r="N24" s="83">
        <v>56</v>
      </c>
      <c r="O24" s="84">
        <v>4218.48580997317</v>
      </c>
      <c r="P24" s="86">
        <v>11.718016138814361</v>
      </c>
      <c r="Q24" s="83">
        <v>57</v>
      </c>
      <c r="R24" s="84">
        <v>256046.34953557223</v>
      </c>
      <c r="S24" s="85">
        <v>552.86</v>
      </c>
      <c r="T24" s="83">
        <v>2852</v>
      </c>
      <c r="U24" s="123">
        <f>G24+I24+L24</f>
        <v>13223</v>
      </c>
      <c r="V24" s="123"/>
    </row>
    <row r="25" spans="1:22" x14ac:dyDescent="0.2">
      <c r="A25" s="78">
        <v>2014</v>
      </c>
      <c r="B25" s="79" t="s">
        <v>80</v>
      </c>
      <c r="C25" s="87"/>
      <c r="D25" s="88">
        <v>30863808</v>
      </c>
      <c r="E25" s="88"/>
      <c r="F25" s="89">
        <v>12803913.190357108</v>
      </c>
      <c r="G25" s="90">
        <v>10948</v>
      </c>
      <c r="H25" s="88">
        <v>5641962.1343843099</v>
      </c>
      <c r="I25" s="90">
        <v>2099</v>
      </c>
      <c r="J25" s="91">
        <v>9969282.7410306223</v>
      </c>
      <c r="K25" s="92">
        <v>23912.420000000002</v>
      </c>
      <c r="L25" s="90">
        <v>172</v>
      </c>
      <c r="M25" s="88">
        <v>15114.006383569249</v>
      </c>
      <c r="N25" s="90">
        <v>56</v>
      </c>
      <c r="O25" s="91">
        <v>4218.48580997317</v>
      </c>
      <c r="P25" s="93">
        <v>11.718016138814361</v>
      </c>
      <c r="Q25" s="90">
        <v>57</v>
      </c>
      <c r="R25" s="91">
        <v>226313.55166527891</v>
      </c>
      <c r="S25" s="92">
        <v>552.86</v>
      </c>
      <c r="T25" s="90">
        <v>2852</v>
      </c>
      <c r="V25" s="123"/>
    </row>
    <row r="26" spans="1:22" x14ac:dyDescent="0.2">
      <c r="A26" s="78">
        <v>2014</v>
      </c>
      <c r="B26" s="79" t="s">
        <v>81</v>
      </c>
      <c r="C26" s="87"/>
      <c r="D26" s="88">
        <v>32142987</v>
      </c>
      <c r="E26" s="88"/>
      <c r="F26" s="89">
        <v>12827196.253946707</v>
      </c>
      <c r="G26" s="90">
        <v>10949</v>
      </c>
      <c r="H26" s="88">
        <v>5855163.49531224</v>
      </c>
      <c r="I26" s="90">
        <v>2098</v>
      </c>
      <c r="J26" s="91">
        <v>10915846.448511425</v>
      </c>
      <c r="K26" s="92">
        <v>23709.120000000003</v>
      </c>
      <c r="L26" s="90">
        <v>172</v>
      </c>
      <c r="M26" s="88">
        <v>15114.006383569249</v>
      </c>
      <c r="N26" s="90">
        <v>56</v>
      </c>
      <c r="O26" s="91">
        <v>4218.48580997317</v>
      </c>
      <c r="P26" s="93">
        <v>11.718016138814361</v>
      </c>
      <c r="Q26" s="90">
        <v>57</v>
      </c>
      <c r="R26" s="91">
        <v>214357.65619298734</v>
      </c>
      <c r="S26" s="92">
        <v>552.86</v>
      </c>
      <c r="T26" s="90">
        <v>2852</v>
      </c>
      <c r="V26" s="123"/>
    </row>
    <row r="27" spans="1:22" x14ac:dyDescent="0.2">
      <c r="A27" s="78">
        <v>2014</v>
      </c>
      <c r="B27" s="79" t="s">
        <v>82</v>
      </c>
      <c r="C27" s="87"/>
      <c r="D27" s="88">
        <v>25688722</v>
      </c>
      <c r="E27" s="88"/>
      <c r="F27" s="89">
        <v>9507309.2910037972</v>
      </c>
      <c r="G27" s="90">
        <v>10949</v>
      </c>
      <c r="H27" s="88">
        <v>4702930.33585901</v>
      </c>
      <c r="I27" s="90">
        <v>2107</v>
      </c>
      <c r="J27" s="91">
        <v>9712427.3622786552</v>
      </c>
      <c r="K27" s="92">
        <v>22640.25</v>
      </c>
      <c r="L27" s="90">
        <v>172</v>
      </c>
      <c r="M27" s="88">
        <v>15114.006383569249</v>
      </c>
      <c r="N27" s="90">
        <v>56</v>
      </c>
      <c r="O27" s="91">
        <v>4218.48580997317</v>
      </c>
      <c r="P27" s="93">
        <v>11.718016138814361</v>
      </c>
      <c r="Q27" s="90">
        <v>57</v>
      </c>
      <c r="R27" s="91">
        <v>182086.68714034601</v>
      </c>
      <c r="S27" s="92">
        <v>552.86</v>
      </c>
      <c r="T27" s="90">
        <v>2852</v>
      </c>
      <c r="V27" s="123"/>
    </row>
    <row r="28" spans="1:22" x14ac:dyDescent="0.2">
      <c r="A28" s="78">
        <v>2014</v>
      </c>
      <c r="B28" s="79" t="s">
        <v>45</v>
      </c>
      <c r="C28" s="87"/>
      <c r="D28" s="88">
        <v>22896808</v>
      </c>
      <c r="E28" s="88"/>
      <c r="F28" s="89">
        <v>7229742.7856425159</v>
      </c>
      <c r="G28" s="90">
        <v>10944</v>
      </c>
      <c r="H28" s="88">
        <v>4157732.5021805898</v>
      </c>
      <c r="I28" s="90">
        <v>2106</v>
      </c>
      <c r="J28" s="91">
        <v>9845385.2209455073</v>
      </c>
      <c r="K28" s="92">
        <v>24146.22</v>
      </c>
      <c r="L28" s="90">
        <v>172</v>
      </c>
      <c r="M28" s="88">
        <v>15114.006383569249</v>
      </c>
      <c r="N28" s="90">
        <v>56</v>
      </c>
      <c r="O28" s="91">
        <v>4218.48580997317</v>
      </c>
      <c r="P28" s="93">
        <v>11.718016138814361</v>
      </c>
      <c r="Q28" s="90">
        <v>57</v>
      </c>
      <c r="R28" s="91">
        <v>164981.7054500879</v>
      </c>
      <c r="S28" s="92">
        <v>552.86</v>
      </c>
      <c r="T28" s="90">
        <v>2852</v>
      </c>
      <c r="V28" s="123"/>
    </row>
    <row r="29" spans="1:22" x14ac:dyDescent="0.2">
      <c r="A29" s="78">
        <v>2014</v>
      </c>
      <c r="B29" s="79" t="s">
        <v>83</v>
      </c>
      <c r="C29" s="87"/>
      <c r="D29" s="88">
        <v>22467129</v>
      </c>
      <c r="E29" s="88"/>
      <c r="F29" s="89">
        <v>6471676.4542631172</v>
      </c>
      <c r="G29" s="90">
        <v>10968</v>
      </c>
      <c r="H29" s="88">
        <v>4245293.00994357</v>
      </c>
      <c r="I29" s="90">
        <v>2105</v>
      </c>
      <c r="J29" s="91">
        <v>9986224.4736145809</v>
      </c>
      <c r="K29" s="92">
        <v>25681.079999999998</v>
      </c>
      <c r="L29" s="90">
        <v>172</v>
      </c>
      <c r="M29" s="88">
        <v>15114.006383569249</v>
      </c>
      <c r="N29" s="90">
        <v>56</v>
      </c>
      <c r="O29" s="91">
        <v>4168.3228420760479</v>
      </c>
      <c r="P29" s="93">
        <v>11.578674561322357</v>
      </c>
      <c r="Q29" s="90">
        <v>56</v>
      </c>
      <c r="R29" s="91">
        <v>145726.03909149783</v>
      </c>
      <c r="S29" s="92">
        <v>551.86</v>
      </c>
      <c r="T29" s="90">
        <v>2836</v>
      </c>
      <c r="V29" s="123"/>
    </row>
    <row r="30" spans="1:22" x14ac:dyDescent="0.2">
      <c r="A30" s="78">
        <v>2014</v>
      </c>
      <c r="B30" s="79" t="s">
        <v>84</v>
      </c>
      <c r="C30" s="87"/>
      <c r="D30" s="88">
        <v>23174494</v>
      </c>
      <c r="E30" s="88"/>
      <c r="F30" s="89">
        <v>6701854.6872032564</v>
      </c>
      <c r="G30" s="90">
        <v>10964</v>
      </c>
      <c r="H30" s="88">
        <v>4441903.9089212697</v>
      </c>
      <c r="I30" s="90">
        <v>2110</v>
      </c>
      <c r="J30" s="91">
        <v>10347381.624896847</v>
      </c>
      <c r="K30" s="92">
        <v>24263.59</v>
      </c>
      <c r="L30" s="90">
        <v>172</v>
      </c>
      <c r="M30" s="88">
        <v>15114.006383569249</v>
      </c>
      <c r="N30" s="90">
        <v>56</v>
      </c>
      <c r="O30" s="91">
        <v>4210.4421463595154</v>
      </c>
      <c r="P30" s="93">
        <v>11.69567262877643</v>
      </c>
      <c r="Q30" s="90">
        <v>58</v>
      </c>
      <c r="R30" s="91">
        <v>151735.49563326858</v>
      </c>
      <c r="S30" s="92">
        <v>549.01</v>
      </c>
      <c r="T30" s="90">
        <v>2838</v>
      </c>
      <c r="V30" s="123"/>
    </row>
    <row r="31" spans="1:22" x14ac:dyDescent="0.2">
      <c r="A31" s="78">
        <v>2014</v>
      </c>
      <c r="B31" s="79" t="s">
        <v>85</v>
      </c>
      <c r="C31" s="87"/>
      <c r="D31" s="88">
        <v>23391322</v>
      </c>
      <c r="E31" s="88"/>
      <c r="F31" s="89">
        <v>6774992.2205930268</v>
      </c>
      <c r="G31" s="90">
        <v>10966</v>
      </c>
      <c r="H31" s="88">
        <v>4367697.4063299093</v>
      </c>
      <c r="I31" s="90">
        <v>2112</v>
      </c>
      <c r="J31" s="91">
        <v>10325524.62498381</v>
      </c>
      <c r="K31" s="92">
        <v>24329.230000000003</v>
      </c>
      <c r="L31" s="90">
        <v>171</v>
      </c>
      <c r="M31" s="88">
        <v>15114.006383569249</v>
      </c>
      <c r="N31" s="90">
        <v>56</v>
      </c>
      <c r="O31" s="91">
        <v>4142.882146359515</v>
      </c>
      <c r="P31" s="93">
        <v>11.508005962109763</v>
      </c>
      <c r="Q31" s="90">
        <v>57</v>
      </c>
      <c r="R31" s="91">
        <v>169308.74913035432</v>
      </c>
      <c r="S31" s="92">
        <v>549.01</v>
      </c>
      <c r="T31" s="90">
        <v>2838</v>
      </c>
      <c r="V31" s="123"/>
    </row>
    <row r="32" spans="1:22" x14ac:dyDescent="0.2">
      <c r="A32" s="78">
        <v>2014</v>
      </c>
      <c r="B32" s="79" t="s">
        <v>86</v>
      </c>
      <c r="C32" s="87"/>
      <c r="D32" s="88">
        <v>22126761</v>
      </c>
      <c r="E32" s="88"/>
      <c r="F32" s="89">
        <v>6559011.4612110266</v>
      </c>
      <c r="G32" s="90">
        <v>10970</v>
      </c>
      <c r="H32" s="88">
        <v>3955556.4792089928</v>
      </c>
      <c r="I32" s="90">
        <v>2111</v>
      </c>
      <c r="J32" s="91">
        <v>9951408.9532121383</v>
      </c>
      <c r="K32" s="92">
        <v>24863.46</v>
      </c>
      <c r="L32" s="90">
        <v>172</v>
      </c>
      <c r="M32" s="88">
        <v>14826.005273383293</v>
      </c>
      <c r="N32" s="90">
        <v>53</v>
      </c>
      <c r="O32" s="91">
        <v>4108.6821463595152</v>
      </c>
      <c r="P32" s="93">
        <v>11.413005962109764</v>
      </c>
      <c r="Q32" s="90">
        <v>56</v>
      </c>
      <c r="R32" s="91">
        <v>187116.26953742251</v>
      </c>
      <c r="S32" s="92">
        <v>549.01</v>
      </c>
      <c r="T32" s="90">
        <v>2838</v>
      </c>
      <c r="V32" s="123"/>
    </row>
    <row r="33" spans="1:22" x14ac:dyDescent="0.2">
      <c r="A33" s="78">
        <v>2014</v>
      </c>
      <c r="B33" s="79" t="s">
        <v>87</v>
      </c>
      <c r="C33" s="87"/>
      <c r="D33" s="88">
        <v>23838442</v>
      </c>
      <c r="E33" s="88"/>
      <c r="F33" s="89">
        <v>7825270.6172051057</v>
      </c>
      <c r="G33" s="90">
        <v>10986</v>
      </c>
      <c r="H33" s="88">
        <v>4172827.8742048298</v>
      </c>
      <c r="I33" s="90">
        <v>2114</v>
      </c>
      <c r="J33" s="91">
        <v>9952029.8687427137</v>
      </c>
      <c r="K33" s="92">
        <v>23611.82</v>
      </c>
      <c r="L33" s="90">
        <v>172</v>
      </c>
      <c r="M33" s="88">
        <v>14826.005273383293</v>
      </c>
      <c r="N33" s="90">
        <v>52</v>
      </c>
      <c r="O33" s="91">
        <v>4178.2221463595151</v>
      </c>
      <c r="P33" s="93">
        <v>11.606172628776431</v>
      </c>
      <c r="Q33" s="90">
        <v>58</v>
      </c>
      <c r="R33" s="91">
        <v>218907.53751873437</v>
      </c>
      <c r="S33" s="92">
        <v>549.01</v>
      </c>
      <c r="T33" s="90">
        <v>2838</v>
      </c>
      <c r="V33" s="123"/>
    </row>
    <row r="34" spans="1:22" x14ac:dyDescent="0.2">
      <c r="A34" s="78">
        <v>2014</v>
      </c>
      <c r="B34" s="79" t="s">
        <v>88</v>
      </c>
      <c r="C34" s="87"/>
      <c r="D34" s="88">
        <v>27733031</v>
      </c>
      <c r="E34" s="88"/>
      <c r="F34" s="89">
        <v>10474665.054135446</v>
      </c>
      <c r="G34" s="90">
        <v>10988</v>
      </c>
      <c r="H34" s="88">
        <v>4964751.8762327693</v>
      </c>
      <c r="I34" s="90">
        <v>2105</v>
      </c>
      <c r="J34" s="91">
        <v>10127920.746343788</v>
      </c>
      <c r="K34" s="92">
        <v>23798.89</v>
      </c>
      <c r="L34" s="90">
        <v>172</v>
      </c>
      <c r="M34" s="88">
        <v>14826.005273383293</v>
      </c>
      <c r="N34" s="90">
        <v>52</v>
      </c>
      <c r="O34" s="91">
        <v>4067.2821463595151</v>
      </c>
      <c r="P34" s="93">
        <v>11.298005962109764</v>
      </c>
      <c r="Q34" s="90">
        <v>56</v>
      </c>
      <c r="R34" s="91">
        <v>235342.33102599686</v>
      </c>
      <c r="S34" s="92">
        <v>549.01</v>
      </c>
      <c r="T34" s="90">
        <v>2838</v>
      </c>
      <c r="V34" s="123"/>
    </row>
    <row r="35" spans="1:22" x14ac:dyDescent="0.2">
      <c r="A35" s="78">
        <v>2014</v>
      </c>
      <c r="B35" s="79" t="s">
        <v>89</v>
      </c>
      <c r="C35" s="87"/>
      <c r="D35" s="88">
        <v>29820236</v>
      </c>
      <c r="E35" s="88"/>
      <c r="F35" s="89">
        <v>12163160.826666666</v>
      </c>
      <c r="G35" s="90">
        <v>10986</v>
      </c>
      <c r="H35" s="88">
        <v>5554460.3599999994</v>
      </c>
      <c r="I35" s="90">
        <v>2105</v>
      </c>
      <c r="J35" s="91">
        <v>9874407.9550000001</v>
      </c>
      <c r="K35" s="92">
        <v>23453.059999999998</v>
      </c>
      <c r="L35" s="90">
        <v>173</v>
      </c>
      <c r="M35" s="88">
        <v>14775</v>
      </c>
      <c r="N35" s="90">
        <v>52</v>
      </c>
      <c r="O35" s="91">
        <v>4035.6000000000004</v>
      </c>
      <c r="P35" s="93">
        <v>11.21</v>
      </c>
      <c r="Q35" s="90">
        <v>54</v>
      </c>
      <c r="R35" s="91">
        <v>253712.38999999998</v>
      </c>
      <c r="S35" s="92">
        <v>549.01</v>
      </c>
      <c r="T35" s="90">
        <v>2838</v>
      </c>
      <c r="U35" s="123">
        <f>G35+I35+L35</f>
        <v>13264</v>
      </c>
      <c r="V35" s="123"/>
    </row>
    <row r="36" spans="1:22" x14ac:dyDescent="0.2">
      <c r="A36" s="78">
        <v>2015</v>
      </c>
      <c r="B36" s="79" t="s">
        <v>79</v>
      </c>
      <c r="C36" s="87"/>
      <c r="D36" s="81">
        <v>33934616</v>
      </c>
      <c r="E36" s="81"/>
      <c r="F36" s="82">
        <v>14436422.183333334</v>
      </c>
      <c r="G36" s="83">
        <v>11011</v>
      </c>
      <c r="H36" s="81">
        <v>6273396.0733333332</v>
      </c>
      <c r="I36" s="83">
        <v>2120</v>
      </c>
      <c r="J36" s="84">
        <v>10633876.550000001</v>
      </c>
      <c r="K36" s="85">
        <v>24028.12</v>
      </c>
      <c r="L36" s="83">
        <v>172</v>
      </c>
      <c r="M36" s="81">
        <v>14775</v>
      </c>
      <c r="N36" s="83">
        <v>55</v>
      </c>
      <c r="O36" s="84">
        <v>4093.24</v>
      </c>
      <c r="P36" s="86">
        <v>11.370111111111111</v>
      </c>
      <c r="Q36" s="83">
        <v>53</v>
      </c>
      <c r="R36" s="84">
        <v>249473.40999999997</v>
      </c>
      <c r="S36" s="85">
        <v>549.01</v>
      </c>
      <c r="T36" s="83">
        <v>2838</v>
      </c>
      <c r="V36" s="123"/>
    </row>
    <row r="37" spans="1:22" x14ac:dyDescent="0.2">
      <c r="A37" s="78">
        <v>2015</v>
      </c>
      <c r="B37" s="79" t="s">
        <v>80</v>
      </c>
      <c r="C37" s="87"/>
      <c r="D37" s="88">
        <v>32617573</v>
      </c>
      <c r="E37" s="88"/>
      <c r="F37" s="89">
        <v>13756630.153333332</v>
      </c>
      <c r="G37" s="90">
        <v>11004</v>
      </c>
      <c r="H37" s="88">
        <v>6052263.6033333326</v>
      </c>
      <c r="I37" s="90">
        <v>2119</v>
      </c>
      <c r="J37" s="91">
        <v>10191380.690000001</v>
      </c>
      <c r="K37" s="92">
        <v>24332.559999999998</v>
      </c>
      <c r="L37" s="90">
        <v>172</v>
      </c>
      <c r="M37" s="88">
        <v>14775</v>
      </c>
      <c r="N37" s="90">
        <v>55</v>
      </c>
      <c r="O37" s="91">
        <v>4151.2</v>
      </c>
      <c r="P37" s="93">
        <v>11.531111111111112</v>
      </c>
      <c r="Q37" s="90">
        <v>53</v>
      </c>
      <c r="R37" s="91">
        <v>217782.39999999999</v>
      </c>
      <c r="S37" s="92">
        <v>549.01</v>
      </c>
      <c r="T37" s="90">
        <v>2838</v>
      </c>
      <c r="V37" s="123"/>
    </row>
    <row r="38" spans="1:22" x14ac:dyDescent="0.2">
      <c r="A38" s="78">
        <v>2015</v>
      </c>
      <c r="B38" s="79" t="s">
        <v>81</v>
      </c>
      <c r="C38" s="87"/>
      <c r="D38" s="88">
        <v>30305598</v>
      </c>
      <c r="E38" s="88"/>
      <c r="F38" s="89">
        <v>11761672.763333334</v>
      </c>
      <c r="G38" s="90">
        <v>11001</v>
      </c>
      <c r="H38" s="88">
        <v>5608955.3133333335</v>
      </c>
      <c r="I38" s="90">
        <v>2117</v>
      </c>
      <c r="J38" s="91">
        <v>10735159.67</v>
      </c>
      <c r="K38" s="92">
        <v>23775.199999999997</v>
      </c>
      <c r="L38" s="90">
        <v>172</v>
      </c>
      <c r="M38" s="88">
        <v>14775</v>
      </c>
      <c r="N38" s="90">
        <v>52</v>
      </c>
      <c r="O38" s="91">
        <v>4123.4799999999996</v>
      </c>
      <c r="P38" s="93">
        <v>11.454111111111111</v>
      </c>
      <c r="Q38" s="90">
        <v>53</v>
      </c>
      <c r="R38" s="91">
        <v>205202.71000000002</v>
      </c>
      <c r="S38" s="92">
        <v>549.01</v>
      </c>
      <c r="T38" s="90">
        <v>2838</v>
      </c>
      <c r="V38" s="123"/>
    </row>
    <row r="39" spans="1:22" x14ac:dyDescent="0.2">
      <c r="A39" s="78">
        <v>2015</v>
      </c>
      <c r="B39" s="79" t="s">
        <v>82</v>
      </c>
      <c r="C39" s="87"/>
      <c r="D39" s="88">
        <v>24419034</v>
      </c>
      <c r="E39" s="88"/>
      <c r="F39" s="89">
        <v>8713121.3133333325</v>
      </c>
      <c r="G39" s="90">
        <v>10997</v>
      </c>
      <c r="H39" s="88">
        <v>4575738.7833333332</v>
      </c>
      <c r="I39" s="90">
        <v>2135</v>
      </c>
      <c r="J39" s="91">
        <v>9408817.4100000001</v>
      </c>
      <c r="K39" s="92">
        <v>23001.02</v>
      </c>
      <c r="L39" s="90">
        <v>152</v>
      </c>
      <c r="M39" s="88">
        <v>14775</v>
      </c>
      <c r="N39" s="90">
        <v>52</v>
      </c>
      <c r="O39" s="91">
        <v>4123.4799999999996</v>
      </c>
      <c r="P39" s="93">
        <v>11.454111111111111</v>
      </c>
      <c r="Q39" s="90">
        <v>53</v>
      </c>
      <c r="R39" s="91">
        <v>176881.31</v>
      </c>
      <c r="S39" s="92">
        <v>549.01</v>
      </c>
      <c r="T39" s="90">
        <v>2838</v>
      </c>
      <c r="V39" s="123"/>
    </row>
    <row r="40" spans="1:22" x14ac:dyDescent="0.2">
      <c r="A40" s="78">
        <v>2015</v>
      </c>
      <c r="B40" s="79" t="s">
        <v>45</v>
      </c>
      <c r="C40" s="87"/>
      <c r="D40" s="88">
        <v>22122315</v>
      </c>
      <c r="E40" s="88"/>
      <c r="F40" s="89">
        <v>6781613.9533333331</v>
      </c>
      <c r="G40" s="90">
        <v>10999</v>
      </c>
      <c r="H40" s="88">
        <v>4211249.7833333332</v>
      </c>
      <c r="I40" s="90">
        <v>2136</v>
      </c>
      <c r="J40" s="91">
        <v>9734230.8300000001</v>
      </c>
      <c r="K40" s="92">
        <v>24032.35</v>
      </c>
      <c r="L40" s="90">
        <v>151</v>
      </c>
      <c r="M40" s="88">
        <v>14775</v>
      </c>
      <c r="N40" s="90">
        <v>52</v>
      </c>
      <c r="O40" s="91">
        <v>4123.4799999999996</v>
      </c>
      <c r="P40" s="93">
        <v>11.454111111111111</v>
      </c>
      <c r="Q40" s="90">
        <v>53</v>
      </c>
      <c r="R40" s="91">
        <v>159984.52000000002</v>
      </c>
      <c r="S40" s="92">
        <v>548.71</v>
      </c>
      <c r="T40" s="90">
        <v>2838</v>
      </c>
      <c r="V40" s="123"/>
    </row>
    <row r="41" spans="1:22" x14ac:dyDescent="0.2">
      <c r="A41" s="78">
        <v>2015</v>
      </c>
      <c r="B41" s="79" t="s">
        <v>83</v>
      </c>
      <c r="C41" s="87"/>
      <c r="D41" s="88">
        <v>21687054</v>
      </c>
      <c r="E41" s="88"/>
      <c r="F41" s="89">
        <v>6191305.6533333333</v>
      </c>
      <c r="G41" s="90">
        <v>10998</v>
      </c>
      <c r="H41" s="88">
        <v>4199520.1133333333</v>
      </c>
      <c r="I41" s="90">
        <v>2138</v>
      </c>
      <c r="J41" s="91">
        <v>9814614.9299999997</v>
      </c>
      <c r="K41" s="92">
        <v>23434.58</v>
      </c>
      <c r="L41" s="90">
        <v>150</v>
      </c>
      <c r="M41" s="88">
        <v>14775</v>
      </c>
      <c r="N41" s="90">
        <v>52</v>
      </c>
      <c r="O41" s="91">
        <v>4123.4799999999996</v>
      </c>
      <c r="P41" s="93">
        <v>11.454111111111111</v>
      </c>
      <c r="Q41" s="90">
        <v>53</v>
      </c>
      <c r="R41" s="91">
        <v>145088.54</v>
      </c>
      <c r="S41" s="92">
        <v>547.80999999999995</v>
      </c>
      <c r="T41" s="90">
        <v>2838</v>
      </c>
      <c r="V41" s="123"/>
    </row>
    <row r="42" spans="1:22" x14ac:dyDescent="0.2">
      <c r="A42" s="78">
        <v>2015</v>
      </c>
      <c r="B42" s="79" t="s">
        <v>84</v>
      </c>
      <c r="C42" s="87"/>
      <c r="D42" s="88">
        <v>23793533</v>
      </c>
      <c r="E42" s="88"/>
      <c r="F42" s="89">
        <v>6892136.9033333333</v>
      </c>
      <c r="G42" s="90">
        <v>11048</v>
      </c>
      <c r="H42" s="88">
        <v>4833132.0333333332</v>
      </c>
      <c r="I42" s="90">
        <v>2139</v>
      </c>
      <c r="J42" s="91">
        <v>10221738.110000001</v>
      </c>
      <c r="K42" s="92">
        <v>23341.550000000003</v>
      </c>
      <c r="L42" s="90">
        <v>150</v>
      </c>
      <c r="M42" s="88">
        <v>14775</v>
      </c>
      <c r="N42" s="90">
        <v>52</v>
      </c>
      <c r="O42" s="91">
        <v>4123.4799999999996</v>
      </c>
      <c r="P42" s="93">
        <v>11.454111111111111</v>
      </c>
      <c r="Q42" s="90">
        <v>53</v>
      </c>
      <c r="R42" s="91">
        <v>153248.09</v>
      </c>
      <c r="S42" s="92">
        <v>547.80999999999995</v>
      </c>
      <c r="T42" s="90">
        <v>2838</v>
      </c>
      <c r="V42" s="123"/>
    </row>
    <row r="43" spans="1:22" x14ac:dyDescent="0.2">
      <c r="A43" s="78">
        <v>2015</v>
      </c>
      <c r="B43" s="79" t="s">
        <v>85</v>
      </c>
      <c r="C43" s="87"/>
      <c r="D43" s="88">
        <v>23664046</v>
      </c>
      <c r="E43" s="88"/>
      <c r="F43" s="89">
        <v>6785288.8233333332</v>
      </c>
      <c r="G43" s="90">
        <v>11019</v>
      </c>
      <c r="H43" s="88">
        <v>4639927.2533333329</v>
      </c>
      <c r="I43" s="90">
        <v>2139</v>
      </c>
      <c r="J43" s="91">
        <v>10193769.550000001</v>
      </c>
      <c r="K43" s="92">
        <v>24101.799999999996</v>
      </c>
      <c r="L43" s="90">
        <v>150</v>
      </c>
      <c r="M43" s="88">
        <v>14775</v>
      </c>
      <c r="N43" s="90">
        <v>52</v>
      </c>
      <c r="O43" s="91">
        <v>4123.4799999999996</v>
      </c>
      <c r="P43" s="93">
        <v>11.454111111111111</v>
      </c>
      <c r="Q43" s="90">
        <v>53</v>
      </c>
      <c r="R43" s="91">
        <v>140055.19</v>
      </c>
      <c r="S43" s="92">
        <v>547.80999999999995</v>
      </c>
      <c r="T43" s="90">
        <v>2667</v>
      </c>
      <c r="V43" s="123"/>
    </row>
    <row r="44" spans="1:22" x14ac:dyDescent="0.2">
      <c r="A44" s="78">
        <v>2015</v>
      </c>
      <c r="B44" s="79" t="s">
        <v>86</v>
      </c>
      <c r="C44" s="87"/>
      <c r="D44" s="88">
        <v>21503656</v>
      </c>
      <c r="E44" s="88"/>
      <c r="F44" s="89">
        <v>6501595.0033333329</v>
      </c>
      <c r="G44" s="90">
        <v>11025</v>
      </c>
      <c r="H44" s="88">
        <v>4347395.4133333331</v>
      </c>
      <c r="I44" s="90">
        <v>2137</v>
      </c>
      <c r="J44" s="91">
        <v>10050542.870000001</v>
      </c>
      <c r="K44" s="92">
        <v>26106.910000000003</v>
      </c>
      <c r="L44" s="90">
        <v>151</v>
      </c>
      <c r="M44" s="88">
        <v>13839</v>
      </c>
      <c r="N44" s="90">
        <v>51</v>
      </c>
      <c r="O44" s="91">
        <v>4123.4799999999996</v>
      </c>
      <c r="P44" s="93">
        <v>11.454111111111111</v>
      </c>
      <c r="Q44" s="90">
        <v>53</v>
      </c>
      <c r="R44" s="91">
        <v>135697.81</v>
      </c>
      <c r="S44" s="92">
        <v>411.86</v>
      </c>
      <c r="T44" s="90">
        <v>2667</v>
      </c>
      <c r="V44" s="123"/>
    </row>
    <row r="45" spans="1:22" x14ac:dyDescent="0.2">
      <c r="A45" s="78">
        <v>2015</v>
      </c>
      <c r="B45" s="79" t="s">
        <v>87</v>
      </c>
      <c r="C45" s="87"/>
      <c r="D45" s="88">
        <v>24025252</v>
      </c>
      <c r="E45" s="88"/>
      <c r="F45" s="89">
        <v>7439233.3751438614</v>
      </c>
      <c r="G45" s="90">
        <v>11037</v>
      </c>
      <c r="H45" s="88">
        <v>3654710.9645665651</v>
      </c>
      <c r="I45" s="90">
        <v>2135</v>
      </c>
      <c r="J45" s="91">
        <v>8863760.9153140895</v>
      </c>
      <c r="K45" s="92">
        <v>21646.68</v>
      </c>
      <c r="L45" s="90">
        <v>150</v>
      </c>
      <c r="M45" s="88">
        <v>13789</v>
      </c>
      <c r="N45" s="90">
        <v>51</v>
      </c>
      <c r="O45" s="91">
        <v>3752.6800000000003</v>
      </c>
      <c r="P45" s="93">
        <v>10.42411111111111</v>
      </c>
      <c r="Q45" s="90">
        <v>49</v>
      </c>
      <c r="R45" s="91">
        <v>155115.80000000002</v>
      </c>
      <c r="S45" s="92">
        <v>411.65</v>
      </c>
      <c r="T45" s="90">
        <v>2667</v>
      </c>
      <c r="V45" s="123"/>
    </row>
    <row r="46" spans="1:22" x14ac:dyDescent="0.2">
      <c r="A46" s="78">
        <v>2015</v>
      </c>
      <c r="B46" s="79" t="s">
        <v>88</v>
      </c>
      <c r="C46" s="87"/>
      <c r="D46" s="88">
        <v>24608541</v>
      </c>
      <c r="E46" s="88"/>
      <c r="F46" s="89">
        <v>8821415.9015228041</v>
      </c>
      <c r="G46" s="90">
        <v>11055</v>
      </c>
      <c r="H46" s="88">
        <v>5088671.3021001015</v>
      </c>
      <c r="I46" s="90">
        <v>2138</v>
      </c>
      <c r="J46" s="91">
        <v>10628741.134685909</v>
      </c>
      <c r="K46" s="92">
        <v>27607.870000000003</v>
      </c>
      <c r="L46" s="90">
        <v>150</v>
      </c>
      <c r="M46" s="88">
        <v>13889</v>
      </c>
      <c r="N46" s="90">
        <v>51</v>
      </c>
      <c r="O46" s="91">
        <v>4123.4799999999996</v>
      </c>
      <c r="P46" s="93">
        <v>11.454111111111111</v>
      </c>
      <c r="Q46" s="90">
        <v>57</v>
      </c>
      <c r="R46" s="91">
        <v>171400.04</v>
      </c>
      <c r="S46" s="92">
        <v>367.95000000000005</v>
      </c>
      <c r="T46" s="90">
        <v>2667</v>
      </c>
      <c r="V46" s="123"/>
    </row>
    <row r="47" spans="1:22" x14ac:dyDescent="0.2">
      <c r="A47" s="78">
        <v>2015</v>
      </c>
      <c r="B47" s="79" t="s">
        <v>89</v>
      </c>
      <c r="C47" s="87"/>
      <c r="D47" s="88">
        <v>26280236</v>
      </c>
      <c r="E47" s="88"/>
      <c r="F47" s="89">
        <v>10163520.413333334</v>
      </c>
      <c r="G47" s="90">
        <v>11057</v>
      </c>
      <c r="H47" s="88">
        <v>5007150.8033333328</v>
      </c>
      <c r="I47" s="90">
        <v>2138</v>
      </c>
      <c r="J47" s="91">
        <v>9287204.8599999994</v>
      </c>
      <c r="K47" s="92">
        <v>22673.719999999998</v>
      </c>
      <c r="L47" s="90">
        <v>150</v>
      </c>
      <c r="M47" s="88">
        <v>13839</v>
      </c>
      <c r="N47" s="90">
        <v>51</v>
      </c>
      <c r="O47" s="91">
        <v>4123.4799999999996</v>
      </c>
      <c r="P47" s="93">
        <v>11.454111111111111</v>
      </c>
      <c r="Q47" s="90">
        <v>53</v>
      </c>
      <c r="R47" s="91">
        <v>119755.07999999997</v>
      </c>
      <c r="S47" s="92">
        <v>342.51</v>
      </c>
      <c r="T47" s="90">
        <v>2659</v>
      </c>
      <c r="U47" s="123">
        <f>G47+I47+L47</f>
        <v>13345</v>
      </c>
      <c r="V47" s="123"/>
    </row>
    <row r="48" spans="1:22" x14ac:dyDescent="0.2">
      <c r="A48" s="78">
        <v>2016</v>
      </c>
      <c r="B48" s="79" t="s">
        <v>79</v>
      </c>
      <c r="C48" s="87"/>
      <c r="D48" s="81">
        <v>30495180</v>
      </c>
      <c r="E48" s="81"/>
      <c r="F48" s="82">
        <v>12502052.273333333</v>
      </c>
      <c r="G48" s="83">
        <v>11062</v>
      </c>
      <c r="H48" s="81">
        <v>5964120.5233333334</v>
      </c>
      <c r="I48" s="83">
        <v>2138</v>
      </c>
      <c r="J48" s="84">
        <v>10066803.91</v>
      </c>
      <c r="K48" s="85">
        <v>24294.500000000004</v>
      </c>
      <c r="L48" s="83">
        <v>150</v>
      </c>
      <c r="M48" s="81">
        <v>13839</v>
      </c>
      <c r="N48" s="83">
        <v>51</v>
      </c>
      <c r="O48" s="84">
        <v>4123.4799999999996</v>
      </c>
      <c r="P48" s="86">
        <v>11.454111111111111</v>
      </c>
      <c r="Q48" s="83">
        <v>53</v>
      </c>
      <c r="R48" s="84">
        <v>116626.95</v>
      </c>
      <c r="S48" s="85">
        <v>256.05</v>
      </c>
      <c r="T48" s="83">
        <v>2659</v>
      </c>
      <c r="V48" s="123"/>
    </row>
    <row r="49" spans="1:22" x14ac:dyDescent="0.2">
      <c r="A49" s="78">
        <v>2016</v>
      </c>
      <c r="B49" s="79" t="s">
        <v>80</v>
      </c>
      <c r="C49" s="87"/>
      <c r="D49" s="88">
        <v>29063252</v>
      </c>
      <c r="E49" s="88"/>
      <c r="F49" s="89">
        <v>11543709.343333334</v>
      </c>
      <c r="G49" s="90">
        <v>11065</v>
      </c>
      <c r="H49" s="88">
        <v>5638710.4033333333</v>
      </c>
      <c r="I49" s="90">
        <v>2140</v>
      </c>
      <c r="J49" s="91">
        <v>9668299.3200000003</v>
      </c>
      <c r="K49" s="92">
        <v>23819.9</v>
      </c>
      <c r="L49" s="90">
        <v>149</v>
      </c>
      <c r="M49" s="88">
        <v>13839</v>
      </c>
      <c r="N49" s="90">
        <v>51</v>
      </c>
      <c r="O49" s="91">
        <v>4123.4799999999996</v>
      </c>
      <c r="P49" s="93">
        <v>11.454111111111111</v>
      </c>
      <c r="Q49" s="90">
        <v>53</v>
      </c>
      <c r="R49" s="91">
        <v>107375.64000000001</v>
      </c>
      <c r="S49" s="92">
        <v>256.05</v>
      </c>
      <c r="T49" s="90">
        <v>2659</v>
      </c>
      <c r="V49" s="123"/>
    </row>
    <row r="50" spans="1:22" x14ac:dyDescent="0.2">
      <c r="A50" s="78">
        <v>2016</v>
      </c>
      <c r="B50" s="79" t="s">
        <v>81</v>
      </c>
      <c r="C50" s="87"/>
      <c r="D50" s="88">
        <v>27667287</v>
      </c>
      <c r="E50" s="88"/>
      <c r="F50" s="89">
        <v>10303542.313333334</v>
      </c>
      <c r="G50" s="90">
        <v>11067</v>
      </c>
      <c r="H50" s="88">
        <v>5280569.1133333333</v>
      </c>
      <c r="I50" s="90">
        <v>2140</v>
      </c>
      <c r="J50" s="91">
        <v>9869976.8499999996</v>
      </c>
      <c r="K50" s="92">
        <v>23012.17</v>
      </c>
      <c r="L50" s="90">
        <v>149</v>
      </c>
      <c r="M50" s="88">
        <v>13839</v>
      </c>
      <c r="N50" s="90">
        <v>51</v>
      </c>
      <c r="O50" s="91">
        <v>4123.4799999999996</v>
      </c>
      <c r="P50" s="93">
        <v>11.454111111111111</v>
      </c>
      <c r="Q50" s="90">
        <v>53</v>
      </c>
      <c r="R50" s="91">
        <v>97797.35000000002</v>
      </c>
      <c r="S50" s="92">
        <v>256.05</v>
      </c>
      <c r="T50" s="90">
        <v>2659</v>
      </c>
      <c r="V50" s="123"/>
    </row>
    <row r="51" spans="1:22" x14ac:dyDescent="0.2">
      <c r="A51" s="78">
        <v>2016</v>
      </c>
      <c r="B51" s="79" t="s">
        <v>82</v>
      </c>
      <c r="C51" s="87"/>
      <c r="D51" s="88">
        <v>24587318</v>
      </c>
      <c r="E51" s="88"/>
      <c r="F51" s="89">
        <v>8763747.0133333337</v>
      </c>
      <c r="G51" s="90">
        <v>11068</v>
      </c>
      <c r="H51" s="88">
        <v>4823804.2533333339</v>
      </c>
      <c r="I51" s="90">
        <v>2141</v>
      </c>
      <c r="J51" s="91">
        <v>9180858.8100000005</v>
      </c>
      <c r="K51" s="92">
        <v>22615.25</v>
      </c>
      <c r="L51" s="90">
        <v>149</v>
      </c>
      <c r="M51" s="88">
        <v>13839</v>
      </c>
      <c r="N51" s="90">
        <v>51</v>
      </c>
      <c r="O51" s="91">
        <v>4123.4799999999996</v>
      </c>
      <c r="P51" s="93">
        <v>11.454111111111111</v>
      </c>
      <c r="Q51" s="90">
        <v>53</v>
      </c>
      <c r="R51" s="91">
        <v>82846.14</v>
      </c>
      <c r="S51" s="92">
        <v>256.05</v>
      </c>
      <c r="T51" s="90">
        <v>2659</v>
      </c>
      <c r="V51" s="123"/>
    </row>
    <row r="52" spans="1:22" x14ac:dyDescent="0.2">
      <c r="A52" s="78">
        <v>2016</v>
      </c>
      <c r="B52" s="79" t="s">
        <v>45</v>
      </c>
      <c r="C52" s="87"/>
      <c r="D52" s="88">
        <v>21916797</v>
      </c>
      <c r="E52" s="88"/>
      <c r="F52" s="89">
        <v>6915785.2633333327</v>
      </c>
      <c r="G52" s="90">
        <v>11067</v>
      </c>
      <c r="H52" s="88">
        <v>4243596.3433333328</v>
      </c>
      <c r="I52" s="90">
        <v>2140</v>
      </c>
      <c r="J52" s="91">
        <v>9278035.5099999998</v>
      </c>
      <c r="K52" s="92">
        <v>23717.120000000003</v>
      </c>
      <c r="L52" s="90">
        <v>149</v>
      </c>
      <c r="M52" s="88">
        <v>13839</v>
      </c>
      <c r="N52" s="90">
        <v>51</v>
      </c>
      <c r="O52" s="91">
        <v>4123.4799999999996</v>
      </c>
      <c r="P52" s="93">
        <v>11.454111111111111</v>
      </c>
      <c r="Q52" s="90">
        <v>53</v>
      </c>
      <c r="R52" s="91">
        <v>75557.239999999991</v>
      </c>
      <c r="S52" s="92">
        <v>256.05</v>
      </c>
      <c r="T52" s="90">
        <v>2659</v>
      </c>
      <c r="V52" s="123"/>
    </row>
    <row r="53" spans="1:22" x14ac:dyDescent="0.2">
      <c r="A53" s="78">
        <v>2016</v>
      </c>
      <c r="B53" s="79" t="s">
        <v>83</v>
      </c>
      <c r="C53" s="87"/>
      <c r="D53" s="88">
        <v>22063036</v>
      </c>
      <c r="E53" s="88"/>
      <c r="F53" s="89">
        <v>6294283.9833333325</v>
      </c>
      <c r="G53" s="90">
        <v>11075</v>
      </c>
      <c r="H53" s="88">
        <v>4286092.1033333335</v>
      </c>
      <c r="I53" s="90">
        <v>2137</v>
      </c>
      <c r="J53" s="91">
        <v>9804520.0300000012</v>
      </c>
      <c r="K53" s="92">
        <v>24341.72</v>
      </c>
      <c r="L53" s="90">
        <v>149</v>
      </c>
      <c r="M53" s="88">
        <v>13839</v>
      </c>
      <c r="N53" s="90">
        <v>51</v>
      </c>
      <c r="O53" s="91">
        <v>4123.4799999999996</v>
      </c>
      <c r="P53" s="93">
        <v>11.454111111111111</v>
      </c>
      <c r="Q53" s="90">
        <v>53</v>
      </c>
      <c r="R53" s="91">
        <v>67459.87</v>
      </c>
      <c r="S53" s="92">
        <v>256.04999999999995</v>
      </c>
      <c r="T53" s="90">
        <v>2659</v>
      </c>
      <c r="V53" s="123"/>
    </row>
    <row r="54" spans="1:22" x14ac:dyDescent="0.2">
      <c r="A54" s="78">
        <v>2016</v>
      </c>
      <c r="B54" s="79" t="s">
        <v>84</v>
      </c>
      <c r="C54" s="87"/>
      <c r="D54" s="88">
        <v>24449967</v>
      </c>
      <c r="E54" s="88"/>
      <c r="F54" s="89">
        <v>7176422.2433333341</v>
      </c>
      <c r="G54" s="90">
        <v>11073</v>
      </c>
      <c r="H54" s="88">
        <v>4804769.8433333337</v>
      </c>
      <c r="I54" s="90">
        <v>2138</v>
      </c>
      <c r="J54" s="91">
        <v>10333108.620000001</v>
      </c>
      <c r="K54" s="92">
        <v>24136.36</v>
      </c>
      <c r="L54" s="90">
        <v>150</v>
      </c>
      <c r="M54" s="88">
        <v>13839</v>
      </c>
      <c r="N54" s="90">
        <v>51</v>
      </c>
      <c r="O54" s="91">
        <v>4129.63</v>
      </c>
      <c r="P54" s="93">
        <v>11.471194444444446</v>
      </c>
      <c r="Q54" s="90">
        <v>53</v>
      </c>
      <c r="R54" s="91">
        <v>71322.81</v>
      </c>
      <c r="S54" s="92">
        <v>256.05</v>
      </c>
      <c r="T54" s="90">
        <v>2669</v>
      </c>
      <c r="V54" s="123"/>
    </row>
    <row r="55" spans="1:22" x14ac:dyDescent="0.2">
      <c r="A55" s="78">
        <v>2016</v>
      </c>
      <c r="B55" s="79" t="s">
        <v>85</v>
      </c>
      <c r="C55" s="87"/>
      <c r="D55" s="88">
        <v>25086525</v>
      </c>
      <c r="E55" s="88"/>
      <c r="F55" s="89">
        <v>7418754.9133333331</v>
      </c>
      <c r="G55" s="90">
        <v>11072</v>
      </c>
      <c r="H55" s="88">
        <v>4934060.0233333334</v>
      </c>
      <c r="I55" s="90">
        <v>2139</v>
      </c>
      <c r="J55" s="91">
        <v>10546921.82</v>
      </c>
      <c r="K55" s="92">
        <v>24539.100000000002</v>
      </c>
      <c r="L55" s="90">
        <v>150</v>
      </c>
      <c r="M55" s="88">
        <v>13839</v>
      </c>
      <c r="N55" s="90">
        <v>51</v>
      </c>
      <c r="O55" s="91">
        <v>4128.5</v>
      </c>
      <c r="P55" s="93">
        <v>11.468055555555555</v>
      </c>
      <c r="Q55" s="90">
        <v>53</v>
      </c>
      <c r="R55" s="91">
        <v>80050.600000000006</v>
      </c>
      <c r="S55" s="92">
        <v>256.05</v>
      </c>
      <c r="T55" s="90">
        <v>2669</v>
      </c>
      <c r="V55" s="123"/>
    </row>
    <row r="56" spans="1:22" x14ac:dyDescent="0.2">
      <c r="A56" s="78">
        <v>2016</v>
      </c>
      <c r="B56" s="79" t="s">
        <v>86</v>
      </c>
      <c r="C56" s="87"/>
      <c r="D56" s="88">
        <v>21516383</v>
      </c>
      <c r="E56" s="88"/>
      <c r="F56" s="89">
        <v>6206374.8533333335</v>
      </c>
      <c r="G56" s="90">
        <v>11079</v>
      </c>
      <c r="H56" s="88">
        <v>4117268.2833333332</v>
      </c>
      <c r="I56" s="90">
        <v>2137</v>
      </c>
      <c r="J56" s="91">
        <v>9523317.9299999997</v>
      </c>
      <c r="K56" s="92">
        <v>24166.379999999997</v>
      </c>
      <c r="L56" s="90">
        <v>150</v>
      </c>
      <c r="M56" s="88">
        <v>13839</v>
      </c>
      <c r="N56" s="90">
        <v>51</v>
      </c>
      <c r="O56" s="91">
        <v>3903.88</v>
      </c>
      <c r="P56" s="93">
        <v>10.844111111111111</v>
      </c>
      <c r="Q56" s="90">
        <v>53</v>
      </c>
      <c r="R56" s="91">
        <v>87836.56</v>
      </c>
      <c r="S56" s="92">
        <v>256.05</v>
      </c>
      <c r="T56" s="90">
        <v>2669</v>
      </c>
      <c r="V56" s="123"/>
    </row>
    <row r="57" spans="1:22" x14ac:dyDescent="0.2">
      <c r="A57" s="78">
        <v>2016</v>
      </c>
      <c r="B57" s="79" t="s">
        <v>87</v>
      </c>
      <c r="C57" s="87"/>
      <c r="D57" s="88">
        <v>22851618</v>
      </c>
      <c r="E57" s="88"/>
      <c r="F57" s="89">
        <v>7344327.5333333332</v>
      </c>
      <c r="G57" s="90">
        <v>11083</v>
      </c>
      <c r="H57" s="88">
        <v>4141245.833333333</v>
      </c>
      <c r="I57" s="90">
        <v>2132</v>
      </c>
      <c r="J57" s="91">
        <v>9458401.4000000004</v>
      </c>
      <c r="K57" s="92">
        <v>23099.439999999999</v>
      </c>
      <c r="L57" s="90">
        <v>149</v>
      </c>
      <c r="M57" s="88">
        <v>13839</v>
      </c>
      <c r="N57" s="90">
        <v>51</v>
      </c>
      <c r="O57" s="91">
        <v>4124.62</v>
      </c>
      <c r="P57" s="93">
        <v>11.457277777777776</v>
      </c>
      <c r="Q57" s="90">
        <v>53</v>
      </c>
      <c r="R57" s="91">
        <v>104079.38</v>
      </c>
      <c r="S57" s="92">
        <v>256.04999999999995</v>
      </c>
      <c r="T57" s="90">
        <v>2669</v>
      </c>
      <c r="V57" s="123"/>
    </row>
    <row r="58" spans="1:22" x14ac:dyDescent="0.2">
      <c r="A58" s="78">
        <v>2016</v>
      </c>
      <c r="B58" s="79" t="s">
        <v>88</v>
      </c>
      <c r="C58" s="87"/>
      <c r="D58" s="88">
        <v>24193372</v>
      </c>
      <c r="E58" s="88"/>
      <c r="F58" s="89">
        <v>8371153.4933333341</v>
      </c>
      <c r="G58" s="90">
        <v>11111</v>
      </c>
      <c r="H58" s="88">
        <v>4464495.7733333334</v>
      </c>
      <c r="I58" s="90">
        <v>2132</v>
      </c>
      <c r="J58" s="91">
        <v>9269442.4000000004</v>
      </c>
      <c r="K58" s="92">
        <v>22212.989999999998</v>
      </c>
      <c r="L58" s="90">
        <v>149</v>
      </c>
      <c r="M58" s="88">
        <v>13839</v>
      </c>
      <c r="N58" s="90">
        <v>51</v>
      </c>
      <c r="O58" s="91">
        <v>3907.4799999999996</v>
      </c>
      <c r="P58" s="93">
        <v>10.854111111111109</v>
      </c>
      <c r="Q58" s="90">
        <v>50</v>
      </c>
      <c r="R58" s="91">
        <v>120989.41</v>
      </c>
      <c r="S58" s="92">
        <v>266.77</v>
      </c>
      <c r="T58" s="90">
        <v>2669</v>
      </c>
      <c r="V58" s="123"/>
    </row>
    <row r="59" spans="1:22" x14ac:dyDescent="0.2">
      <c r="A59" s="78">
        <v>2016</v>
      </c>
      <c r="B59" s="79" t="s">
        <v>89</v>
      </c>
      <c r="C59" s="87"/>
      <c r="D59" s="88">
        <v>28341333</v>
      </c>
      <c r="E59" s="88"/>
      <c r="F59" s="89">
        <v>11508008.083333334</v>
      </c>
      <c r="G59" s="90">
        <v>11119</v>
      </c>
      <c r="H59" s="88">
        <v>5469968.833333333</v>
      </c>
      <c r="I59" s="90">
        <v>2138</v>
      </c>
      <c r="J59" s="91">
        <v>9637422</v>
      </c>
      <c r="K59" s="92">
        <v>23841.5</v>
      </c>
      <c r="L59" s="90">
        <v>149</v>
      </c>
      <c r="M59" s="88">
        <v>13839</v>
      </c>
      <c r="N59" s="90">
        <v>51</v>
      </c>
      <c r="O59" s="91">
        <v>3810.8</v>
      </c>
      <c r="P59" s="93">
        <v>10.585555555555555</v>
      </c>
      <c r="Q59" s="90">
        <v>48</v>
      </c>
      <c r="R59" s="91">
        <v>124343.51164293027</v>
      </c>
      <c r="S59" s="92">
        <v>266.77</v>
      </c>
      <c r="T59" s="90">
        <v>2851</v>
      </c>
      <c r="V59" s="123"/>
    </row>
    <row r="60" spans="1:22" x14ac:dyDescent="0.2">
      <c r="A60" s="78">
        <v>2017</v>
      </c>
      <c r="B60" s="79" t="s">
        <v>79</v>
      </c>
      <c r="C60" s="87"/>
      <c r="D60" s="81">
        <v>29369246</v>
      </c>
      <c r="E60" s="81"/>
      <c r="F60" s="82">
        <v>11470775.916666668</v>
      </c>
      <c r="G60" s="83">
        <v>11129</v>
      </c>
      <c r="H60" s="81">
        <v>5827850.75</v>
      </c>
      <c r="I60" s="83">
        <v>2137</v>
      </c>
      <c r="J60" s="84">
        <v>10036136</v>
      </c>
      <c r="K60" s="85">
        <v>22520</v>
      </c>
      <c r="L60" s="83">
        <v>148</v>
      </c>
      <c r="M60" s="81">
        <v>13839</v>
      </c>
      <c r="N60" s="83">
        <v>51</v>
      </c>
      <c r="O60" s="84">
        <v>3731.55</v>
      </c>
      <c r="P60" s="86">
        <v>10.365416666666667</v>
      </c>
      <c r="Q60" s="83">
        <v>46</v>
      </c>
      <c r="R60" s="84">
        <v>120435.78</v>
      </c>
      <c r="S60" s="85">
        <v>267.13</v>
      </c>
      <c r="T60" s="83">
        <v>2851</v>
      </c>
      <c r="V60" s="123"/>
    </row>
    <row r="61" spans="1:22" x14ac:dyDescent="0.2">
      <c r="A61" s="78">
        <v>2017</v>
      </c>
      <c r="B61" s="79" t="s">
        <v>80</v>
      </c>
      <c r="C61" s="87"/>
      <c r="D61" s="88">
        <v>26144559</v>
      </c>
      <c r="E61" s="88"/>
      <c r="F61" s="89">
        <v>10165568.916666668</v>
      </c>
      <c r="G61" s="90">
        <v>11131</v>
      </c>
      <c r="H61" s="88">
        <v>4978369.75</v>
      </c>
      <c r="I61" s="90">
        <v>2146</v>
      </c>
      <c r="J61" s="91">
        <v>9635169.2200000007</v>
      </c>
      <c r="K61" s="92">
        <v>22571</v>
      </c>
      <c r="L61" s="90">
        <v>137</v>
      </c>
      <c r="M61" s="88">
        <v>13839</v>
      </c>
      <c r="N61" s="90">
        <v>51</v>
      </c>
      <c r="O61" s="91">
        <v>3731.55</v>
      </c>
      <c r="P61" s="93">
        <v>10.365416666666667</v>
      </c>
      <c r="Q61" s="90">
        <v>46</v>
      </c>
      <c r="R61" s="91">
        <v>106271.37</v>
      </c>
      <c r="S61" s="92">
        <v>268.13</v>
      </c>
      <c r="T61" s="90">
        <v>2847</v>
      </c>
      <c r="V61" s="123"/>
    </row>
    <row r="62" spans="1:22" x14ac:dyDescent="0.2">
      <c r="A62" s="78">
        <v>2017</v>
      </c>
      <c r="B62" s="79" t="s">
        <v>81</v>
      </c>
      <c r="C62" s="87"/>
      <c r="D62" s="88">
        <v>28985084</v>
      </c>
      <c r="E62" s="88"/>
      <c r="F62" s="89">
        <v>11150484.916666668</v>
      </c>
      <c r="G62" s="90">
        <v>11130</v>
      </c>
      <c r="H62" s="88">
        <v>5656038.75</v>
      </c>
      <c r="I62" s="90">
        <v>2145</v>
      </c>
      <c r="J62" s="91">
        <v>10048725.6</v>
      </c>
      <c r="K62" s="92">
        <v>23225.7</v>
      </c>
      <c r="L62" s="90">
        <v>137</v>
      </c>
      <c r="M62" s="88">
        <v>13839</v>
      </c>
      <c r="N62" s="90">
        <v>51</v>
      </c>
      <c r="O62" s="91">
        <v>3728.55</v>
      </c>
      <c r="P62" s="93">
        <v>10.357083333333334</v>
      </c>
      <c r="Q62" s="90">
        <v>46</v>
      </c>
      <c r="R62" s="91">
        <v>99988.709999999992</v>
      </c>
      <c r="S62" s="92">
        <v>266.13</v>
      </c>
      <c r="T62" s="90">
        <v>2847</v>
      </c>
      <c r="V62" s="123"/>
    </row>
    <row r="63" spans="1:22" x14ac:dyDescent="0.2">
      <c r="A63" s="78">
        <v>2017</v>
      </c>
      <c r="B63" s="79" t="s">
        <v>82</v>
      </c>
      <c r="C63" s="87"/>
      <c r="D63" s="88">
        <v>22823269</v>
      </c>
      <c r="E63" s="88"/>
      <c r="F63" s="89">
        <v>7940110.916666667</v>
      </c>
      <c r="G63" s="90">
        <v>11140</v>
      </c>
      <c r="H63" s="88">
        <v>4265325.75</v>
      </c>
      <c r="I63" s="90">
        <v>2145</v>
      </c>
      <c r="J63" s="91">
        <v>9160330.5</v>
      </c>
      <c r="K63" s="92">
        <v>23420</v>
      </c>
      <c r="L63" s="90">
        <v>137</v>
      </c>
      <c r="M63" s="88">
        <v>13839</v>
      </c>
      <c r="N63" s="90">
        <v>51</v>
      </c>
      <c r="O63" s="91">
        <v>3731.55</v>
      </c>
      <c r="P63" s="93">
        <v>10.365416666666667</v>
      </c>
      <c r="Q63" s="90">
        <v>46</v>
      </c>
      <c r="R63" s="91">
        <v>85218.41</v>
      </c>
      <c r="S63" s="92">
        <v>266.13</v>
      </c>
      <c r="T63" s="90">
        <v>2847</v>
      </c>
      <c r="V63" s="123"/>
    </row>
    <row r="64" spans="1:22" x14ac:dyDescent="0.2">
      <c r="A64" s="78">
        <v>2017</v>
      </c>
      <c r="B64" s="79" t="s">
        <v>45</v>
      </c>
      <c r="C64" s="87"/>
      <c r="D64" s="88">
        <v>22196746</v>
      </c>
      <c r="E64" s="88"/>
      <c r="F64" s="89">
        <v>7091594.916666667</v>
      </c>
      <c r="G64" s="90">
        <v>11153</v>
      </c>
      <c r="H64" s="88">
        <v>4208776.75</v>
      </c>
      <c r="I64" s="90">
        <v>2147</v>
      </c>
      <c r="J64" s="91">
        <v>9442935.9000000004</v>
      </c>
      <c r="K64" s="92">
        <v>23160.5</v>
      </c>
      <c r="L64" s="90">
        <v>137</v>
      </c>
      <c r="M64" s="88">
        <v>13839</v>
      </c>
      <c r="N64" s="90">
        <v>51</v>
      </c>
      <c r="O64" s="91">
        <v>3731.55</v>
      </c>
      <c r="P64" s="93">
        <v>10.365416666666667</v>
      </c>
      <c r="Q64" s="90">
        <v>46</v>
      </c>
      <c r="R64" s="91">
        <v>77521.5</v>
      </c>
      <c r="S64" s="92">
        <v>266.13</v>
      </c>
      <c r="T64" s="90">
        <v>2847</v>
      </c>
      <c r="V64" s="123"/>
    </row>
    <row r="65" spans="1:22" x14ac:dyDescent="0.2">
      <c r="A65" s="78">
        <v>2017</v>
      </c>
      <c r="B65" s="79" t="s">
        <v>83</v>
      </c>
      <c r="C65" s="87"/>
      <c r="D65" s="88">
        <v>21339393</v>
      </c>
      <c r="E65" s="88"/>
      <c r="F65" s="89">
        <v>6262581.916666667</v>
      </c>
      <c r="G65" s="90">
        <v>11182</v>
      </c>
      <c r="H65" s="88">
        <v>4161453.75</v>
      </c>
      <c r="I65" s="90">
        <v>2149</v>
      </c>
      <c r="J65" s="91">
        <v>9630633.1199999992</v>
      </c>
      <c r="K65" s="92">
        <v>23614.2</v>
      </c>
      <c r="L65" s="90">
        <v>137</v>
      </c>
      <c r="M65" s="88">
        <v>13839</v>
      </c>
      <c r="N65" s="90">
        <v>51</v>
      </c>
      <c r="O65" s="91">
        <v>3731.55</v>
      </c>
      <c r="P65" s="93">
        <v>10.365416666666667</v>
      </c>
      <c r="Q65" s="90">
        <v>46</v>
      </c>
      <c r="R65" s="91">
        <v>70112.929999999993</v>
      </c>
      <c r="S65" s="92">
        <v>266.13</v>
      </c>
      <c r="T65" s="90">
        <v>2847</v>
      </c>
      <c r="V65" s="123"/>
    </row>
    <row r="66" spans="1:22" x14ac:dyDescent="0.2">
      <c r="A66" s="78">
        <v>2017</v>
      </c>
      <c r="B66" s="79" t="s">
        <v>84</v>
      </c>
      <c r="C66" s="87"/>
      <c r="D66" s="88">
        <v>22953227</v>
      </c>
      <c r="E66" s="88"/>
      <c r="F66" s="89">
        <v>6806256.916666667</v>
      </c>
      <c r="G66" s="90">
        <v>11184</v>
      </c>
      <c r="H66" s="88">
        <v>4603116.75</v>
      </c>
      <c r="I66" s="90">
        <v>2145</v>
      </c>
      <c r="J66" s="91">
        <v>10025669.960000001</v>
      </c>
      <c r="K66" s="92">
        <v>23520.2</v>
      </c>
      <c r="L66" s="90">
        <v>137</v>
      </c>
      <c r="M66" s="88">
        <v>13839</v>
      </c>
      <c r="N66" s="90">
        <v>51</v>
      </c>
      <c r="O66" s="91">
        <v>3731.55</v>
      </c>
      <c r="P66" s="93">
        <v>10.365416666666667</v>
      </c>
      <c r="Q66" s="90">
        <v>46</v>
      </c>
      <c r="R66" s="91">
        <v>74461.05</v>
      </c>
      <c r="S66" s="92">
        <v>266.13</v>
      </c>
      <c r="T66" s="90">
        <v>2849</v>
      </c>
      <c r="V66" s="123"/>
    </row>
    <row r="67" spans="1:22" x14ac:dyDescent="0.2">
      <c r="A67" s="78">
        <v>2017</v>
      </c>
      <c r="B67" s="79" t="s">
        <v>85</v>
      </c>
      <c r="C67" s="87"/>
      <c r="D67" s="88">
        <v>22947367</v>
      </c>
      <c r="E67" s="88"/>
      <c r="F67" s="89">
        <v>6667990.916666667</v>
      </c>
      <c r="G67" s="90">
        <v>11189</v>
      </c>
      <c r="H67" s="88">
        <v>4686232.75</v>
      </c>
      <c r="I67" s="90">
        <v>2143</v>
      </c>
      <c r="J67" s="91">
        <v>10303718.779999999</v>
      </c>
      <c r="K67" s="92">
        <v>24608.1</v>
      </c>
      <c r="L67" s="90">
        <v>137</v>
      </c>
      <c r="M67" s="88">
        <v>13839</v>
      </c>
      <c r="N67" s="90">
        <v>51</v>
      </c>
      <c r="O67" s="91">
        <v>3655.55</v>
      </c>
      <c r="P67" s="93">
        <v>10.154305555555556</v>
      </c>
      <c r="Q67" s="90">
        <v>45</v>
      </c>
      <c r="R67" s="91">
        <v>83619.290000000008</v>
      </c>
      <c r="S67" s="92">
        <v>266.13</v>
      </c>
      <c r="T67" s="90">
        <v>2849</v>
      </c>
      <c r="V67" s="123"/>
    </row>
    <row r="68" spans="1:22" x14ac:dyDescent="0.2">
      <c r="A68" s="78">
        <v>2017</v>
      </c>
      <c r="B68" s="79" t="s">
        <v>86</v>
      </c>
      <c r="C68" s="87"/>
      <c r="D68" s="88">
        <v>21826159</v>
      </c>
      <c r="E68" s="88"/>
      <c r="F68" s="89">
        <v>6442030.916666667</v>
      </c>
      <c r="G68" s="90">
        <v>11188</v>
      </c>
      <c r="H68" s="88">
        <v>4189598.75</v>
      </c>
      <c r="I68" s="90">
        <v>2138</v>
      </c>
      <c r="J68" s="91">
        <v>9791677.3000000007</v>
      </c>
      <c r="K68" s="92">
        <v>24745.5</v>
      </c>
      <c r="L68" s="90">
        <v>137</v>
      </c>
      <c r="M68" s="88">
        <v>13839</v>
      </c>
      <c r="N68" s="90">
        <v>51</v>
      </c>
      <c r="O68" s="91">
        <v>3631.55</v>
      </c>
      <c r="P68" s="93">
        <v>10.08763888888889</v>
      </c>
      <c r="Q68" s="90">
        <v>45</v>
      </c>
      <c r="R68" s="91">
        <v>92104.23</v>
      </c>
      <c r="S68" s="92">
        <v>266.13</v>
      </c>
      <c r="T68" s="90">
        <v>2849</v>
      </c>
      <c r="V68" s="123"/>
    </row>
    <row r="69" spans="1:22" x14ac:dyDescent="0.2">
      <c r="A69" s="78">
        <v>2017</v>
      </c>
      <c r="B69" s="79" t="s">
        <v>87</v>
      </c>
      <c r="C69" s="87"/>
      <c r="D69" s="88">
        <v>22377976</v>
      </c>
      <c r="E69" s="88"/>
      <c r="F69" s="89">
        <v>6905640.916666667</v>
      </c>
      <c r="G69" s="90">
        <v>11191</v>
      </c>
      <c r="H69" s="88">
        <v>4067231.75</v>
      </c>
      <c r="I69" s="90">
        <v>2146</v>
      </c>
      <c r="J69" s="91">
        <v>9838829.2200000007</v>
      </c>
      <c r="K69" s="92">
        <v>23336.5</v>
      </c>
      <c r="L69" s="90">
        <v>137</v>
      </c>
      <c r="M69" s="88">
        <v>13839</v>
      </c>
      <c r="N69" s="90">
        <v>51</v>
      </c>
      <c r="O69" s="91">
        <v>3628.55</v>
      </c>
      <c r="P69" s="93">
        <v>10.079305555555555</v>
      </c>
      <c r="Q69" s="90">
        <v>45</v>
      </c>
      <c r="R69" s="91">
        <v>107242.45</v>
      </c>
      <c r="S69" s="92">
        <v>266.13</v>
      </c>
      <c r="T69" s="90">
        <v>2849</v>
      </c>
      <c r="V69" s="123"/>
    </row>
    <row r="70" spans="1:22" x14ac:dyDescent="0.2">
      <c r="A70" s="78">
        <v>2017</v>
      </c>
      <c r="B70" s="79" t="s">
        <v>88</v>
      </c>
      <c r="C70" s="87"/>
      <c r="D70" s="88">
        <v>25903115</v>
      </c>
      <c r="E70" s="88"/>
      <c r="F70" s="89">
        <v>9431935.9166666679</v>
      </c>
      <c r="G70" s="90">
        <v>11200</v>
      </c>
      <c r="H70" s="88">
        <v>4953100.75</v>
      </c>
      <c r="I70" s="90">
        <v>2146</v>
      </c>
      <c r="J70" s="91">
        <v>9735428.4600000009</v>
      </c>
      <c r="K70" s="92">
        <v>23014.7</v>
      </c>
      <c r="L70" s="90">
        <v>137</v>
      </c>
      <c r="M70" s="88">
        <v>13839</v>
      </c>
      <c r="N70" s="90">
        <v>51</v>
      </c>
      <c r="O70" s="91">
        <v>3636.55</v>
      </c>
      <c r="P70" s="93">
        <v>10.101527777777777</v>
      </c>
      <c r="Q70" s="90">
        <v>45</v>
      </c>
      <c r="R70" s="91">
        <v>114221.92</v>
      </c>
      <c r="S70" s="92">
        <v>266.13</v>
      </c>
      <c r="T70" s="90">
        <v>2849</v>
      </c>
      <c r="V70" s="123"/>
    </row>
    <row r="71" spans="1:22" x14ac:dyDescent="0.2">
      <c r="A71" s="78">
        <v>2017</v>
      </c>
      <c r="B71" s="79" t="s">
        <v>89</v>
      </c>
      <c r="C71" s="87"/>
      <c r="D71" s="88">
        <v>30421258</v>
      </c>
      <c r="E71" s="88"/>
      <c r="F71" s="89">
        <v>12794658.916666666</v>
      </c>
      <c r="G71" s="90">
        <v>11208</v>
      </c>
      <c r="H71" s="88">
        <v>5988255.75</v>
      </c>
      <c r="I71" s="90">
        <v>2146</v>
      </c>
      <c r="J71" s="91">
        <v>9834887.4236394335</v>
      </c>
      <c r="K71" s="92">
        <v>24034.7</v>
      </c>
      <c r="L71" s="90">
        <v>137</v>
      </c>
      <c r="M71" s="88">
        <v>13839</v>
      </c>
      <c r="N71" s="90">
        <v>51</v>
      </c>
      <c r="O71" s="91">
        <v>3563.55</v>
      </c>
      <c r="P71" s="93">
        <v>9.8987499999999997</v>
      </c>
      <c r="Q71" s="90">
        <v>44</v>
      </c>
      <c r="R71" s="91">
        <v>123256.35841506977</v>
      </c>
      <c r="S71" s="92">
        <v>266.13</v>
      </c>
      <c r="T71" s="90">
        <v>2849</v>
      </c>
      <c r="V71" s="123"/>
    </row>
    <row r="72" spans="1:22" x14ac:dyDescent="0.2">
      <c r="A72" s="78">
        <v>2018</v>
      </c>
      <c r="B72" s="79" t="s">
        <v>79</v>
      </c>
      <c r="C72" s="87"/>
      <c r="D72" s="81">
        <v>32733608</v>
      </c>
      <c r="E72" s="81"/>
      <c r="F72" s="82">
        <v>13425595.333333332</v>
      </c>
      <c r="G72" s="83">
        <v>11194</v>
      </c>
      <c r="H72" s="81">
        <v>6436097.666666667</v>
      </c>
      <c r="I72" s="83">
        <v>2147</v>
      </c>
      <c r="J72" s="84">
        <v>10495914.539999999</v>
      </c>
      <c r="K72" s="85">
        <v>23520.2</v>
      </c>
      <c r="L72" s="83">
        <v>138</v>
      </c>
      <c r="M72" s="81">
        <v>13839</v>
      </c>
      <c r="N72" s="83">
        <v>51</v>
      </c>
      <c r="O72" s="84">
        <v>3402.8</v>
      </c>
      <c r="P72" s="86">
        <v>9.4522222222222219</v>
      </c>
      <c r="Q72" s="83">
        <v>44</v>
      </c>
      <c r="R72" s="84">
        <v>119266</v>
      </c>
      <c r="S72" s="85">
        <v>263.95</v>
      </c>
      <c r="T72" s="83">
        <v>2849</v>
      </c>
      <c r="V72" s="123"/>
    </row>
    <row r="73" spans="1:22" x14ac:dyDescent="0.2">
      <c r="A73" s="78">
        <v>2018</v>
      </c>
      <c r="B73" s="79" t="s">
        <v>80</v>
      </c>
      <c r="C73" s="87"/>
      <c r="D73" s="88">
        <v>27371745</v>
      </c>
      <c r="E73" s="88"/>
      <c r="F73" s="89">
        <v>10887001.333333334</v>
      </c>
      <c r="G73" s="90">
        <v>11255</v>
      </c>
      <c r="H73" s="88">
        <v>5398946.666666666</v>
      </c>
      <c r="I73" s="90">
        <v>2154</v>
      </c>
      <c r="J73" s="91">
        <v>9321938.2400000002</v>
      </c>
      <c r="K73" s="92">
        <v>23263.5</v>
      </c>
      <c r="L73" s="90">
        <v>138</v>
      </c>
      <c r="M73" s="88">
        <v>13839</v>
      </c>
      <c r="N73" s="90">
        <v>51</v>
      </c>
      <c r="O73" s="91">
        <v>3402.8</v>
      </c>
      <c r="P73" s="93">
        <v>9.4522222222222219</v>
      </c>
      <c r="Q73" s="90">
        <v>44</v>
      </c>
      <c r="R73" s="91">
        <v>102437</v>
      </c>
      <c r="S73" s="92">
        <v>261.95</v>
      </c>
      <c r="T73" s="90">
        <v>2849</v>
      </c>
      <c r="V73" s="123"/>
    </row>
    <row r="74" spans="1:22" x14ac:dyDescent="0.2">
      <c r="A74" s="78">
        <v>2018</v>
      </c>
      <c r="B74" s="79" t="s">
        <v>81</v>
      </c>
      <c r="C74" s="87"/>
      <c r="D74" s="88">
        <v>27619983</v>
      </c>
      <c r="E74" s="88"/>
      <c r="F74" s="89">
        <v>10530403.333333334</v>
      </c>
      <c r="G74" s="90">
        <v>11251</v>
      </c>
      <c r="H74" s="88">
        <v>5342555.666666666</v>
      </c>
      <c r="I74" s="90">
        <v>2156</v>
      </c>
      <c r="J74" s="91">
        <v>10027371.960000001</v>
      </c>
      <c r="K74" s="92">
        <v>22612.400000000001</v>
      </c>
      <c r="L74" s="90">
        <v>138</v>
      </c>
      <c r="M74" s="88">
        <v>13839</v>
      </c>
      <c r="N74" s="90">
        <v>51</v>
      </c>
      <c r="O74" s="91">
        <v>3402.8</v>
      </c>
      <c r="P74" s="93">
        <v>9.4522222222222219</v>
      </c>
      <c r="Q74" s="90">
        <v>44</v>
      </c>
      <c r="R74" s="91">
        <v>96269</v>
      </c>
      <c r="S74" s="92">
        <v>256.95</v>
      </c>
      <c r="T74" s="90">
        <v>2849</v>
      </c>
      <c r="V74" s="123"/>
    </row>
    <row r="75" spans="1:22" x14ac:dyDescent="0.2">
      <c r="A75" s="78">
        <v>2018</v>
      </c>
      <c r="B75" s="79" t="s">
        <v>82</v>
      </c>
      <c r="C75" s="87"/>
      <c r="D75" s="88">
        <v>25333746</v>
      </c>
      <c r="E75" s="88"/>
      <c r="F75" s="89">
        <v>9425114.6666666679</v>
      </c>
      <c r="G75" s="90">
        <v>11270</v>
      </c>
      <c r="H75" s="88">
        <v>4845326</v>
      </c>
      <c r="I75" s="90">
        <v>2163</v>
      </c>
      <c r="J75" s="91">
        <v>9470546.1199999992</v>
      </c>
      <c r="K75" s="92">
        <v>22929.200000000001</v>
      </c>
      <c r="L75" s="90">
        <v>137</v>
      </c>
      <c r="M75" s="88">
        <v>13839</v>
      </c>
      <c r="N75" s="90">
        <v>51</v>
      </c>
      <c r="O75" s="91">
        <v>3402.8</v>
      </c>
      <c r="P75" s="93">
        <v>9.4522222222222219</v>
      </c>
      <c r="Q75" s="90">
        <v>44</v>
      </c>
      <c r="R75" s="91">
        <v>81954</v>
      </c>
      <c r="S75" s="92">
        <v>256.95</v>
      </c>
      <c r="T75" s="90">
        <v>2849</v>
      </c>
      <c r="V75" s="123"/>
    </row>
    <row r="76" spans="1:22" x14ac:dyDescent="0.2">
      <c r="A76" s="78">
        <v>2018</v>
      </c>
      <c r="B76" s="79" t="s">
        <v>45</v>
      </c>
      <c r="C76" s="87"/>
      <c r="D76" s="88">
        <v>21970207</v>
      </c>
      <c r="E76" s="88"/>
      <c r="F76" s="89">
        <v>6777512.666666667</v>
      </c>
      <c r="G76" s="90">
        <v>11275</v>
      </c>
      <c r="H76" s="88">
        <v>4256131</v>
      </c>
      <c r="I76" s="90">
        <v>2161</v>
      </c>
      <c r="J76" s="91">
        <v>9605077.8100000005</v>
      </c>
      <c r="K76" s="92">
        <v>24327.3</v>
      </c>
      <c r="L76" s="90">
        <v>137</v>
      </c>
      <c r="M76" s="88">
        <v>13839</v>
      </c>
      <c r="N76" s="90">
        <v>51</v>
      </c>
      <c r="O76" s="91">
        <v>3402.8</v>
      </c>
      <c r="P76" s="93">
        <v>9.4522222222222219</v>
      </c>
      <c r="Q76" s="90">
        <v>44</v>
      </c>
      <c r="R76" s="91">
        <v>74460</v>
      </c>
      <c r="S76" s="92">
        <v>255.95</v>
      </c>
      <c r="T76" s="90">
        <v>2849</v>
      </c>
      <c r="V76" s="123"/>
    </row>
    <row r="77" spans="1:22" x14ac:dyDescent="0.2">
      <c r="A77" s="78">
        <v>2018</v>
      </c>
      <c r="B77" s="79" t="s">
        <v>83</v>
      </c>
      <c r="C77" s="87"/>
      <c r="D77" s="88">
        <v>22053298</v>
      </c>
      <c r="E77" s="88"/>
      <c r="F77" s="89">
        <v>6400002.666666667</v>
      </c>
      <c r="G77" s="90">
        <v>11282</v>
      </c>
      <c r="H77" s="88">
        <v>4280862</v>
      </c>
      <c r="I77" s="90">
        <v>2162</v>
      </c>
      <c r="J77" s="91">
        <v>9768401.2400000002</v>
      </c>
      <c r="K77" s="92">
        <v>24748.2</v>
      </c>
      <c r="L77" s="90">
        <v>137</v>
      </c>
      <c r="M77" s="88">
        <v>13845</v>
      </c>
      <c r="N77" s="90">
        <v>51</v>
      </c>
      <c r="O77" s="91">
        <v>3402.8</v>
      </c>
      <c r="P77" s="93">
        <v>9.4522222222222219</v>
      </c>
      <c r="Q77" s="90">
        <v>44</v>
      </c>
      <c r="R77" s="91">
        <v>67443</v>
      </c>
      <c r="S77" s="92">
        <v>255.95</v>
      </c>
      <c r="T77" s="90">
        <v>2849</v>
      </c>
      <c r="V77" s="123"/>
    </row>
    <row r="78" spans="1:22" x14ac:dyDescent="0.2">
      <c r="A78" s="78">
        <v>2018</v>
      </c>
      <c r="B78" s="79" t="s">
        <v>84</v>
      </c>
      <c r="C78" s="87"/>
      <c r="D78" s="88">
        <v>25386186</v>
      </c>
      <c r="E78" s="88"/>
      <c r="F78" s="89">
        <v>7744763.666666667</v>
      </c>
      <c r="G78" s="90">
        <v>11292</v>
      </c>
      <c r="H78" s="88">
        <v>5098048</v>
      </c>
      <c r="I78" s="90">
        <v>2164</v>
      </c>
      <c r="J78" s="91">
        <v>10576344.49</v>
      </c>
      <c r="K78" s="92">
        <v>24671</v>
      </c>
      <c r="L78" s="90">
        <v>137</v>
      </c>
      <c r="M78" s="88">
        <v>13845</v>
      </c>
      <c r="N78" s="90">
        <v>51</v>
      </c>
      <c r="O78" s="91">
        <v>3402.8</v>
      </c>
      <c r="P78" s="93">
        <v>9.4522222222222219</v>
      </c>
      <c r="Q78" s="90">
        <v>44</v>
      </c>
      <c r="R78" s="91">
        <v>71401</v>
      </c>
      <c r="S78" s="92">
        <v>255.95</v>
      </c>
      <c r="T78" s="90">
        <v>2849</v>
      </c>
      <c r="V78" s="123"/>
    </row>
    <row r="79" spans="1:22" x14ac:dyDescent="0.2">
      <c r="A79" s="78">
        <v>2018</v>
      </c>
      <c r="B79" s="79" t="s">
        <v>85</v>
      </c>
      <c r="C79" s="87"/>
      <c r="D79" s="88">
        <v>24965359</v>
      </c>
      <c r="E79" s="88"/>
      <c r="F79" s="89">
        <v>7583908.666666667</v>
      </c>
      <c r="G79" s="90">
        <v>11317</v>
      </c>
      <c r="H79" s="88">
        <v>5023926</v>
      </c>
      <c r="I79" s="90">
        <v>2161</v>
      </c>
      <c r="J79" s="91">
        <v>10546530.99</v>
      </c>
      <c r="K79" s="92">
        <v>24136.2</v>
      </c>
      <c r="L79" s="90">
        <v>137</v>
      </c>
      <c r="M79" s="88">
        <v>13845</v>
      </c>
      <c r="N79" s="90">
        <v>51</v>
      </c>
      <c r="O79" s="91">
        <v>3412.8</v>
      </c>
      <c r="P79" s="93">
        <v>9.48</v>
      </c>
      <c r="Q79" s="90">
        <v>44</v>
      </c>
      <c r="R79" s="91">
        <v>80422</v>
      </c>
      <c r="S79" s="92">
        <v>255.95</v>
      </c>
      <c r="T79" s="90">
        <v>2849</v>
      </c>
      <c r="V79" s="123"/>
    </row>
    <row r="80" spans="1:22" x14ac:dyDescent="0.2">
      <c r="A80" s="78">
        <v>2018</v>
      </c>
      <c r="B80" s="79" t="s">
        <v>86</v>
      </c>
      <c r="C80" s="87"/>
      <c r="D80" s="88">
        <v>22184261</v>
      </c>
      <c r="E80" s="88"/>
      <c r="F80" s="89">
        <v>6706825.666666667</v>
      </c>
      <c r="G80" s="90">
        <v>11318</v>
      </c>
      <c r="H80" s="88">
        <v>4143790</v>
      </c>
      <c r="I80" s="90">
        <v>2160</v>
      </c>
      <c r="J80" s="91">
        <v>9797866.2100000009</v>
      </c>
      <c r="K80" s="92">
        <v>25717.5</v>
      </c>
      <c r="L80" s="90">
        <v>137</v>
      </c>
      <c r="M80" s="88">
        <v>13845</v>
      </c>
      <c r="N80" s="90">
        <v>51</v>
      </c>
      <c r="O80" s="91">
        <v>3402.8</v>
      </c>
      <c r="P80" s="93">
        <v>9.4522222222222219</v>
      </c>
      <c r="Q80" s="90">
        <v>44</v>
      </c>
      <c r="R80" s="91">
        <v>88505</v>
      </c>
      <c r="S80" s="92">
        <v>255.97</v>
      </c>
      <c r="T80" s="90">
        <v>2849</v>
      </c>
      <c r="V80" s="123"/>
    </row>
    <row r="81" spans="1:22" x14ac:dyDescent="0.2">
      <c r="A81" s="78">
        <v>2018</v>
      </c>
      <c r="B81" s="79" t="s">
        <v>87</v>
      </c>
      <c r="C81" s="87"/>
      <c r="D81" s="88">
        <v>24204812</v>
      </c>
      <c r="E81" s="88"/>
      <c r="F81" s="89">
        <v>8138784.666666667</v>
      </c>
      <c r="G81" s="90">
        <v>11326</v>
      </c>
      <c r="H81" s="88">
        <v>4398018</v>
      </c>
      <c r="I81" s="90">
        <v>2160</v>
      </c>
      <c r="J81" s="91">
        <v>10012369.99</v>
      </c>
      <c r="K81" s="92">
        <v>25447.5</v>
      </c>
      <c r="L81" s="90">
        <v>138</v>
      </c>
      <c r="M81" s="88">
        <v>13845</v>
      </c>
      <c r="N81" s="90">
        <v>51</v>
      </c>
      <c r="O81" s="91">
        <v>3525.8</v>
      </c>
      <c r="P81" s="93">
        <v>9.7938888888888886</v>
      </c>
      <c r="Q81" s="90">
        <v>44</v>
      </c>
      <c r="R81" s="91">
        <v>103131</v>
      </c>
      <c r="S81" s="92">
        <v>255.95</v>
      </c>
      <c r="T81" s="90">
        <v>2849</v>
      </c>
      <c r="V81" s="123"/>
    </row>
    <row r="82" spans="1:22" x14ac:dyDescent="0.2">
      <c r="A82" s="78">
        <v>2018</v>
      </c>
      <c r="B82" s="79" t="s">
        <v>88</v>
      </c>
      <c r="C82" s="87"/>
      <c r="D82" s="88">
        <v>26802618</v>
      </c>
      <c r="E82" s="88"/>
      <c r="F82" s="89">
        <v>10088263.666666668</v>
      </c>
      <c r="G82" s="90">
        <v>11337</v>
      </c>
      <c r="H82" s="88">
        <v>5066865</v>
      </c>
      <c r="I82" s="90">
        <v>2159</v>
      </c>
      <c r="J82" s="91">
        <v>9701499.25</v>
      </c>
      <c r="K82" s="92">
        <v>23134.9</v>
      </c>
      <c r="L82" s="90">
        <v>138</v>
      </c>
      <c r="M82" s="88">
        <v>13845</v>
      </c>
      <c r="N82" s="90">
        <v>51</v>
      </c>
      <c r="O82" s="91">
        <v>3291.8</v>
      </c>
      <c r="P82" s="93">
        <v>9.1438888888888883</v>
      </c>
      <c r="Q82" s="90">
        <v>44</v>
      </c>
      <c r="R82" s="91">
        <v>110017</v>
      </c>
      <c r="S82" s="92">
        <v>255.95</v>
      </c>
      <c r="T82" s="90">
        <v>2849</v>
      </c>
      <c r="V82" s="123"/>
    </row>
    <row r="83" spans="1:22" x14ac:dyDescent="0.2">
      <c r="A83" s="78">
        <v>2018</v>
      </c>
      <c r="B83" s="79" t="s">
        <v>89</v>
      </c>
      <c r="C83" s="87"/>
      <c r="D83" s="88">
        <v>28621650</v>
      </c>
      <c r="E83" s="88"/>
      <c r="F83" s="89">
        <v>11718909</v>
      </c>
      <c r="G83" s="90">
        <v>11347</v>
      </c>
      <c r="H83" s="88">
        <v>5488902</v>
      </c>
      <c r="I83" s="90">
        <v>2159</v>
      </c>
      <c r="J83" s="91">
        <v>9768617.7100000009</v>
      </c>
      <c r="K83" s="92">
        <v>23516.400000000001</v>
      </c>
      <c r="L83" s="90">
        <v>138</v>
      </c>
      <c r="M83" s="88">
        <v>14421</v>
      </c>
      <c r="N83" s="90">
        <v>51</v>
      </c>
      <c r="O83" s="91">
        <v>3368.5</v>
      </c>
      <c r="P83" s="93">
        <v>9.3569444444444443</v>
      </c>
      <c r="Q83" s="90">
        <v>44</v>
      </c>
      <c r="R83" s="91">
        <v>118726</v>
      </c>
      <c r="S83" s="92">
        <v>256.10000000000002</v>
      </c>
      <c r="T83" s="90">
        <v>2849</v>
      </c>
      <c r="V83" s="123"/>
    </row>
    <row r="84" spans="1:22" x14ac:dyDescent="0.2">
      <c r="A84" s="78">
        <v>2019</v>
      </c>
      <c r="B84" s="79" t="s">
        <v>79</v>
      </c>
      <c r="C84" s="87"/>
      <c r="D84" s="81">
        <v>32743936.59</v>
      </c>
      <c r="E84" s="81"/>
      <c r="F84" s="82">
        <v>13700795</v>
      </c>
      <c r="G84" s="83">
        <v>11367</v>
      </c>
      <c r="H84" s="81">
        <v>6359914</v>
      </c>
      <c r="I84" s="83">
        <v>2156</v>
      </c>
      <c r="J84" s="84">
        <v>10571083</v>
      </c>
      <c r="K84" s="85">
        <v>23914.720000000001</v>
      </c>
      <c r="L84" s="83">
        <v>138</v>
      </c>
      <c r="M84" s="81">
        <v>14421</v>
      </c>
      <c r="N84" s="83">
        <v>55</v>
      </c>
      <c r="O84" s="84">
        <v>3368.5</v>
      </c>
      <c r="P84" s="86">
        <v>9.3569444444444443</v>
      </c>
      <c r="Q84" s="83">
        <v>43</v>
      </c>
      <c r="R84" s="84">
        <v>115683</v>
      </c>
      <c r="S84" s="85">
        <v>256.11</v>
      </c>
      <c r="T84" s="83">
        <v>2849</v>
      </c>
      <c r="V84" s="123"/>
    </row>
    <row r="85" spans="1:22" x14ac:dyDescent="0.2">
      <c r="A85" s="78">
        <v>2019</v>
      </c>
      <c r="B85" s="79" t="s">
        <v>80</v>
      </c>
      <c r="C85" s="87"/>
      <c r="D85" s="88">
        <v>28440395.719999999</v>
      </c>
      <c r="E85" s="88"/>
      <c r="F85" s="89">
        <v>11697150</v>
      </c>
      <c r="G85" s="90">
        <v>11374</v>
      </c>
      <c r="H85" s="88">
        <v>5557866</v>
      </c>
      <c r="I85" s="90">
        <v>2155</v>
      </c>
      <c r="J85" s="91">
        <v>9329196</v>
      </c>
      <c r="K85" s="92">
        <v>23092.000000000004</v>
      </c>
      <c r="L85" s="90">
        <v>138</v>
      </c>
      <c r="M85" s="88">
        <v>14421</v>
      </c>
      <c r="N85" s="90">
        <v>55</v>
      </c>
      <c r="O85" s="91">
        <v>3368</v>
      </c>
      <c r="P85" s="93">
        <v>9.3555555555555561</v>
      </c>
      <c r="Q85" s="90">
        <v>43</v>
      </c>
      <c r="R85" s="91">
        <v>102324</v>
      </c>
      <c r="S85" s="92">
        <v>256.11</v>
      </c>
      <c r="T85" s="90">
        <v>2849</v>
      </c>
      <c r="V85" s="123"/>
    </row>
    <row r="86" spans="1:22" x14ac:dyDescent="0.2">
      <c r="A86" s="78">
        <v>2019</v>
      </c>
      <c r="B86" s="79" t="s">
        <v>81</v>
      </c>
      <c r="C86" s="87"/>
      <c r="D86" s="88">
        <v>29353455.600000001</v>
      </c>
      <c r="E86" s="88"/>
      <c r="F86" s="89">
        <v>11549860</v>
      </c>
      <c r="G86" s="90">
        <v>11398</v>
      </c>
      <c r="H86" s="88">
        <v>5630712</v>
      </c>
      <c r="I86" s="90">
        <v>2159</v>
      </c>
      <c r="J86" s="91">
        <v>10256657</v>
      </c>
      <c r="K86" s="92">
        <v>23151.120000000003</v>
      </c>
      <c r="L86" s="90">
        <v>138</v>
      </c>
      <c r="M86" s="88">
        <v>14421</v>
      </c>
      <c r="N86" s="90">
        <v>55</v>
      </c>
      <c r="O86" s="91">
        <v>3368</v>
      </c>
      <c r="P86" s="93">
        <v>9.3555555555555561</v>
      </c>
      <c r="Q86" s="90">
        <v>43</v>
      </c>
      <c r="R86" s="91">
        <v>96213</v>
      </c>
      <c r="S86" s="92">
        <v>256.11</v>
      </c>
      <c r="T86" s="90">
        <v>2849</v>
      </c>
      <c r="V86" s="123"/>
    </row>
    <row r="87" spans="1:22" x14ac:dyDescent="0.2">
      <c r="A87" s="78">
        <v>2019</v>
      </c>
      <c r="B87" s="79" t="s">
        <v>82</v>
      </c>
      <c r="C87" s="87"/>
      <c r="D87" s="88">
        <v>24614385.100000001</v>
      </c>
      <c r="E87" s="88"/>
      <c r="F87" s="89">
        <v>9075291</v>
      </c>
      <c r="G87" s="90">
        <v>11410</v>
      </c>
      <c r="H87" s="88">
        <v>4626893</v>
      </c>
      <c r="I87" s="90">
        <v>2155</v>
      </c>
      <c r="J87" s="91">
        <v>9343780</v>
      </c>
      <c r="K87" s="92">
        <v>22573.449999999997</v>
      </c>
      <c r="L87" s="90">
        <v>138</v>
      </c>
      <c r="M87" s="88">
        <v>14421</v>
      </c>
      <c r="N87" s="90">
        <v>55</v>
      </c>
      <c r="O87" s="91">
        <v>3368</v>
      </c>
      <c r="P87" s="93">
        <v>9.3555555555555561</v>
      </c>
      <c r="Q87" s="90">
        <v>43</v>
      </c>
      <c r="R87" s="91">
        <v>81967</v>
      </c>
      <c r="S87" s="92">
        <v>256.11</v>
      </c>
      <c r="T87" s="90">
        <v>2849</v>
      </c>
      <c r="V87" s="123"/>
    </row>
    <row r="88" spans="1:22" x14ac:dyDescent="0.2">
      <c r="A88" s="78">
        <v>2019</v>
      </c>
      <c r="B88" s="79" t="s">
        <v>45</v>
      </c>
      <c r="C88" s="87"/>
      <c r="D88" s="88">
        <v>22757878</v>
      </c>
      <c r="E88" s="88"/>
      <c r="F88" s="89">
        <v>7520776</v>
      </c>
      <c r="G88" s="90">
        <v>11417</v>
      </c>
      <c r="H88" s="88">
        <v>4274565</v>
      </c>
      <c r="I88" s="90">
        <v>2155</v>
      </c>
      <c r="J88" s="91">
        <v>9486287</v>
      </c>
      <c r="K88" s="92">
        <v>22772.339999999997</v>
      </c>
      <c r="L88" s="90">
        <v>136</v>
      </c>
      <c r="M88" s="88">
        <v>14421</v>
      </c>
      <c r="N88" s="90">
        <v>55</v>
      </c>
      <c r="O88" s="91">
        <v>3368</v>
      </c>
      <c r="P88" s="93">
        <v>9.3555555555555561</v>
      </c>
      <c r="Q88" s="90">
        <v>43</v>
      </c>
      <c r="R88" s="91">
        <v>74589</v>
      </c>
      <c r="S88" s="92">
        <v>256.11</v>
      </c>
      <c r="T88" s="90">
        <v>2849</v>
      </c>
      <c r="V88" s="123"/>
    </row>
    <row r="89" spans="1:22" x14ac:dyDescent="0.2">
      <c r="A89" s="78">
        <v>2019</v>
      </c>
      <c r="B89" s="79" t="s">
        <v>83</v>
      </c>
      <c r="C89" s="87"/>
      <c r="D89" s="88">
        <v>21375937</v>
      </c>
      <c r="E89" s="88"/>
      <c r="F89" s="89">
        <v>6450182</v>
      </c>
      <c r="G89" s="90">
        <v>11421</v>
      </c>
      <c r="H89" s="88">
        <v>4116944</v>
      </c>
      <c r="I89" s="90">
        <v>2157</v>
      </c>
      <c r="J89" s="91">
        <v>9231940</v>
      </c>
      <c r="K89" s="92">
        <v>23376.16</v>
      </c>
      <c r="L89" s="90">
        <v>136</v>
      </c>
      <c r="M89" s="88">
        <v>14421</v>
      </c>
      <c r="N89" s="90">
        <v>55</v>
      </c>
      <c r="O89" s="91">
        <v>3365</v>
      </c>
      <c r="P89" s="93">
        <v>9.3472222222222214</v>
      </c>
      <c r="Q89" s="90">
        <v>40</v>
      </c>
      <c r="R89" s="91">
        <v>67489</v>
      </c>
      <c r="S89" s="92">
        <v>256.23</v>
      </c>
      <c r="T89" s="90">
        <v>2849</v>
      </c>
      <c r="V89" s="123"/>
    </row>
    <row r="90" spans="1:22" x14ac:dyDescent="0.2">
      <c r="A90" s="78">
        <v>2019</v>
      </c>
      <c r="B90" s="79" t="s">
        <v>84</v>
      </c>
      <c r="C90" s="87"/>
      <c r="D90" s="88">
        <v>25496655.219999999</v>
      </c>
      <c r="E90" s="88"/>
      <c r="F90" s="89">
        <v>7894783</v>
      </c>
      <c r="G90" s="90">
        <v>11428</v>
      </c>
      <c r="H90" s="88">
        <v>5062183</v>
      </c>
      <c r="I90" s="90">
        <v>2157</v>
      </c>
      <c r="J90" s="91">
        <v>10719042</v>
      </c>
      <c r="K90" s="92">
        <v>25553.66</v>
      </c>
      <c r="L90" s="90">
        <v>136</v>
      </c>
      <c r="M90" s="88">
        <v>14421</v>
      </c>
      <c r="N90" s="90">
        <v>55</v>
      </c>
      <c r="O90" s="91">
        <v>3168</v>
      </c>
      <c r="P90" s="93">
        <v>8.8000000000000007</v>
      </c>
      <c r="Q90" s="90">
        <v>40</v>
      </c>
      <c r="R90" s="91">
        <v>71658</v>
      </c>
      <c r="S90" s="92">
        <v>256.23</v>
      </c>
      <c r="T90" s="90">
        <v>2849</v>
      </c>
      <c r="V90" s="123"/>
    </row>
    <row r="91" spans="1:22" x14ac:dyDescent="0.2">
      <c r="A91" s="78">
        <v>2019</v>
      </c>
      <c r="B91" s="79" t="s">
        <v>85</v>
      </c>
      <c r="C91" s="87"/>
      <c r="D91" s="88">
        <v>23892941.600000001</v>
      </c>
      <c r="E91" s="88"/>
      <c r="F91" s="89">
        <v>6927898</v>
      </c>
      <c r="G91" s="90">
        <v>11443</v>
      </c>
      <c r="H91" s="88">
        <v>4692880</v>
      </c>
      <c r="I91" s="90">
        <v>2154</v>
      </c>
      <c r="J91" s="91">
        <v>10385007</v>
      </c>
      <c r="K91" s="92">
        <v>25218.71</v>
      </c>
      <c r="L91" s="90">
        <v>136</v>
      </c>
      <c r="M91" s="88">
        <v>14370</v>
      </c>
      <c r="N91" s="90">
        <v>54</v>
      </c>
      <c r="O91" s="91">
        <v>3163</v>
      </c>
      <c r="P91" s="93">
        <v>8.7861111111111114</v>
      </c>
      <c r="Q91" s="90">
        <v>40</v>
      </c>
      <c r="R91" s="91">
        <v>80412</v>
      </c>
      <c r="S91" s="92">
        <v>256.23</v>
      </c>
      <c r="T91" s="90">
        <v>2849</v>
      </c>
      <c r="V91" s="123"/>
    </row>
    <row r="92" spans="1:22" x14ac:dyDescent="0.2">
      <c r="A92" s="78">
        <v>2019</v>
      </c>
      <c r="B92" s="79" t="s">
        <v>86</v>
      </c>
      <c r="C92" s="87"/>
      <c r="D92" s="88">
        <v>21583546.969999999</v>
      </c>
      <c r="E92" s="88"/>
      <c r="F92" s="89">
        <v>6241345</v>
      </c>
      <c r="G92" s="90">
        <v>11472</v>
      </c>
      <c r="H92" s="88">
        <v>3929434</v>
      </c>
      <c r="I92" s="90">
        <v>2154</v>
      </c>
      <c r="J92" s="91">
        <v>9678055</v>
      </c>
      <c r="K92" s="92">
        <v>25180.91</v>
      </c>
      <c r="L92" s="90">
        <v>136</v>
      </c>
      <c r="M92" s="88">
        <v>14370</v>
      </c>
      <c r="N92" s="90">
        <v>54</v>
      </c>
      <c r="O92" s="91">
        <v>3163</v>
      </c>
      <c r="P92" s="93">
        <v>8.7861111111111114</v>
      </c>
      <c r="Q92" s="90">
        <v>40</v>
      </c>
      <c r="R92" s="91">
        <v>88645</v>
      </c>
      <c r="S92" s="92">
        <v>256.23</v>
      </c>
      <c r="T92" s="90">
        <v>2849</v>
      </c>
      <c r="V92" s="123"/>
    </row>
    <row r="93" spans="1:22" x14ac:dyDescent="0.2">
      <c r="A93" s="78">
        <v>2019</v>
      </c>
      <c r="B93" s="79" t="s">
        <v>87</v>
      </c>
      <c r="C93" s="87"/>
      <c r="D93" s="88">
        <v>23416882.789999999</v>
      </c>
      <c r="E93" s="88"/>
      <c r="F93" s="89">
        <v>7563810</v>
      </c>
      <c r="G93" s="90">
        <v>11473</v>
      </c>
      <c r="H93" s="88">
        <v>4229532</v>
      </c>
      <c r="I93" s="90">
        <v>2153</v>
      </c>
      <c r="J93" s="91">
        <v>9865312</v>
      </c>
      <c r="K93" s="92">
        <v>25485.16</v>
      </c>
      <c r="L93" s="90">
        <v>136</v>
      </c>
      <c r="M93" s="88">
        <v>14370</v>
      </c>
      <c r="N93" s="90">
        <v>54</v>
      </c>
      <c r="O93" s="91">
        <v>3163</v>
      </c>
      <c r="P93" s="93">
        <v>8.7861111111111114</v>
      </c>
      <c r="Q93" s="90">
        <v>40</v>
      </c>
      <c r="R93" s="91">
        <v>103167</v>
      </c>
      <c r="S93" s="92">
        <v>256.23</v>
      </c>
      <c r="T93" s="90">
        <v>2849</v>
      </c>
      <c r="V93" s="123"/>
    </row>
    <row r="94" spans="1:22" x14ac:dyDescent="0.2">
      <c r="A94" s="78">
        <v>2019</v>
      </c>
      <c r="B94" s="79" t="s">
        <v>88</v>
      </c>
      <c r="C94" s="87"/>
      <c r="D94" s="88">
        <v>27163548.379999999</v>
      </c>
      <c r="E94" s="88"/>
      <c r="F94" s="89">
        <v>10176691</v>
      </c>
      <c r="G94" s="90">
        <v>11476</v>
      </c>
      <c r="H94" s="88">
        <v>5117738</v>
      </c>
      <c r="I94" s="90">
        <v>2149</v>
      </c>
      <c r="J94" s="91">
        <v>9968156</v>
      </c>
      <c r="K94" s="92">
        <v>24673.98</v>
      </c>
      <c r="L94" s="90">
        <v>136</v>
      </c>
      <c r="M94" s="88">
        <v>14370</v>
      </c>
      <c r="N94" s="90">
        <v>54</v>
      </c>
      <c r="O94" s="91">
        <v>3163</v>
      </c>
      <c r="P94" s="93">
        <v>8.7861111111111114</v>
      </c>
      <c r="Q94" s="90">
        <v>40</v>
      </c>
      <c r="R94" s="91">
        <v>109998</v>
      </c>
      <c r="S94" s="92">
        <v>256.23</v>
      </c>
      <c r="T94" s="90">
        <v>2849</v>
      </c>
      <c r="V94" s="123"/>
    </row>
    <row r="95" spans="1:22" x14ac:dyDescent="0.2">
      <c r="A95" s="78">
        <v>2019</v>
      </c>
      <c r="B95" s="79" t="s">
        <v>89</v>
      </c>
      <c r="C95" s="87"/>
      <c r="D95" s="88">
        <v>29112532.5</v>
      </c>
      <c r="E95" s="88"/>
      <c r="F95" s="89">
        <v>11967105</v>
      </c>
      <c r="G95" s="90">
        <v>11478</v>
      </c>
      <c r="H95" s="88">
        <v>5677998</v>
      </c>
      <c r="I95" s="90">
        <v>2148</v>
      </c>
      <c r="J95" s="91">
        <v>9660900</v>
      </c>
      <c r="K95" s="92">
        <v>24531.809999999998</v>
      </c>
      <c r="L95" s="90">
        <v>136</v>
      </c>
      <c r="M95" s="88">
        <v>14370</v>
      </c>
      <c r="N95" s="90">
        <v>54</v>
      </c>
      <c r="O95" s="91">
        <v>3088</v>
      </c>
      <c r="P95" s="93">
        <v>8.5777777777777775</v>
      </c>
      <c r="Q95" s="90">
        <v>40</v>
      </c>
      <c r="R95" s="91">
        <v>118813</v>
      </c>
      <c r="S95" s="92">
        <v>256.23</v>
      </c>
      <c r="T95" s="90">
        <v>2851</v>
      </c>
      <c r="V95" s="123"/>
    </row>
    <row r="96" spans="1:22" x14ac:dyDescent="0.2">
      <c r="A96" s="78">
        <v>2020</v>
      </c>
      <c r="B96" s="79" t="s">
        <v>79</v>
      </c>
      <c r="C96" s="87"/>
      <c r="D96" s="81">
        <v>30452078</v>
      </c>
      <c r="E96" s="81"/>
      <c r="F96" s="82">
        <v>12075462</v>
      </c>
      <c r="G96" s="83">
        <v>11515</v>
      </c>
      <c r="H96" s="81">
        <v>5800151</v>
      </c>
      <c r="I96" s="83">
        <v>2148</v>
      </c>
      <c r="J96" s="84">
        <v>10443182</v>
      </c>
      <c r="K96" s="85">
        <v>24378.55</v>
      </c>
      <c r="L96" s="83">
        <v>136</v>
      </c>
      <c r="M96" s="81">
        <v>14370</v>
      </c>
      <c r="N96" s="83">
        <v>54</v>
      </c>
      <c r="O96" s="84">
        <v>3163</v>
      </c>
      <c r="P96" s="86">
        <v>8.7861111111111114</v>
      </c>
      <c r="Q96" s="83">
        <v>40</v>
      </c>
      <c r="R96" s="84">
        <v>115863</v>
      </c>
      <c r="S96" s="85">
        <v>256.22000000000003</v>
      </c>
      <c r="T96" s="83">
        <v>2851</v>
      </c>
      <c r="V96" s="123"/>
    </row>
    <row r="97" spans="1:22" x14ac:dyDescent="0.2">
      <c r="A97" s="78">
        <v>2020</v>
      </c>
      <c r="B97" s="79" t="s">
        <v>80</v>
      </c>
      <c r="C97" s="87"/>
      <c r="D97" s="88">
        <v>28729836</v>
      </c>
      <c r="E97" s="88"/>
      <c r="F97" s="89">
        <v>11374321</v>
      </c>
      <c r="G97" s="90">
        <v>11523</v>
      </c>
      <c r="H97" s="88">
        <v>5548490</v>
      </c>
      <c r="I97" s="90">
        <v>2149</v>
      </c>
      <c r="J97" s="91">
        <v>10111948</v>
      </c>
      <c r="K97" s="92">
        <v>24775.91</v>
      </c>
      <c r="L97" s="90">
        <v>136</v>
      </c>
      <c r="M97" s="88">
        <v>14370</v>
      </c>
      <c r="N97" s="90">
        <v>54</v>
      </c>
      <c r="O97" s="91">
        <v>3163</v>
      </c>
      <c r="P97" s="93">
        <v>8.7861111111111114</v>
      </c>
      <c r="Q97" s="90">
        <v>40</v>
      </c>
      <c r="R97" s="91">
        <v>105847</v>
      </c>
      <c r="S97" s="92">
        <v>256.23</v>
      </c>
      <c r="T97" s="90">
        <v>2851</v>
      </c>
      <c r="V97" s="123"/>
    </row>
    <row r="98" spans="1:22" x14ac:dyDescent="0.2">
      <c r="A98" s="78">
        <v>2020</v>
      </c>
      <c r="B98" s="79" t="s">
        <v>81</v>
      </c>
      <c r="C98" s="87"/>
      <c r="D98" s="88">
        <v>26931054</v>
      </c>
      <c r="E98" s="88"/>
      <c r="F98" s="89">
        <v>10567777</v>
      </c>
      <c r="G98" s="90">
        <v>11534</v>
      </c>
      <c r="H98" s="88">
        <v>4903420</v>
      </c>
      <c r="I98" s="90">
        <v>2149</v>
      </c>
      <c r="J98" s="91">
        <v>9789152</v>
      </c>
      <c r="K98" s="92">
        <v>23899.839999999997</v>
      </c>
      <c r="L98" s="90">
        <v>136</v>
      </c>
      <c r="M98" s="88">
        <v>14370</v>
      </c>
      <c r="N98" s="90">
        <v>54</v>
      </c>
      <c r="O98" s="91">
        <v>3163</v>
      </c>
      <c r="P98" s="93">
        <v>8.7861111111111114</v>
      </c>
      <c r="Q98" s="90">
        <v>40</v>
      </c>
      <c r="R98" s="91">
        <v>96363</v>
      </c>
      <c r="S98" s="92">
        <v>256.23</v>
      </c>
      <c r="T98" s="90">
        <v>2851</v>
      </c>
      <c r="V98" s="123"/>
    </row>
    <row r="99" spans="1:22" x14ac:dyDescent="0.2">
      <c r="A99" s="78">
        <v>2020</v>
      </c>
      <c r="B99" s="79" t="s">
        <v>82</v>
      </c>
      <c r="C99" s="87"/>
      <c r="D99" s="88">
        <v>23177143</v>
      </c>
      <c r="E99" s="88"/>
      <c r="F99" s="89">
        <v>9215338</v>
      </c>
      <c r="G99" s="90">
        <v>11550</v>
      </c>
      <c r="H99" s="88">
        <v>3781401</v>
      </c>
      <c r="I99" s="90">
        <v>2151</v>
      </c>
      <c r="J99" s="91">
        <v>8930909</v>
      </c>
      <c r="K99" s="92">
        <v>21031.05</v>
      </c>
      <c r="L99" s="90">
        <v>136</v>
      </c>
      <c r="M99" s="88">
        <v>14370</v>
      </c>
      <c r="N99" s="90">
        <v>54</v>
      </c>
      <c r="O99" s="91">
        <v>3087.5</v>
      </c>
      <c r="P99" s="93">
        <v>8.5763888888888893</v>
      </c>
      <c r="Q99" s="90">
        <v>40</v>
      </c>
      <c r="R99" s="91">
        <v>82824</v>
      </c>
      <c r="S99" s="92">
        <v>256.86</v>
      </c>
      <c r="T99" s="90">
        <v>2851</v>
      </c>
      <c r="V99" s="123"/>
    </row>
    <row r="100" spans="1:22" x14ac:dyDescent="0.2">
      <c r="A100" s="78">
        <v>2020</v>
      </c>
      <c r="B100" s="79" t="s">
        <v>45</v>
      </c>
      <c r="C100" s="87"/>
      <c r="D100" s="88">
        <v>22565297</v>
      </c>
      <c r="E100" s="88"/>
      <c r="F100" s="89">
        <v>8185802</v>
      </c>
      <c r="G100" s="90">
        <v>11554</v>
      </c>
      <c r="H100" s="88">
        <v>3680867</v>
      </c>
      <c r="I100" s="90">
        <v>2152</v>
      </c>
      <c r="J100" s="91">
        <v>9310693</v>
      </c>
      <c r="K100" s="92">
        <v>22844.159999999996</v>
      </c>
      <c r="L100" s="90">
        <v>136</v>
      </c>
      <c r="M100" s="88">
        <v>14370</v>
      </c>
      <c r="N100" s="90">
        <v>54</v>
      </c>
      <c r="O100" s="91">
        <v>3087.5</v>
      </c>
      <c r="P100" s="93">
        <v>8.5763888888888893</v>
      </c>
      <c r="Q100" s="90">
        <v>40</v>
      </c>
      <c r="R100" s="91">
        <v>76350</v>
      </c>
      <c r="S100" s="92">
        <v>256.86</v>
      </c>
      <c r="T100" s="90">
        <v>2851</v>
      </c>
      <c r="V100" s="123"/>
    </row>
    <row r="101" spans="1:22" x14ac:dyDescent="0.2">
      <c r="A101" s="78">
        <v>2020</v>
      </c>
      <c r="B101" s="79" t="s">
        <v>83</v>
      </c>
      <c r="C101" s="87"/>
      <c r="D101" s="88">
        <v>22325604</v>
      </c>
      <c r="E101" s="88"/>
      <c r="F101" s="89">
        <v>7327358</v>
      </c>
      <c r="G101" s="90">
        <v>11558</v>
      </c>
      <c r="H101" s="88">
        <v>3852088</v>
      </c>
      <c r="I101" s="90">
        <v>2151</v>
      </c>
      <c r="J101" s="91">
        <v>9719114</v>
      </c>
      <c r="K101" s="92">
        <v>24377.559999999998</v>
      </c>
      <c r="L101" s="90">
        <v>136</v>
      </c>
      <c r="M101" s="88">
        <v>14370</v>
      </c>
      <c r="N101" s="90">
        <v>54</v>
      </c>
      <c r="O101" s="91">
        <v>3087</v>
      </c>
      <c r="P101" s="93">
        <v>8.5749999999999993</v>
      </c>
      <c r="Q101" s="90">
        <v>40</v>
      </c>
      <c r="R101" s="91">
        <v>69417</v>
      </c>
      <c r="S101" s="92">
        <v>256.86</v>
      </c>
      <c r="T101" s="90">
        <v>2851</v>
      </c>
      <c r="V101" s="123"/>
    </row>
    <row r="102" spans="1:22" x14ac:dyDescent="0.2">
      <c r="A102" s="78">
        <v>2020</v>
      </c>
      <c r="B102" s="79" t="s">
        <v>84</v>
      </c>
      <c r="C102" s="87"/>
      <c r="D102" s="88">
        <v>26178908</v>
      </c>
      <c r="E102" s="88"/>
      <c r="F102" s="89">
        <v>8925433</v>
      </c>
      <c r="G102" s="90">
        <v>11571</v>
      </c>
      <c r="H102" s="88">
        <v>4746736</v>
      </c>
      <c r="I102" s="90">
        <v>2153</v>
      </c>
      <c r="J102" s="91">
        <v>10677894</v>
      </c>
      <c r="K102" s="92">
        <v>28197.870000000003</v>
      </c>
      <c r="L102" s="90">
        <v>136</v>
      </c>
      <c r="M102" s="88">
        <v>14370</v>
      </c>
      <c r="N102" s="90">
        <v>54</v>
      </c>
      <c r="O102" s="91">
        <v>3095</v>
      </c>
      <c r="P102" s="93">
        <v>8.5972222222222214</v>
      </c>
      <c r="Q102" s="90">
        <v>40</v>
      </c>
      <c r="R102" s="91">
        <v>77558</v>
      </c>
      <c r="S102" s="92">
        <v>256.86</v>
      </c>
      <c r="T102" s="90">
        <v>2851</v>
      </c>
      <c r="V102" s="123"/>
    </row>
    <row r="103" spans="1:22" x14ac:dyDescent="0.2">
      <c r="A103" s="78">
        <v>2020</v>
      </c>
      <c r="B103" s="79" t="s">
        <v>85</v>
      </c>
      <c r="C103" s="87"/>
      <c r="D103" s="88">
        <v>24180956</v>
      </c>
      <c r="E103" s="88"/>
      <c r="F103" s="89">
        <v>7867206</v>
      </c>
      <c r="G103" s="90">
        <v>11572</v>
      </c>
      <c r="H103" s="88">
        <v>4433621</v>
      </c>
      <c r="I103" s="90">
        <v>2154</v>
      </c>
      <c r="J103" s="91">
        <v>10238043</v>
      </c>
      <c r="K103" s="92">
        <v>25824.370000000003</v>
      </c>
      <c r="L103" s="90">
        <v>136</v>
      </c>
      <c r="M103" s="88">
        <v>14370</v>
      </c>
      <c r="N103" s="90">
        <v>54</v>
      </c>
      <c r="O103" s="91">
        <v>3095</v>
      </c>
      <c r="P103" s="93">
        <v>8.5972222222222214</v>
      </c>
      <c r="Q103" s="90">
        <v>40</v>
      </c>
      <c r="R103" s="91">
        <v>80205</v>
      </c>
      <c r="S103" s="92">
        <v>256.86</v>
      </c>
      <c r="T103" s="90">
        <v>2851</v>
      </c>
      <c r="V103" s="123"/>
    </row>
    <row r="104" spans="1:22" x14ac:dyDescent="0.2">
      <c r="A104" s="78">
        <v>2020</v>
      </c>
      <c r="B104" s="79" t="s">
        <v>86</v>
      </c>
      <c r="C104" s="87"/>
      <c r="D104" s="88">
        <v>21706905</v>
      </c>
      <c r="E104" s="88"/>
      <c r="F104" s="89">
        <v>6884484</v>
      </c>
      <c r="G104" s="90">
        <v>11593</v>
      </c>
      <c r="H104" s="88">
        <v>3854536</v>
      </c>
      <c r="I104" s="90">
        <v>2154</v>
      </c>
      <c r="J104" s="91">
        <v>9549087</v>
      </c>
      <c r="K104" s="92">
        <v>24518.030000000002</v>
      </c>
      <c r="L104" s="90">
        <v>136</v>
      </c>
      <c r="M104" s="88">
        <v>14370</v>
      </c>
      <c r="N104" s="90">
        <v>54</v>
      </c>
      <c r="O104" s="91">
        <v>3087</v>
      </c>
      <c r="P104" s="93">
        <v>8.5749999999999993</v>
      </c>
      <c r="Q104" s="90">
        <v>40</v>
      </c>
      <c r="R104" s="91">
        <v>82709</v>
      </c>
      <c r="S104" s="92">
        <v>256.86</v>
      </c>
      <c r="T104" s="90">
        <v>2851</v>
      </c>
      <c r="V104" s="123"/>
    </row>
    <row r="105" spans="1:22" x14ac:dyDescent="0.2">
      <c r="A105" s="78">
        <v>2020</v>
      </c>
      <c r="B105" s="79" t="s">
        <v>87</v>
      </c>
      <c r="C105" s="87"/>
      <c r="D105" s="88">
        <v>24121204</v>
      </c>
      <c r="E105" s="88"/>
      <c r="F105" s="89">
        <v>8526373</v>
      </c>
      <c r="G105" s="90">
        <v>11589</v>
      </c>
      <c r="H105" s="88">
        <v>4235928</v>
      </c>
      <c r="I105" s="90">
        <v>2160</v>
      </c>
      <c r="J105" s="91">
        <v>9858469</v>
      </c>
      <c r="K105" s="92">
        <v>24162.940000000002</v>
      </c>
      <c r="L105" s="90">
        <v>135</v>
      </c>
      <c r="M105" s="88">
        <v>14746</v>
      </c>
      <c r="N105" s="90">
        <v>62</v>
      </c>
      <c r="O105" s="91">
        <v>3087</v>
      </c>
      <c r="P105" s="93">
        <v>8.5749999999999993</v>
      </c>
      <c r="Q105" s="90">
        <v>40</v>
      </c>
      <c r="R105" s="91">
        <v>95656</v>
      </c>
      <c r="S105" s="92">
        <v>256.86</v>
      </c>
      <c r="T105" s="90">
        <v>2851</v>
      </c>
      <c r="V105" s="123"/>
    </row>
    <row r="106" spans="1:22" x14ac:dyDescent="0.2">
      <c r="A106" s="78">
        <v>2020</v>
      </c>
      <c r="B106" s="79" t="s">
        <v>88</v>
      </c>
      <c r="C106" s="87"/>
      <c r="D106" s="88">
        <v>25126449</v>
      </c>
      <c r="E106" s="88"/>
      <c r="F106" s="89">
        <v>9286968</v>
      </c>
      <c r="G106" s="90">
        <v>11609</v>
      </c>
      <c r="H106" s="88">
        <v>4476458</v>
      </c>
      <c r="I106" s="90">
        <v>2167</v>
      </c>
      <c r="J106" s="91">
        <v>9711758</v>
      </c>
      <c r="K106" s="92">
        <v>23719.65</v>
      </c>
      <c r="L106" s="90">
        <v>135</v>
      </c>
      <c r="M106" s="88">
        <v>14746</v>
      </c>
      <c r="N106" s="90">
        <v>62</v>
      </c>
      <c r="O106" s="91">
        <v>3087</v>
      </c>
      <c r="P106" s="93">
        <v>8.5749999999999993</v>
      </c>
      <c r="Q106" s="90">
        <v>40</v>
      </c>
      <c r="R106" s="91">
        <v>98114</v>
      </c>
      <c r="S106" s="92">
        <v>256.86</v>
      </c>
      <c r="T106" s="90">
        <v>2851</v>
      </c>
      <c r="V106" s="123"/>
    </row>
    <row r="107" spans="1:22" x14ac:dyDescent="0.2">
      <c r="A107" s="78">
        <v>2020</v>
      </c>
      <c r="B107" s="79" t="s">
        <v>89</v>
      </c>
      <c r="C107" s="87"/>
      <c r="D107" s="88">
        <v>28892268</v>
      </c>
      <c r="E107" s="88"/>
      <c r="F107" s="89">
        <v>12200890</v>
      </c>
      <c r="G107" s="90">
        <v>11624</v>
      </c>
      <c r="H107" s="88">
        <v>5321614</v>
      </c>
      <c r="I107" s="90">
        <v>2176</v>
      </c>
      <c r="J107" s="91">
        <v>9519628</v>
      </c>
      <c r="K107" s="92">
        <v>23032.75</v>
      </c>
      <c r="L107" s="90">
        <v>136</v>
      </c>
      <c r="M107" s="88">
        <v>14746</v>
      </c>
      <c r="N107" s="90">
        <v>62</v>
      </c>
      <c r="O107" s="91">
        <v>3087</v>
      </c>
      <c r="P107" s="93">
        <v>8.5749999999999993</v>
      </c>
      <c r="Q107" s="90">
        <v>40</v>
      </c>
      <c r="R107" s="91">
        <v>106309</v>
      </c>
      <c r="S107" s="92">
        <v>256.86</v>
      </c>
      <c r="T107" s="90">
        <v>2851</v>
      </c>
      <c r="U107" s="123">
        <f>G107+I107+L107</f>
        <v>13936</v>
      </c>
      <c r="V107" s="123"/>
    </row>
    <row r="108" spans="1:22" x14ac:dyDescent="0.2">
      <c r="A108" s="78">
        <v>2021</v>
      </c>
      <c r="B108" s="79" t="s">
        <v>79</v>
      </c>
      <c r="C108" s="87"/>
      <c r="D108" s="81">
        <v>29919109</v>
      </c>
      <c r="E108" s="81"/>
      <c r="F108" s="82">
        <v>12861568</v>
      </c>
      <c r="G108" s="83">
        <v>11624</v>
      </c>
      <c r="H108" s="81">
        <v>5452123</v>
      </c>
      <c r="I108" s="83">
        <v>2180</v>
      </c>
      <c r="J108" s="84">
        <v>9455402</v>
      </c>
      <c r="K108" s="85">
        <v>22035.74</v>
      </c>
      <c r="L108" s="83">
        <v>136</v>
      </c>
      <c r="M108" s="81">
        <v>14746</v>
      </c>
      <c r="N108" s="83">
        <v>62</v>
      </c>
      <c r="O108" s="84">
        <v>3087</v>
      </c>
      <c r="P108" s="86">
        <v>8.5749999999999993</v>
      </c>
      <c r="Q108" s="83">
        <v>40</v>
      </c>
      <c r="R108" s="84">
        <v>104187</v>
      </c>
      <c r="S108" s="85">
        <v>256.86</v>
      </c>
      <c r="T108" s="83">
        <v>2851</v>
      </c>
      <c r="V108" s="123"/>
    </row>
    <row r="109" spans="1:22" x14ac:dyDescent="0.2">
      <c r="A109" s="78">
        <v>2021</v>
      </c>
      <c r="B109" s="79" t="s">
        <v>80</v>
      </c>
      <c r="C109" s="87"/>
      <c r="D109" s="88">
        <v>28503891</v>
      </c>
      <c r="E109" s="88"/>
      <c r="F109" s="89">
        <v>12093226</v>
      </c>
      <c r="G109" s="90">
        <v>11658</v>
      </c>
      <c r="H109" s="88">
        <v>5232812</v>
      </c>
      <c r="I109" s="90">
        <v>2188</v>
      </c>
      <c r="J109" s="91">
        <v>9144520</v>
      </c>
      <c r="K109" s="92">
        <v>22153.089999999997</v>
      </c>
      <c r="L109" s="90">
        <v>133</v>
      </c>
      <c r="M109" s="88">
        <v>14746</v>
      </c>
      <c r="N109" s="90">
        <v>62</v>
      </c>
      <c r="O109" s="91">
        <v>3087</v>
      </c>
      <c r="P109" s="93">
        <v>8.5749999999999993</v>
      </c>
      <c r="Q109" s="90">
        <v>40</v>
      </c>
      <c r="R109" s="91">
        <v>93036</v>
      </c>
      <c r="S109" s="92">
        <v>256.86</v>
      </c>
      <c r="T109" s="90">
        <v>2851</v>
      </c>
      <c r="V109" s="123"/>
    </row>
    <row r="110" spans="1:22" x14ac:dyDescent="0.2">
      <c r="A110" s="78">
        <v>2021</v>
      </c>
      <c r="B110" s="79" t="s">
        <v>81</v>
      </c>
      <c r="C110" s="87"/>
      <c r="D110" s="88">
        <v>27991373</v>
      </c>
      <c r="E110" s="88"/>
      <c r="F110" s="89">
        <v>11067343</v>
      </c>
      <c r="G110" s="90">
        <v>11671</v>
      </c>
      <c r="H110" s="88">
        <v>5156067</v>
      </c>
      <c r="I110" s="90">
        <v>2185</v>
      </c>
      <c r="J110" s="91">
        <v>10195091</v>
      </c>
      <c r="K110" s="92">
        <v>22078.560000000001</v>
      </c>
      <c r="L110" s="90">
        <v>132</v>
      </c>
      <c r="M110" s="88">
        <v>14887</v>
      </c>
      <c r="N110" s="90">
        <v>65</v>
      </c>
      <c r="O110" s="91">
        <v>3087</v>
      </c>
      <c r="P110" s="93">
        <v>8.5749999999999993</v>
      </c>
      <c r="Q110" s="90">
        <v>40</v>
      </c>
      <c r="R110" s="91">
        <v>91230</v>
      </c>
      <c r="S110" s="92">
        <v>256.86</v>
      </c>
      <c r="T110" s="90">
        <v>2851</v>
      </c>
      <c r="V110" s="123"/>
    </row>
    <row r="111" spans="1:22" x14ac:dyDescent="0.2">
      <c r="A111" s="78">
        <v>2021</v>
      </c>
      <c r="B111" s="79" t="s">
        <v>82</v>
      </c>
      <c r="C111" s="87"/>
      <c r="D111" s="88">
        <v>23510679</v>
      </c>
      <c r="E111" s="88"/>
      <c r="F111" s="89">
        <v>8571210</v>
      </c>
      <c r="G111" s="90">
        <v>11674</v>
      </c>
      <c r="H111" s="88">
        <v>4059487</v>
      </c>
      <c r="I111" s="90">
        <v>2184</v>
      </c>
      <c r="J111" s="91">
        <v>9368550</v>
      </c>
      <c r="K111" s="92">
        <v>22583.78</v>
      </c>
      <c r="L111" s="90">
        <v>132</v>
      </c>
      <c r="M111" s="88">
        <v>14887</v>
      </c>
      <c r="N111" s="90">
        <v>65</v>
      </c>
      <c r="O111" s="91">
        <v>3087</v>
      </c>
      <c r="P111" s="93">
        <v>8.5749999999999993</v>
      </c>
      <c r="Q111" s="90">
        <v>40</v>
      </c>
      <c r="R111" s="91">
        <v>83669</v>
      </c>
      <c r="S111" s="92">
        <v>256.86</v>
      </c>
      <c r="T111" s="90">
        <v>2851</v>
      </c>
      <c r="V111" s="123"/>
    </row>
    <row r="112" spans="1:22" x14ac:dyDescent="0.2">
      <c r="A112" s="78">
        <v>2021</v>
      </c>
      <c r="B112" s="79" t="s">
        <v>45</v>
      </c>
      <c r="C112" s="87"/>
      <c r="D112" s="88">
        <v>22807571</v>
      </c>
      <c r="E112" s="88"/>
      <c r="F112" s="89">
        <v>7793566</v>
      </c>
      <c r="G112" s="90">
        <v>11705</v>
      </c>
      <c r="H112" s="88">
        <v>3985806</v>
      </c>
      <c r="I112" s="90">
        <v>2186</v>
      </c>
      <c r="J112" s="91">
        <v>9563882</v>
      </c>
      <c r="K112" s="92">
        <v>22518.17</v>
      </c>
      <c r="L112" s="90">
        <v>131</v>
      </c>
      <c r="M112" s="88">
        <v>14887</v>
      </c>
      <c r="N112" s="90">
        <v>65</v>
      </c>
      <c r="O112" s="91">
        <v>3087</v>
      </c>
      <c r="P112" s="93">
        <v>8.5749999999999993</v>
      </c>
      <c r="Q112" s="90">
        <v>40</v>
      </c>
      <c r="R112" s="91">
        <v>76350</v>
      </c>
      <c r="S112" s="92">
        <v>256.86</v>
      </c>
      <c r="T112" s="90">
        <v>2851</v>
      </c>
      <c r="V112" s="123"/>
    </row>
    <row r="113" spans="1:22" x14ac:dyDescent="0.2">
      <c r="A113" s="78">
        <v>2021</v>
      </c>
      <c r="B113" s="79" t="s">
        <v>83</v>
      </c>
      <c r="C113" s="87"/>
      <c r="D113" s="88">
        <v>23479543</v>
      </c>
      <c r="E113" s="88"/>
      <c r="F113" s="89">
        <v>7508354</v>
      </c>
      <c r="G113" s="90">
        <v>11713</v>
      </c>
      <c r="H113" s="88">
        <v>4188697</v>
      </c>
      <c r="I113" s="90">
        <v>2190</v>
      </c>
      <c r="J113" s="91">
        <v>9899241</v>
      </c>
      <c r="K113" s="92">
        <v>23534.51</v>
      </c>
      <c r="L113" s="90">
        <v>130</v>
      </c>
      <c r="M113" s="88">
        <v>14887</v>
      </c>
      <c r="N113" s="90">
        <v>65</v>
      </c>
      <c r="O113" s="91">
        <v>3087</v>
      </c>
      <c r="P113" s="93">
        <v>8.5749999999999993</v>
      </c>
      <c r="Q113" s="90">
        <v>40</v>
      </c>
      <c r="R113" s="91">
        <v>69414</v>
      </c>
      <c r="S113" s="92">
        <v>256.86</v>
      </c>
      <c r="T113" s="90">
        <v>2851</v>
      </c>
      <c r="V113" s="123"/>
    </row>
    <row r="114" spans="1:22" x14ac:dyDescent="0.2">
      <c r="A114" s="78">
        <v>2021</v>
      </c>
      <c r="B114" s="79" t="s">
        <v>84</v>
      </c>
      <c r="C114" s="87"/>
      <c r="D114" s="88">
        <v>24849711</v>
      </c>
      <c r="E114" s="88"/>
      <c r="F114" s="89">
        <v>7969672</v>
      </c>
      <c r="G114" s="90">
        <v>11717</v>
      </c>
      <c r="H114" s="88">
        <v>4656044</v>
      </c>
      <c r="I114" s="90">
        <v>2189</v>
      </c>
      <c r="J114" s="91">
        <v>10527025</v>
      </c>
      <c r="K114" s="92">
        <v>23638.26</v>
      </c>
      <c r="L114" s="90">
        <v>129</v>
      </c>
      <c r="M114" s="88">
        <v>14887</v>
      </c>
      <c r="N114" s="90">
        <v>65</v>
      </c>
      <c r="O114" s="91">
        <v>3087</v>
      </c>
      <c r="P114" s="93">
        <v>8.5749999999999993</v>
      </c>
      <c r="Q114" s="90">
        <v>40</v>
      </c>
      <c r="R114" s="91">
        <v>77558</v>
      </c>
      <c r="S114" s="92">
        <v>256.86</v>
      </c>
      <c r="T114" s="90">
        <v>2851</v>
      </c>
      <c r="V114" s="123"/>
    </row>
    <row r="115" spans="1:22" x14ac:dyDescent="0.2">
      <c r="A115" s="78">
        <v>2021</v>
      </c>
      <c r="B115" s="79" t="s">
        <v>85</v>
      </c>
      <c r="C115" s="87"/>
      <c r="D115" s="88">
        <v>27059084</v>
      </c>
      <c r="E115" s="88"/>
      <c r="F115" s="89">
        <v>8857289</v>
      </c>
      <c r="G115" s="90">
        <v>11739</v>
      </c>
      <c r="H115" s="88">
        <v>5095064</v>
      </c>
      <c r="I115" s="90">
        <v>2192</v>
      </c>
      <c r="J115" s="91">
        <v>11326980</v>
      </c>
      <c r="K115" s="92">
        <v>27829.730000000003</v>
      </c>
      <c r="L115" s="90">
        <v>130</v>
      </c>
      <c r="M115" s="88">
        <v>14887</v>
      </c>
      <c r="N115" s="90">
        <v>65</v>
      </c>
      <c r="O115" s="91">
        <v>3087</v>
      </c>
      <c r="P115" s="93">
        <v>8.5749999999999993</v>
      </c>
      <c r="Q115" s="90">
        <v>40</v>
      </c>
      <c r="R115" s="91">
        <v>80205</v>
      </c>
      <c r="S115" s="92">
        <v>256.86</v>
      </c>
      <c r="T115" s="90">
        <v>2851</v>
      </c>
      <c r="V115" s="123"/>
    </row>
    <row r="116" spans="1:22" x14ac:dyDescent="0.2">
      <c r="A116" s="78">
        <v>2021</v>
      </c>
      <c r="B116" s="79" t="s">
        <v>86</v>
      </c>
      <c r="C116" s="87"/>
      <c r="D116" s="88">
        <v>22357163</v>
      </c>
      <c r="E116" s="88"/>
      <c r="F116" s="89">
        <v>6806749</v>
      </c>
      <c r="G116" s="90">
        <v>11760</v>
      </c>
      <c r="H116" s="88">
        <v>4053728</v>
      </c>
      <c r="I116" s="90">
        <v>2193</v>
      </c>
      <c r="J116" s="91">
        <v>9892370</v>
      </c>
      <c r="K116" s="92">
        <v>24747.9</v>
      </c>
      <c r="L116" s="90">
        <v>129</v>
      </c>
      <c r="M116" s="88">
        <v>14887</v>
      </c>
      <c r="N116" s="90">
        <v>65</v>
      </c>
      <c r="O116" s="91">
        <v>3087</v>
      </c>
      <c r="P116" s="93">
        <v>8.5749999999999993</v>
      </c>
      <c r="Q116" s="90">
        <v>40</v>
      </c>
      <c r="R116" s="91">
        <v>83190</v>
      </c>
      <c r="S116" s="92">
        <v>256.86</v>
      </c>
      <c r="T116" s="90">
        <v>2851</v>
      </c>
      <c r="V116" s="123"/>
    </row>
    <row r="117" spans="1:22" x14ac:dyDescent="0.2">
      <c r="A117" s="78">
        <v>2021</v>
      </c>
      <c r="B117" s="79" t="s">
        <v>87</v>
      </c>
      <c r="C117" s="87"/>
      <c r="D117" s="88">
        <v>23786911</v>
      </c>
      <c r="E117" s="88"/>
      <c r="F117" s="89">
        <v>7601741</v>
      </c>
      <c r="G117" s="90">
        <v>11777</v>
      </c>
      <c r="H117" s="88">
        <v>4183435</v>
      </c>
      <c r="I117" s="90">
        <v>2197</v>
      </c>
      <c r="J117" s="91">
        <v>10431514</v>
      </c>
      <c r="K117" s="92">
        <v>25671.279999999999</v>
      </c>
      <c r="L117" s="90">
        <v>129</v>
      </c>
      <c r="M117" s="88">
        <v>14887</v>
      </c>
      <c r="N117" s="90">
        <v>65</v>
      </c>
      <c r="O117" s="91">
        <v>3088</v>
      </c>
      <c r="P117" s="93">
        <v>8.5777777777777775</v>
      </c>
      <c r="Q117" s="90">
        <v>40</v>
      </c>
      <c r="R117" s="91">
        <v>95656</v>
      </c>
      <c r="S117" s="92">
        <v>256.86</v>
      </c>
      <c r="T117" s="90">
        <v>2851</v>
      </c>
      <c r="V117" s="123"/>
    </row>
    <row r="118" spans="1:22" x14ac:dyDescent="0.2">
      <c r="A118" s="78">
        <v>2021</v>
      </c>
      <c r="B118" s="79" t="s">
        <v>88</v>
      </c>
      <c r="C118" s="87"/>
      <c r="D118" s="88">
        <v>26548630</v>
      </c>
      <c r="E118" s="88"/>
      <c r="F118" s="89">
        <v>9744511</v>
      </c>
      <c r="G118" s="90">
        <v>11826</v>
      </c>
      <c r="H118" s="88">
        <v>4813328</v>
      </c>
      <c r="I118" s="90">
        <v>2202</v>
      </c>
      <c r="J118" s="91">
        <v>9988600</v>
      </c>
      <c r="K118" s="92">
        <v>24537.13</v>
      </c>
      <c r="L118" s="90">
        <v>129</v>
      </c>
      <c r="M118" s="88">
        <v>14887</v>
      </c>
      <c r="N118" s="90">
        <v>65</v>
      </c>
      <c r="O118" s="91">
        <v>3088</v>
      </c>
      <c r="P118" s="93">
        <v>8.5777777777777775</v>
      </c>
      <c r="Q118" s="90">
        <v>40</v>
      </c>
      <c r="R118" s="91">
        <v>98114</v>
      </c>
      <c r="S118" s="92">
        <v>256.86</v>
      </c>
      <c r="T118" s="90">
        <v>2851</v>
      </c>
      <c r="V118" s="123"/>
    </row>
    <row r="119" spans="1:22" x14ac:dyDescent="0.2">
      <c r="A119" s="78">
        <v>2021</v>
      </c>
      <c r="B119" s="79" t="s">
        <v>89</v>
      </c>
      <c r="C119" s="87"/>
      <c r="D119" s="88">
        <v>29127757</v>
      </c>
      <c r="E119" s="88"/>
      <c r="F119" s="89">
        <v>12082874</v>
      </c>
      <c r="G119" s="90">
        <v>11847</v>
      </c>
      <c r="H119" s="88">
        <v>5497661</v>
      </c>
      <c r="I119" s="90">
        <v>2204</v>
      </c>
      <c r="J119" s="91">
        <v>9840437</v>
      </c>
      <c r="K119" s="92">
        <v>24103.86</v>
      </c>
      <c r="L119" s="90">
        <v>129</v>
      </c>
      <c r="M119" s="88">
        <v>14887</v>
      </c>
      <c r="N119" s="90">
        <v>65</v>
      </c>
      <c r="O119" s="91">
        <v>3087</v>
      </c>
      <c r="P119" s="93">
        <v>8.5749999999999993</v>
      </c>
      <c r="Q119" s="90">
        <v>40</v>
      </c>
      <c r="R119" s="91">
        <v>106308</v>
      </c>
      <c r="S119" s="92">
        <v>256.86</v>
      </c>
      <c r="T119" s="90">
        <v>2851</v>
      </c>
      <c r="U119" s="123">
        <f>G119+I119+L119</f>
        <v>14180</v>
      </c>
      <c r="V119" s="123"/>
    </row>
    <row r="120" spans="1:22" x14ac:dyDescent="0.2">
      <c r="A120" s="78">
        <v>2022</v>
      </c>
      <c r="B120" s="79" t="s">
        <v>79</v>
      </c>
      <c r="C120" s="87"/>
      <c r="D120" s="81">
        <v>34795564</v>
      </c>
      <c r="E120" s="81"/>
      <c r="F120" s="82">
        <v>15288831</v>
      </c>
      <c r="G120" s="83">
        <v>11857</v>
      </c>
      <c r="H120" s="81">
        <v>6620879</v>
      </c>
      <c r="I120" s="83">
        <v>2205</v>
      </c>
      <c r="J120" s="84">
        <v>10600536</v>
      </c>
      <c r="K120" s="85">
        <v>23826.57</v>
      </c>
      <c r="L120" s="83">
        <v>129</v>
      </c>
      <c r="M120" s="81">
        <v>14887</v>
      </c>
      <c r="N120" s="83">
        <v>65</v>
      </c>
      <c r="O120" s="84">
        <v>3087</v>
      </c>
      <c r="P120" s="86">
        <v>8.5749999999999993</v>
      </c>
      <c r="Q120" s="83">
        <v>40</v>
      </c>
      <c r="R120" s="84">
        <v>104186</v>
      </c>
      <c r="S120" s="85">
        <v>256.86</v>
      </c>
      <c r="T120" s="83">
        <v>2851</v>
      </c>
      <c r="V120" s="123"/>
    </row>
    <row r="121" spans="1:22" x14ac:dyDescent="0.2">
      <c r="A121" s="78">
        <v>2022</v>
      </c>
      <c r="B121" s="79" t="s">
        <v>80</v>
      </c>
      <c r="C121" s="87"/>
      <c r="D121" s="88">
        <v>30039948</v>
      </c>
      <c r="E121" s="88"/>
      <c r="F121" s="89">
        <v>12618527</v>
      </c>
      <c r="G121" s="90">
        <v>11867</v>
      </c>
      <c r="H121" s="88">
        <v>5767398</v>
      </c>
      <c r="I121" s="90">
        <v>2210</v>
      </c>
      <c r="J121" s="91">
        <v>9657312</v>
      </c>
      <c r="K121" s="92">
        <v>23370.76</v>
      </c>
      <c r="L121" s="90">
        <v>129</v>
      </c>
      <c r="M121" s="88">
        <v>14887</v>
      </c>
      <c r="N121" s="90">
        <v>65</v>
      </c>
      <c r="O121" s="91">
        <v>3087</v>
      </c>
      <c r="P121" s="93">
        <v>8.5749999999999993</v>
      </c>
      <c r="Q121" s="90">
        <v>39</v>
      </c>
      <c r="R121" s="91">
        <v>93038</v>
      </c>
      <c r="S121" s="92">
        <v>256.86</v>
      </c>
      <c r="T121" s="90">
        <v>2851</v>
      </c>
      <c r="V121" s="123"/>
    </row>
    <row r="122" spans="1:22" x14ac:dyDescent="0.2">
      <c r="A122" s="78">
        <v>2022</v>
      </c>
      <c r="B122" s="79" t="s">
        <v>81</v>
      </c>
      <c r="C122" s="87"/>
      <c r="D122" s="88">
        <v>29938094</v>
      </c>
      <c r="E122" s="88"/>
      <c r="F122" s="89">
        <v>11852497</v>
      </c>
      <c r="G122" s="90">
        <v>11863</v>
      </c>
      <c r="H122" s="88">
        <v>5691573</v>
      </c>
      <c r="I122" s="90">
        <v>2208</v>
      </c>
      <c r="J122" s="91">
        <v>10498906</v>
      </c>
      <c r="K122" s="92">
        <v>23473.57</v>
      </c>
      <c r="L122" s="90">
        <v>128</v>
      </c>
      <c r="M122" s="88">
        <v>14887</v>
      </c>
      <c r="N122" s="90">
        <v>65</v>
      </c>
      <c r="O122" s="91">
        <v>3087</v>
      </c>
      <c r="P122" s="93">
        <v>8.5749999999999993</v>
      </c>
      <c r="Q122" s="90">
        <v>39</v>
      </c>
      <c r="R122" s="91">
        <v>91230</v>
      </c>
      <c r="S122" s="92">
        <v>256.86</v>
      </c>
      <c r="T122" s="90">
        <v>2851</v>
      </c>
      <c r="V122" s="123"/>
    </row>
    <row r="123" spans="1:22" x14ac:dyDescent="0.2">
      <c r="A123" s="78">
        <v>2022</v>
      </c>
      <c r="B123" s="79" t="s">
        <v>82</v>
      </c>
      <c r="C123" s="87"/>
      <c r="D123" s="88">
        <v>25592068</v>
      </c>
      <c r="E123" s="88"/>
      <c r="F123" s="89">
        <v>9318640</v>
      </c>
      <c r="G123" s="90">
        <v>11876</v>
      </c>
      <c r="H123" s="88">
        <v>4626127</v>
      </c>
      <c r="I123" s="90">
        <v>2210</v>
      </c>
      <c r="J123" s="91">
        <v>9984284</v>
      </c>
      <c r="K123" s="92">
        <v>24485.72</v>
      </c>
      <c r="L123" s="90">
        <v>129</v>
      </c>
      <c r="M123" s="88">
        <v>14187</v>
      </c>
      <c r="N123" s="90">
        <v>64</v>
      </c>
      <c r="O123" s="91">
        <v>3087</v>
      </c>
      <c r="P123" s="93">
        <v>8.5749999999999993</v>
      </c>
      <c r="Q123" s="90">
        <v>39</v>
      </c>
      <c r="R123" s="91">
        <v>83670</v>
      </c>
      <c r="S123" s="92">
        <v>256.86</v>
      </c>
      <c r="T123" s="90">
        <v>2851</v>
      </c>
      <c r="V123" s="123"/>
    </row>
    <row r="124" spans="1:22" x14ac:dyDescent="0.2">
      <c r="A124" s="78">
        <v>2022</v>
      </c>
      <c r="B124" s="79" t="s">
        <v>45</v>
      </c>
      <c r="C124" s="87"/>
      <c r="D124" s="88">
        <v>23761000</v>
      </c>
      <c r="E124" s="88"/>
      <c r="F124" s="89">
        <v>7502565</v>
      </c>
      <c r="G124" s="90">
        <v>11883</v>
      </c>
      <c r="H124" s="88">
        <v>4308329</v>
      </c>
      <c r="I124" s="90">
        <v>2212</v>
      </c>
      <c r="J124" s="91">
        <v>10552771</v>
      </c>
      <c r="K124" s="92">
        <v>26091.02</v>
      </c>
      <c r="L124" s="90">
        <v>129</v>
      </c>
      <c r="M124" s="88">
        <v>14187</v>
      </c>
      <c r="N124" s="90">
        <v>64</v>
      </c>
      <c r="O124" s="91">
        <v>3087</v>
      </c>
      <c r="P124" s="93">
        <v>8.5749999999999993</v>
      </c>
      <c r="Q124" s="90">
        <v>39</v>
      </c>
      <c r="R124" s="91">
        <v>76349</v>
      </c>
      <c r="S124" s="92">
        <v>256.86</v>
      </c>
      <c r="T124" s="90">
        <v>2851</v>
      </c>
      <c r="V124" s="123"/>
    </row>
    <row r="125" spans="1:22" x14ac:dyDescent="0.2">
      <c r="A125" s="78">
        <v>2022</v>
      </c>
      <c r="B125" s="79" t="s">
        <v>83</v>
      </c>
      <c r="C125" s="87"/>
      <c r="D125" s="88">
        <v>23802150</v>
      </c>
      <c r="E125" s="88"/>
      <c r="F125" s="89">
        <v>7235869</v>
      </c>
      <c r="G125" s="90">
        <v>11883</v>
      </c>
      <c r="H125" s="88">
        <v>4351593</v>
      </c>
      <c r="I125" s="90">
        <v>2216</v>
      </c>
      <c r="J125" s="91">
        <v>10792853</v>
      </c>
      <c r="K125" s="92">
        <v>26578.449999999997</v>
      </c>
      <c r="L125" s="90">
        <v>129</v>
      </c>
      <c r="M125" s="88">
        <v>14187</v>
      </c>
      <c r="N125" s="90">
        <v>64</v>
      </c>
      <c r="O125" s="91">
        <v>2846</v>
      </c>
      <c r="P125" s="93">
        <v>7.9055555555555559</v>
      </c>
      <c r="Q125" s="90">
        <v>37</v>
      </c>
      <c r="R125" s="91">
        <v>69415</v>
      </c>
      <c r="S125" s="92">
        <v>256.86</v>
      </c>
      <c r="T125" s="90">
        <v>2851</v>
      </c>
      <c r="V125" s="123"/>
    </row>
    <row r="126" spans="1:22" x14ac:dyDescent="0.2">
      <c r="A126" s="78">
        <v>2022</v>
      </c>
      <c r="B126" s="79" t="s">
        <v>84</v>
      </c>
      <c r="C126" s="87"/>
      <c r="D126" s="88">
        <v>25485797</v>
      </c>
      <c r="E126" s="88"/>
      <c r="F126" s="89">
        <v>7972499</v>
      </c>
      <c r="G126" s="90">
        <v>11886</v>
      </c>
      <c r="H126" s="88">
        <v>4775667</v>
      </c>
      <c r="I126" s="90">
        <v>2217</v>
      </c>
      <c r="J126" s="91">
        <v>10946128</v>
      </c>
      <c r="K126" s="92">
        <v>26096.89</v>
      </c>
      <c r="L126" s="90">
        <v>129</v>
      </c>
      <c r="M126" s="88">
        <v>14187</v>
      </c>
      <c r="N126" s="90">
        <v>64</v>
      </c>
      <c r="O126" s="91">
        <v>2850</v>
      </c>
      <c r="P126" s="93">
        <v>7.916666666666667</v>
      </c>
      <c r="Q126" s="90">
        <v>37</v>
      </c>
      <c r="R126" s="91">
        <v>77559</v>
      </c>
      <c r="S126" s="92">
        <v>256.86</v>
      </c>
      <c r="T126" s="90">
        <v>2851</v>
      </c>
      <c r="V126" s="123"/>
    </row>
    <row r="127" spans="1:22" x14ac:dyDescent="0.2">
      <c r="A127" s="78">
        <v>2022</v>
      </c>
      <c r="B127" s="79" t="s">
        <v>85</v>
      </c>
      <c r="C127" s="87"/>
      <c r="D127" s="88">
        <v>26149673</v>
      </c>
      <c r="E127" s="88"/>
      <c r="F127" s="89">
        <v>8139091</v>
      </c>
      <c r="G127" s="90">
        <v>11909</v>
      </c>
      <c r="H127" s="88">
        <v>4882288</v>
      </c>
      <c r="I127" s="90">
        <v>2194</v>
      </c>
      <c r="J127" s="91">
        <v>11156528</v>
      </c>
      <c r="K127" s="92">
        <v>26765.27</v>
      </c>
      <c r="L127" s="90">
        <v>129</v>
      </c>
      <c r="M127" s="88">
        <v>14187</v>
      </c>
      <c r="N127" s="90">
        <v>64</v>
      </c>
      <c r="O127" s="91">
        <v>2850</v>
      </c>
      <c r="P127" s="93">
        <v>7.916666666666667</v>
      </c>
      <c r="Q127" s="90">
        <v>37</v>
      </c>
      <c r="R127" s="91">
        <v>80205</v>
      </c>
      <c r="S127" s="92">
        <v>256.86</v>
      </c>
      <c r="T127" s="90">
        <v>2851</v>
      </c>
      <c r="V127" s="123"/>
    </row>
    <row r="128" spans="1:22" x14ac:dyDescent="0.2">
      <c r="A128" s="78">
        <v>2022</v>
      </c>
      <c r="B128" s="79" t="s">
        <v>86</v>
      </c>
      <c r="C128" s="87"/>
      <c r="D128" s="88">
        <v>23192024</v>
      </c>
      <c r="E128" s="88"/>
      <c r="F128" s="89">
        <v>7083870</v>
      </c>
      <c r="G128" s="90">
        <v>11915</v>
      </c>
      <c r="H128" s="88">
        <v>4202704</v>
      </c>
      <c r="I128" s="90">
        <v>2194</v>
      </c>
      <c r="J128" s="91">
        <v>10429248</v>
      </c>
      <c r="K128" s="92">
        <v>29278.25</v>
      </c>
      <c r="L128" s="90">
        <v>129</v>
      </c>
      <c r="M128" s="88">
        <v>14187</v>
      </c>
      <c r="N128" s="90">
        <v>64</v>
      </c>
      <c r="O128" s="91">
        <v>2846</v>
      </c>
      <c r="P128" s="93">
        <v>7.9055555555555559</v>
      </c>
      <c r="Q128" s="90">
        <v>37</v>
      </c>
      <c r="R128" s="91">
        <v>83191</v>
      </c>
      <c r="S128" s="92">
        <v>256.86</v>
      </c>
      <c r="T128" s="90">
        <v>2851</v>
      </c>
      <c r="V128" s="123"/>
    </row>
    <row r="129" spans="1:22" x14ac:dyDescent="0.2">
      <c r="A129" s="78">
        <v>2022</v>
      </c>
      <c r="B129" s="79" t="s">
        <v>87</v>
      </c>
      <c r="C129" s="87"/>
      <c r="D129" s="88">
        <v>24211097</v>
      </c>
      <c r="E129" s="88"/>
      <c r="F129" s="89">
        <v>8101315</v>
      </c>
      <c r="G129" s="90">
        <v>11980</v>
      </c>
      <c r="H129" s="88">
        <v>4321187</v>
      </c>
      <c r="I129" s="90">
        <v>2191</v>
      </c>
      <c r="J129" s="91">
        <v>10475623</v>
      </c>
      <c r="K129" s="92">
        <v>27764.030000000002</v>
      </c>
      <c r="L129" s="90">
        <v>129</v>
      </c>
      <c r="M129" s="88">
        <v>14187</v>
      </c>
      <c r="N129" s="90">
        <v>64</v>
      </c>
      <c r="O129" s="91">
        <v>2706</v>
      </c>
      <c r="P129" s="93">
        <v>7.5166666666666666</v>
      </c>
      <c r="Q129" s="90">
        <v>37</v>
      </c>
      <c r="R129" s="91">
        <v>95658</v>
      </c>
      <c r="S129" s="92">
        <v>256.86</v>
      </c>
      <c r="T129" s="90">
        <v>2851</v>
      </c>
      <c r="V129" s="123"/>
    </row>
    <row r="130" spans="1:22" x14ac:dyDescent="0.2">
      <c r="A130" s="78">
        <v>2022</v>
      </c>
      <c r="B130" s="79" t="s">
        <v>88</v>
      </c>
      <c r="C130" s="87"/>
      <c r="D130" s="88">
        <v>26468247</v>
      </c>
      <c r="E130" s="88"/>
      <c r="F130" s="89">
        <v>9420562</v>
      </c>
      <c r="G130" s="90">
        <v>12007</v>
      </c>
      <c r="H130" s="88">
        <v>4793077</v>
      </c>
      <c r="I130" s="90">
        <v>2201</v>
      </c>
      <c r="J130" s="91">
        <v>10279089</v>
      </c>
      <c r="K130" s="92">
        <v>25089.21</v>
      </c>
      <c r="L130" s="90">
        <v>130</v>
      </c>
      <c r="M130" s="88">
        <v>14187</v>
      </c>
      <c r="N130" s="90">
        <v>64</v>
      </c>
      <c r="O130" s="91">
        <v>2806</v>
      </c>
      <c r="P130" s="93">
        <v>7.7944444444444443</v>
      </c>
      <c r="Q130" s="90">
        <v>37</v>
      </c>
      <c r="R130" s="91">
        <v>98114</v>
      </c>
      <c r="S130" s="92">
        <v>256.86</v>
      </c>
      <c r="T130" s="90">
        <v>2851</v>
      </c>
      <c r="V130" s="123"/>
    </row>
    <row r="131" spans="1:22" x14ac:dyDescent="0.2">
      <c r="A131" s="78">
        <v>2022</v>
      </c>
      <c r="B131" s="79" t="s">
        <v>89</v>
      </c>
      <c r="C131" s="87"/>
      <c r="D131" s="88">
        <v>29238327</v>
      </c>
      <c r="E131" s="88"/>
      <c r="F131" s="89">
        <v>12099132</v>
      </c>
      <c r="G131" s="90">
        <v>12017</v>
      </c>
      <c r="H131" s="88">
        <v>5654790</v>
      </c>
      <c r="I131" s="90">
        <v>2204</v>
      </c>
      <c r="J131" s="91">
        <v>9833784</v>
      </c>
      <c r="K131" s="92">
        <v>25421.07</v>
      </c>
      <c r="L131" s="90">
        <v>130</v>
      </c>
      <c r="M131" s="88">
        <v>14187</v>
      </c>
      <c r="N131" s="90">
        <v>64</v>
      </c>
      <c r="O131" s="91">
        <v>2598</v>
      </c>
      <c r="P131" s="93">
        <v>7.2166666666666668</v>
      </c>
      <c r="Q131" s="90">
        <v>33</v>
      </c>
      <c r="R131" s="91">
        <v>106309</v>
      </c>
      <c r="S131" s="92">
        <v>256.86</v>
      </c>
      <c r="T131" s="90">
        <v>2851</v>
      </c>
      <c r="U131" s="123">
        <f>G131+I131+L131</f>
        <v>14351</v>
      </c>
      <c r="V131" s="123"/>
    </row>
    <row r="132" spans="1:22" x14ac:dyDescent="0.2">
      <c r="A132" s="78">
        <v>2023</v>
      </c>
      <c r="B132" s="79" t="s">
        <v>79</v>
      </c>
      <c r="C132" s="87"/>
      <c r="D132" s="81">
        <v>30877295</v>
      </c>
      <c r="E132" s="81"/>
      <c r="F132" s="82">
        <v>12500368</v>
      </c>
      <c r="G132" s="83">
        <v>12032</v>
      </c>
      <c r="H132" s="81">
        <v>5904888</v>
      </c>
      <c r="I132" s="83">
        <v>2204</v>
      </c>
      <c r="J132" s="84">
        <v>10596075</v>
      </c>
      <c r="K132" s="85">
        <v>24071.089999999997</v>
      </c>
      <c r="L132" s="83">
        <v>130</v>
      </c>
      <c r="M132" s="81">
        <v>14187</v>
      </c>
      <c r="N132" s="83">
        <v>64</v>
      </c>
      <c r="O132" s="84">
        <v>2598</v>
      </c>
      <c r="P132" s="86">
        <v>7.2166666666666668</v>
      </c>
      <c r="Q132" s="83">
        <v>33</v>
      </c>
      <c r="R132" s="84">
        <v>104186</v>
      </c>
      <c r="S132" s="85">
        <v>256.86</v>
      </c>
      <c r="T132" s="83">
        <v>2851</v>
      </c>
      <c r="V132" s="123"/>
    </row>
    <row r="133" spans="1:22" x14ac:dyDescent="0.2">
      <c r="A133" s="78">
        <v>2023</v>
      </c>
      <c r="B133" s="79" t="s">
        <v>80</v>
      </c>
      <c r="C133" s="87"/>
      <c r="D133" s="88">
        <v>28906608</v>
      </c>
      <c r="E133" s="88"/>
      <c r="F133" s="89">
        <v>11791584</v>
      </c>
      <c r="G133" s="90">
        <v>12046</v>
      </c>
      <c r="H133" s="88">
        <v>5640986</v>
      </c>
      <c r="I133" s="90">
        <v>2206</v>
      </c>
      <c r="J133" s="91">
        <v>9878020</v>
      </c>
      <c r="K133" s="92">
        <v>24779.730000000003</v>
      </c>
      <c r="L133" s="90">
        <v>130</v>
      </c>
      <c r="M133" s="88">
        <v>14187</v>
      </c>
      <c r="N133" s="90">
        <v>64</v>
      </c>
      <c r="O133" s="91">
        <v>2598</v>
      </c>
      <c r="P133" s="93">
        <v>7.2166666666666668</v>
      </c>
      <c r="Q133" s="90">
        <v>33</v>
      </c>
      <c r="R133" s="91">
        <v>93037</v>
      </c>
      <c r="S133" s="92">
        <v>256.86</v>
      </c>
      <c r="T133" s="90">
        <v>2851</v>
      </c>
      <c r="V133" s="123"/>
    </row>
    <row r="134" spans="1:22" x14ac:dyDescent="0.2">
      <c r="A134" s="78">
        <v>2023</v>
      </c>
      <c r="B134" s="79" t="s">
        <v>81</v>
      </c>
      <c r="C134" s="87"/>
      <c r="D134" s="88">
        <v>29869663</v>
      </c>
      <c r="E134" s="88"/>
      <c r="F134" s="89">
        <v>11371070</v>
      </c>
      <c r="G134" s="90">
        <v>12059</v>
      </c>
      <c r="H134" s="88">
        <v>5638636</v>
      </c>
      <c r="I134" s="90">
        <v>2205</v>
      </c>
      <c r="J134" s="91">
        <v>11021321</v>
      </c>
      <c r="K134" s="92">
        <v>25440.07</v>
      </c>
      <c r="L134" s="90">
        <v>130</v>
      </c>
      <c r="M134" s="88">
        <v>14136</v>
      </c>
      <c r="N134" s="90">
        <v>64</v>
      </c>
      <c r="O134" s="91">
        <v>2598</v>
      </c>
      <c r="P134" s="93">
        <v>7.2166666666666668</v>
      </c>
      <c r="Q134" s="90">
        <v>33</v>
      </c>
      <c r="R134" s="91">
        <v>91231</v>
      </c>
      <c r="S134" s="92">
        <v>256.86</v>
      </c>
      <c r="T134" s="90">
        <v>2851</v>
      </c>
      <c r="V134" s="123"/>
    </row>
    <row r="135" spans="1:22" x14ac:dyDescent="0.2">
      <c r="A135" s="78">
        <v>2023</v>
      </c>
      <c r="B135" s="79" t="s">
        <v>82</v>
      </c>
      <c r="C135" s="87"/>
      <c r="D135" s="88">
        <v>25209778</v>
      </c>
      <c r="E135" s="88"/>
      <c r="F135" s="89">
        <v>9092782</v>
      </c>
      <c r="G135" s="90">
        <v>12060</v>
      </c>
      <c r="H135" s="88">
        <v>4578435</v>
      </c>
      <c r="I135" s="90">
        <v>2202</v>
      </c>
      <c r="J135" s="91">
        <v>10069077</v>
      </c>
      <c r="K135" s="92">
        <v>28208.1</v>
      </c>
      <c r="L135" s="90">
        <v>130</v>
      </c>
      <c r="M135" s="88">
        <v>14187</v>
      </c>
      <c r="N135" s="90">
        <v>64</v>
      </c>
      <c r="O135" s="91">
        <v>2598</v>
      </c>
      <c r="P135" s="93">
        <v>7.2166666666666668</v>
      </c>
      <c r="Q135" s="90">
        <v>33</v>
      </c>
      <c r="R135" s="91">
        <v>83670</v>
      </c>
      <c r="S135" s="92">
        <v>256.86</v>
      </c>
      <c r="T135" s="90">
        <v>2851</v>
      </c>
      <c r="V135" s="123"/>
    </row>
    <row r="136" spans="1:22" x14ac:dyDescent="0.2">
      <c r="A136" s="78">
        <v>2023</v>
      </c>
      <c r="B136" s="79" t="s">
        <v>45</v>
      </c>
      <c r="C136" s="87"/>
      <c r="D136" s="88">
        <v>23723123</v>
      </c>
      <c r="E136" s="88"/>
      <c r="F136" s="89">
        <v>7718123</v>
      </c>
      <c r="G136" s="90">
        <v>12078</v>
      </c>
      <c r="H136" s="88">
        <v>4285435</v>
      </c>
      <c r="I136" s="90">
        <v>2206</v>
      </c>
      <c r="J136" s="91">
        <v>10193665</v>
      </c>
      <c r="K136" s="92">
        <v>27150.87</v>
      </c>
      <c r="L136" s="90">
        <v>130</v>
      </c>
      <c r="M136" s="88">
        <v>14136</v>
      </c>
      <c r="N136" s="90">
        <v>63</v>
      </c>
      <c r="O136" s="91">
        <v>2598</v>
      </c>
      <c r="P136" s="93">
        <v>7.2166666666666668</v>
      </c>
      <c r="Q136" s="90">
        <v>32</v>
      </c>
      <c r="R136" s="91">
        <v>76350</v>
      </c>
      <c r="S136" s="92">
        <v>256.86</v>
      </c>
      <c r="T136" s="90">
        <v>2851</v>
      </c>
      <c r="V136" s="123"/>
    </row>
    <row r="137" spans="1:22" x14ac:dyDescent="0.2">
      <c r="A137" s="78">
        <v>2023</v>
      </c>
      <c r="B137" s="79" t="s">
        <v>83</v>
      </c>
      <c r="C137" s="87"/>
      <c r="D137" s="88">
        <v>23955844</v>
      </c>
      <c r="E137" s="88"/>
      <c r="F137" s="89">
        <v>7513035</v>
      </c>
      <c r="G137" s="90">
        <v>12117</v>
      </c>
      <c r="H137" s="88">
        <v>4496104</v>
      </c>
      <c r="I137" s="90">
        <v>2203</v>
      </c>
      <c r="J137" s="91">
        <v>10582767</v>
      </c>
      <c r="K137" s="92">
        <v>29686.950000000004</v>
      </c>
      <c r="L137" s="90">
        <v>130</v>
      </c>
      <c r="M137" s="88">
        <v>14136</v>
      </c>
      <c r="N137" s="90">
        <v>63</v>
      </c>
      <c r="O137" s="91">
        <v>2598</v>
      </c>
      <c r="P137" s="93">
        <v>7.2166666666666668</v>
      </c>
      <c r="Q137" s="90">
        <v>32</v>
      </c>
      <c r="R137" s="91">
        <v>69415</v>
      </c>
      <c r="S137" s="92">
        <v>256.86</v>
      </c>
      <c r="T137" s="90">
        <v>2851</v>
      </c>
      <c r="V137" s="123"/>
    </row>
    <row r="138" spans="1:22" x14ac:dyDescent="0.2">
      <c r="A138" s="78">
        <v>2023</v>
      </c>
      <c r="B138" s="79" t="s">
        <v>84</v>
      </c>
      <c r="C138" s="87"/>
      <c r="D138" s="88">
        <v>25445214</v>
      </c>
      <c r="E138" s="88"/>
      <c r="F138" s="89">
        <v>8582214</v>
      </c>
      <c r="G138" s="90">
        <v>12121</v>
      </c>
      <c r="H138" s="88">
        <v>5039008</v>
      </c>
      <c r="I138" s="90">
        <v>2202</v>
      </c>
      <c r="J138" s="91">
        <v>10343721</v>
      </c>
      <c r="K138" s="92">
        <v>26334.55</v>
      </c>
      <c r="L138" s="90">
        <v>130</v>
      </c>
      <c r="M138" s="88">
        <v>14136</v>
      </c>
      <c r="N138" s="90">
        <v>63</v>
      </c>
      <c r="O138" s="91">
        <v>2598</v>
      </c>
      <c r="P138" s="93">
        <v>7.2166666666666668</v>
      </c>
      <c r="Q138" s="90">
        <v>32</v>
      </c>
      <c r="R138" s="91">
        <v>77559</v>
      </c>
      <c r="S138" s="92">
        <v>256.86</v>
      </c>
      <c r="T138" s="90">
        <v>2851</v>
      </c>
      <c r="V138" s="123"/>
    </row>
    <row r="139" spans="1:22" x14ac:dyDescent="0.2">
      <c r="A139" s="78">
        <v>2023</v>
      </c>
      <c r="B139" s="79" t="s">
        <v>85</v>
      </c>
      <c r="C139" s="87"/>
      <c r="D139" s="88">
        <v>24199133</v>
      </c>
      <c r="E139" s="88"/>
      <c r="F139" s="89">
        <v>7605480</v>
      </c>
      <c r="G139" s="90">
        <v>12140</v>
      </c>
      <c r="H139" s="88">
        <v>4681296</v>
      </c>
      <c r="I139" s="90">
        <v>2206</v>
      </c>
      <c r="J139" s="91">
        <v>10343193</v>
      </c>
      <c r="K139" s="92">
        <v>25688.37</v>
      </c>
      <c r="L139" s="90">
        <v>130</v>
      </c>
      <c r="M139" s="88">
        <v>14136</v>
      </c>
      <c r="N139" s="90">
        <v>63</v>
      </c>
      <c r="O139" s="91">
        <v>2598</v>
      </c>
      <c r="P139" s="93">
        <v>7.2166666666666668</v>
      </c>
      <c r="Q139" s="90">
        <v>32</v>
      </c>
      <c r="R139" s="91">
        <v>80206</v>
      </c>
      <c r="S139" s="92">
        <v>256.86</v>
      </c>
      <c r="T139" s="90">
        <v>2851</v>
      </c>
      <c r="V139" s="123"/>
    </row>
    <row r="140" spans="1:22" x14ac:dyDescent="0.2">
      <c r="A140" s="78">
        <v>2023</v>
      </c>
      <c r="B140" s="79" t="s">
        <v>86</v>
      </c>
      <c r="C140" s="87"/>
      <c r="D140" s="88">
        <v>22957346</v>
      </c>
      <c r="E140" s="88"/>
      <c r="F140" s="89">
        <v>7182582</v>
      </c>
      <c r="G140" s="90">
        <v>12180</v>
      </c>
      <c r="H140" s="88">
        <v>4249603</v>
      </c>
      <c r="I140" s="90">
        <v>2208</v>
      </c>
      <c r="J140" s="91">
        <v>9972022</v>
      </c>
      <c r="K140" s="92">
        <v>27113.059999999998</v>
      </c>
      <c r="L140" s="90">
        <v>130</v>
      </c>
      <c r="M140" s="88">
        <v>14136</v>
      </c>
      <c r="N140" s="90">
        <v>63</v>
      </c>
      <c r="O140" s="91">
        <v>2598</v>
      </c>
      <c r="P140" s="93">
        <v>7.2166666666666668</v>
      </c>
      <c r="Q140" s="90">
        <v>32</v>
      </c>
      <c r="R140" s="91">
        <v>83190</v>
      </c>
      <c r="S140" s="92">
        <v>256.86</v>
      </c>
      <c r="T140" s="90">
        <v>2851</v>
      </c>
      <c r="V140" s="123"/>
    </row>
    <row r="141" spans="1:22" x14ac:dyDescent="0.2">
      <c r="A141" s="78">
        <v>2023</v>
      </c>
      <c r="B141" s="79" t="s">
        <v>87</v>
      </c>
      <c r="C141" s="87"/>
      <c r="D141" s="88">
        <v>24656330</v>
      </c>
      <c r="E141" s="88"/>
      <c r="F141" s="89">
        <v>8181565</v>
      </c>
      <c r="G141" s="90">
        <v>12195</v>
      </c>
      <c r="H141" s="88">
        <v>4426440</v>
      </c>
      <c r="I141" s="90">
        <v>2209</v>
      </c>
      <c r="J141" s="91">
        <v>10301105</v>
      </c>
      <c r="K141" s="92">
        <v>27592</v>
      </c>
      <c r="L141" s="90">
        <v>130</v>
      </c>
      <c r="M141" s="88">
        <v>14136</v>
      </c>
      <c r="N141" s="90">
        <v>63</v>
      </c>
      <c r="O141" s="91">
        <v>2598</v>
      </c>
      <c r="P141" s="93">
        <v>7.2166666666666668</v>
      </c>
      <c r="Q141" s="90">
        <v>32</v>
      </c>
      <c r="R141" s="91">
        <v>95657</v>
      </c>
      <c r="S141" s="93">
        <v>257</v>
      </c>
      <c r="T141" s="90">
        <v>2851</v>
      </c>
      <c r="V141" s="123"/>
    </row>
    <row r="142" spans="1:22" x14ac:dyDescent="0.2">
      <c r="A142" s="78">
        <v>2023</v>
      </c>
      <c r="B142" s="79" t="s">
        <v>88</v>
      </c>
      <c r="C142" s="87"/>
      <c r="D142" s="88">
        <v>27066324</v>
      </c>
      <c r="E142" s="88"/>
      <c r="F142" s="89">
        <v>10319577</v>
      </c>
      <c r="G142" s="90">
        <v>12227</v>
      </c>
      <c r="H142" s="88">
        <v>5167651</v>
      </c>
      <c r="I142" s="90">
        <v>2211</v>
      </c>
      <c r="J142" s="91">
        <v>9911491</v>
      </c>
      <c r="K142" s="92">
        <v>25475</v>
      </c>
      <c r="L142" s="90">
        <v>130</v>
      </c>
      <c r="M142" s="88">
        <v>14136</v>
      </c>
      <c r="N142" s="90">
        <v>63</v>
      </c>
      <c r="O142" s="91">
        <v>2598</v>
      </c>
      <c r="P142" s="93">
        <v>7.2166666666666668</v>
      </c>
      <c r="Q142" s="90">
        <v>33</v>
      </c>
      <c r="R142" s="91">
        <v>98115</v>
      </c>
      <c r="S142" s="93">
        <v>257</v>
      </c>
      <c r="T142" s="90">
        <v>2851</v>
      </c>
      <c r="V142" s="123"/>
    </row>
    <row r="143" spans="1:22" ht="13.5" thickBot="1" x14ac:dyDescent="0.25">
      <c r="A143" s="78">
        <v>2023</v>
      </c>
      <c r="B143" s="79" t="s">
        <v>89</v>
      </c>
      <c r="C143" s="87"/>
      <c r="D143" s="94">
        <v>28270776</v>
      </c>
      <c r="E143" s="94"/>
      <c r="F143" s="95">
        <v>11640034</v>
      </c>
      <c r="G143" s="96">
        <v>12248</v>
      </c>
      <c r="H143" s="94">
        <v>5457251</v>
      </c>
      <c r="I143" s="96">
        <v>2215</v>
      </c>
      <c r="J143" s="97">
        <v>9441188</v>
      </c>
      <c r="K143" s="98">
        <v>25421.07</v>
      </c>
      <c r="L143" s="96">
        <v>131</v>
      </c>
      <c r="M143" s="94">
        <v>14136</v>
      </c>
      <c r="N143" s="96">
        <v>63</v>
      </c>
      <c r="O143" s="97">
        <v>2598</v>
      </c>
      <c r="P143" s="99">
        <v>7.2166666666666668</v>
      </c>
      <c r="Q143" s="96">
        <v>33</v>
      </c>
      <c r="R143" s="97">
        <v>106311</v>
      </c>
      <c r="S143" s="99">
        <v>257</v>
      </c>
      <c r="T143" s="96">
        <v>2851</v>
      </c>
      <c r="U143" s="123">
        <f>G143+I143+L143</f>
        <v>14594</v>
      </c>
      <c r="V143" s="123"/>
    </row>
  </sheetData>
  <sheetProtection selectLockedCells="1" selectUnlockedCells="1"/>
  <mergeCells count="10">
    <mergeCell ref="A3:G3"/>
    <mergeCell ref="A20:B20"/>
    <mergeCell ref="D20:E20"/>
    <mergeCell ref="F20:T20"/>
    <mergeCell ref="R21:T21"/>
    <mergeCell ref="F21:G21"/>
    <mergeCell ref="H21:I21"/>
    <mergeCell ref="J21:L21"/>
    <mergeCell ref="M21:N21"/>
    <mergeCell ref="O21:Q2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O66"/>
  <sheetViews>
    <sheetView tabSelected="1" zoomScale="90" zoomScaleNormal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Q26" sqref="Q26"/>
    </sheetView>
  </sheetViews>
  <sheetFormatPr defaultRowHeight="12.75" x14ac:dyDescent="0.2"/>
  <cols>
    <col min="1" max="1" width="42.5703125" customWidth="1"/>
    <col min="2" max="2" width="16.140625" bestFit="1" customWidth="1"/>
    <col min="3" max="3" width="14" bestFit="1" customWidth="1"/>
    <col min="4" max="4" width="12.5703125" bestFit="1" customWidth="1"/>
    <col min="5" max="5" width="13.7109375" customWidth="1"/>
    <col min="6" max="8" width="12.5703125" bestFit="1" customWidth="1"/>
    <col min="9" max="11" width="12.5703125" customWidth="1"/>
    <col min="12" max="13" width="12.5703125" bestFit="1" customWidth="1"/>
  </cols>
  <sheetData>
    <row r="1" spans="1:15" ht="15.75" x14ac:dyDescent="0.25">
      <c r="A1" s="24" t="s">
        <v>113</v>
      </c>
    </row>
    <row r="2" spans="1:15" x14ac:dyDescent="0.2">
      <c r="L2" s="26" t="s">
        <v>98</v>
      </c>
      <c r="M2" s="26" t="s">
        <v>99</v>
      </c>
    </row>
    <row r="3" spans="1:15" ht="25.5" x14ac:dyDescent="0.2">
      <c r="B3" s="26" t="s">
        <v>100</v>
      </c>
      <c r="C3" s="26" t="s">
        <v>97</v>
      </c>
      <c r="D3" s="26" t="s">
        <v>48</v>
      </c>
      <c r="E3" s="26" t="s">
        <v>49</v>
      </c>
      <c r="F3" s="26" t="s">
        <v>53</v>
      </c>
      <c r="G3" s="26" t="s">
        <v>54</v>
      </c>
      <c r="H3" s="26" t="s">
        <v>96</v>
      </c>
      <c r="I3" s="26" t="s">
        <v>67</v>
      </c>
      <c r="J3" s="26" t="s">
        <v>68</v>
      </c>
      <c r="K3" s="26" t="s">
        <v>112</v>
      </c>
      <c r="L3" s="26" t="s">
        <v>95</v>
      </c>
      <c r="M3" s="26" t="s">
        <v>95</v>
      </c>
    </row>
    <row r="4" spans="1:15" x14ac:dyDescent="0.2">
      <c r="A4" s="12" t="s">
        <v>40</v>
      </c>
      <c r="B4" s="19">
        <f>+'Power Purchased Model'!B152</f>
        <v>319149657</v>
      </c>
      <c r="C4" s="19">
        <f>+'Power Purchased Model'!B153</f>
        <v>308961454</v>
      </c>
      <c r="D4" s="19">
        <f>+'Power Purchased Model'!B154</f>
        <v>302232068</v>
      </c>
      <c r="E4" s="19">
        <f>+'Power Purchased Model'!B155</f>
        <v>297287399</v>
      </c>
      <c r="F4" s="19">
        <f>+'Power Purchased Model'!B156</f>
        <v>309247473</v>
      </c>
      <c r="G4" s="19">
        <f>+'Power Purchased Model'!B157</f>
        <v>309952095.46999997</v>
      </c>
      <c r="H4" s="19">
        <f>+'Power Purchased Model'!B158</f>
        <v>304387702</v>
      </c>
      <c r="I4" s="19">
        <f>+'Power Purchased Model'!B159</f>
        <v>309941422</v>
      </c>
      <c r="J4" s="19">
        <f>+'Power Purchased Model'!B160</f>
        <v>322673989</v>
      </c>
      <c r="K4" s="19">
        <f>+'Power Purchased Model'!B161</f>
        <v>315137434</v>
      </c>
    </row>
    <row r="5" spans="1:15" x14ac:dyDescent="0.2">
      <c r="A5" s="12" t="s">
        <v>41</v>
      </c>
      <c r="B5" s="19">
        <f>+'Power Purchased Model'!I152</f>
        <v>309239865.48933029</v>
      </c>
      <c r="C5" s="19">
        <f>+'Power Purchased Model'!I153</f>
        <v>307501475.23789406</v>
      </c>
      <c r="D5" s="19">
        <f>+'Power Purchased Model'!I154</f>
        <v>304819702.0810709</v>
      </c>
      <c r="E5" s="19">
        <f>+'Power Purchased Model'!I155</f>
        <v>306157439.88711458</v>
      </c>
      <c r="F5" s="19">
        <f>+'Power Purchased Model'!I156</f>
        <v>311514316.67813802</v>
      </c>
      <c r="G5" s="19">
        <f>+'Power Purchased Model'!I157</f>
        <v>315930384.57955354</v>
      </c>
      <c r="H5" s="19">
        <f>+'Power Purchased Model'!I158</f>
        <v>307544604.13755459</v>
      </c>
      <c r="I5" s="19">
        <f>+'Power Purchased Model'!I159</f>
        <v>309961930.5331102</v>
      </c>
      <c r="J5" s="19">
        <f>+'Power Purchased Model'!I160</f>
        <v>314842277.82145452</v>
      </c>
      <c r="K5" s="19">
        <f>+'Power Purchased Model'!I161</f>
        <v>311458697.02477956</v>
      </c>
      <c r="L5" s="19">
        <f>+'Power Purchased Model'!I162</f>
        <v>318026986.27085906</v>
      </c>
      <c r="M5" s="19">
        <f>+'Power Purchased Model'!I163</f>
        <v>318819593.92602313</v>
      </c>
    </row>
    <row r="6" spans="1:15" x14ac:dyDescent="0.2">
      <c r="A6" s="12" t="s">
        <v>4</v>
      </c>
      <c r="B6" s="25">
        <f t="shared" ref="B6:K6" si="0">(B5-B4)/B4</f>
        <v>-3.1050609935857485E-2</v>
      </c>
      <c r="C6" s="25">
        <f t="shared" si="0"/>
        <v>-4.7254398346595746E-3</v>
      </c>
      <c r="D6" s="25">
        <f t="shared" si="0"/>
        <v>8.5617456089103691E-3</v>
      </c>
      <c r="E6" s="25">
        <f t="shared" si="0"/>
        <v>2.9836585462253595E-2</v>
      </c>
      <c r="F6" s="25">
        <f t="shared" si="0"/>
        <v>7.3301930526624469E-3</v>
      </c>
      <c r="G6" s="25">
        <f t="shared" si="0"/>
        <v>1.9287784134797727E-2</v>
      </c>
      <c r="H6" s="25">
        <f t="shared" si="0"/>
        <v>1.0371319592782318E-2</v>
      </c>
      <c r="I6" s="25">
        <f t="shared" si="0"/>
        <v>6.6169061811303684E-5</v>
      </c>
      <c r="J6" s="25">
        <f t="shared" si="0"/>
        <v>-2.427128137231252E-2</v>
      </c>
      <c r="K6" s="25">
        <f t="shared" si="0"/>
        <v>-1.167343697804064E-2</v>
      </c>
    </row>
    <row r="7" spans="1:15" x14ac:dyDescent="0.2">
      <c r="A7" s="12"/>
      <c r="B7" s="25"/>
      <c r="C7" s="25"/>
      <c r="D7" s="25"/>
      <c r="E7" s="25"/>
      <c r="F7" s="25"/>
      <c r="G7" s="25"/>
      <c r="H7" s="25"/>
      <c r="I7" s="25"/>
      <c r="J7" s="25"/>
      <c r="K7" s="25"/>
      <c r="L7" s="19"/>
      <c r="M7" s="19"/>
    </row>
    <row r="8" spans="1:15" x14ac:dyDescent="0.2">
      <c r="A8" s="12"/>
      <c r="B8" s="25"/>
      <c r="C8" s="25"/>
      <c r="D8" s="25"/>
      <c r="E8" s="25"/>
      <c r="F8" s="25"/>
      <c r="G8" s="25"/>
      <c r="H8" s="25"/>
      <c r="I8" s="25"/>
      <c r="J8" s="25"/>
      <c r="K8" s="25"/>
      <c r="L8" s="31"/>
      <c r="M8" s="31"/>
    </row>
    <row r="9" spans="1:15" x14ac:dyDescent="0.2">
      <c r="A9" s="12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5" x14ac:dyDescent="0.2">
      <c r="A10" s="12" t="s">
        <v>55</v>
      </c>
      <c r="B10" s="5">
        <f>'Rate Class Energy Model'!G3</f>
        <v>297398397.24340039</v>
      </c>
      <c r="C10" s="5">
        <f>'Rate Class Energy Model'!G4</f>
        <v>288752254.73999995</v>
      </c>
      <c r="D10" s="5">
        <f>'Rate Class Energy Model'!G5</f>
        <v>280505070.49164295</v>
      </c>
      <c r="E10" s="5">
        <f>'Rate Class Energy Model'!G6</f>
        <v>279563881.0820545</v>
      </c>
      <c r="F10" s="5">
        <f>'Rate Class Energy Model'!G7</f>
        <v>289620570.18333334</v>
      </c>
      <c r="G10" s="5">
        <f>'Rate Class Energy Model'!G8</f>
        <v>289860628.5</v>
      </c>
      <c r="H10" s="5">
        <f>'Rate Class Energy Model'!G9</f>
        <v>286230671</v>
      </c>
      <c r="I10" s="5">
        <f>'Rate Class Energy Model'!G10</f>
        <v>290240292</v>
      </c>
      <c r="J10" s="5">
        <f>'Rate Class Energy Model'!G11</f>
        <v>303102277</v>
      </c>
      <c r="K10" s="5">
        <f>'Rate Class Energy Model'!G12</f>
        <v>296977680</v>
      </c>
      <c r="L10" s="5">
        <f>'Rate Class Energy Model'!G13</f>
        <v>297831185.09864157</v>
      </c>
      <c r="M10" s="5">
        <f>'Rate Class Energy Model'!G14</f>
        <v>298573459.45725441</v>
      </c>
    </row>
    <row r="11" spans="1:15" x14ac:dyDescent="0.2">
      <c r="A11" s="12"/>
      <c r="L11" s="5"/>
      <c r="M11" s="5"/>
    </row>
    <row r="12" spans="1:15" ht="15.75" x14ac:dyDescent="0.25">
      <c r="A12" s="24" t="s">
        <v>42</v>
      </c>
      <c r="C12" s="1"/>
      <c r="E12" s="1"/>
      <c r="H12" s="31"/>
    </row>
    <row r="13" spans="1:15" x14ac:dyDescent="0.2">
      <c r="A13" s="23" t="str">
        <f>'Rate Class Energy Model'!H2</f>
        <v>Residential</v>
      </c>
      <c r="C13" s="1"/>
      <c r="D13" s="1"/>
      <c r="E13" s="1"/>
      <c r="H13" s="5"/>
      <c r="I13" s="5"/>
      <c r="J13" s="5"/>
      <c r="K13" s="5"/>
      <c r="L13" s="5"/>
      <c r="M13" s="5"/>
    </row>
    <row r="14" spans="1:15" x14ac:dyDescent="0.2">
      <c r="A14" t="s">
        <v>34</v>
      </c>
      <c r="B14" s="5">
        <f>'Rate Class Customer Model'!B3</f>
        <v>10964.083333333334</v>
      </c>
      <c r="C14" s="5">
        <f>'Rate Class Customer Model'!B4</f>
        <v>11020.916666666666</v>
      </c>
      <c r="D14" s="5">
        <f>'Rate Class Customer Model'!B5</f>
        <v>11078.416666666666</v>
      </c>
      <c r="E14" s="5">
        <f>'Rate Class Customer Model'!B6</f>
        <v>11168.75</v>
      </c>
      <c r="F14" s="5">
        <f>'Rate Class Customer Model'!B7</f>
        <v>11288.666666666666</v>
      </c>
      <c r="G14" s="5">
        <f>'Rate Class Customer Model'!B8</f>
        <v>11429.75</v>
      </c>
      <c r="H14" s="5">
        <f>'Rate Class Customer Model'!B9</f>
        <v>11566</v>
      </c>
      <c r="I14" s="5">
        <f>'Rate Class Customer Model'!B10</f>
        <v>11725.916666666666</v>
      </c>
      <c r="J14" s="5">
        <f>'Rate Class Customer Model'!B11</f>
        <v>11911.916666666666</v>
      </c>
      <c r="K14" s="5">
        <f>'Rate Class Customer Model'!B12</f>
        <v>12125.25</v>
      </c>
      <c r="L14" s="5">
        <f>'Rate Class Customer Model'!B13</f>
        <v>12261.632593160602</v>
      </c>
      <c r="M14" s="5">
        <f>'Rate Class Customer Model'!B14</f>
        <v>12399.549192771976</v>
      </c>
      <c r="N14" s="31"/>
    </row>
    <row r="15" spans="1:15" x14ac:dyDescent="0.2">
      <c r="A15" t="s">
        <v>35</v>
      </c>
      <c r="B15" s="5">
        <f>'Rate Class Energy Model'!H3</f>
        <v>114433382.22499122</v>
      </c>
      <c r="C15" s="5">
        <f>'Rate Class Energy Model'!H4</f>
        <v>108243956.44</v>
      </c>
      <c r="D15" s="5">
        <f>'Rate Class Energy Model'!H5</f>
        <v>104348161.31</v>
      </c>
      <c r="E15" s="30">
        <f>'Rate Class Energy Model'!H6</f>
        <v>103129632.00000001</v>
      </c>
      <c r="F15" s="5">
        <f>'Rate Class Energy Model'!H7</f>
        <v>109427085.33333334</v>
      </c>
      <c r="G15" s="5">
        <f>'Rate Class Energy Model'!H8</f>
        <v>110765686</v>
      </c>
      <c r="H15" s="5">
        <f>'Rate Class Energy Model'!H9</f>
        <v>112437412</v>
      </c>
      <c r="I15" s="5">
        <f>'Rate Class Energy Model'!H10</f>
        <v>112958103</v>
      </c>
      <c r="J15" s="5">
        <f>'Rate Class Energy Model'!H11</f>
        <v>116633398</v>
      </c>
      <c r="K15" s="5">
        <f>'Rate Class Energy Model'!H12</f>
        <v>113498414</v>
      </c>
      <c r="L15" s="5">
        <f>'Rate Class Energy Model'!H31</f>
        <v>116110827.00989887</v>
      </c>
      <c r="M15" s="5">
        <f>'Rate Class Energy Model'!H32</f>
        <v>118669083.3461228</v>
      </c>
      <c r="N15" s="31">
        <f>+L15/L14</f>
        <v>9469.4426804685172</v>
      </c>
      <c r="O15">
        <f>+M15/M14</f>
        <v>9570.4353038333156</v>
      </c>
    </row>
    <row r="16" spans="1:15" x14ac:dyDescent="0.2">
      <c r="C16" s="30"/>
      <c r="F16" s="31"/>
      <c r="G16" s="31"/>
      <c r="I16" s="31"/>
      <c r="J16" s="31"/>
      <c r="K16" s="31"/>
      <c r="L16" s="31"/>
      <c r="M16" s="31"/>
      <c r="N16" s="31"/>
    </row>
    <row r="17" spans="1:14" x14ac:dyDescent="0.2">
      <c r="A17" s="23" t="str">
        <f>'Rate Class Energy Model'!I2</f>
        <v>General Service &lt; 50 kW</v>
      </c>
      <c r="C17" s="42"/>
      <c r="D17" s="1"/>
      <c r="E17" s="1"/>
      <c r="F17" s="1"/>
      <c r="G17" s="5"/>
      <c r="H17" s="5"/>
      <c r="I17" s="5"/>
      <c r="J17" s="5"/>
      <c r="K17" s="5"/>
      <c r="L17" s="5"/>
      <c r="M17" s="5"/>
      <c r="N17" s="31"/>
    </row>
    <row r="18" spans="1:14" ht="13.5" customHeight="1" x14ac:dyDescent="0.2">
      <c r="A18" t="s">
        <v>34</v>
      </c>
      <c r="B18" s="5">
        <f>'Rate Class Customer Model'!C3</f>
        <v>2106</v>
      </c>
      <c r="C18" s="5">
        <f>'Rate Class Customer Model'!C4</f>
        <v>2132.5833333333335</v>
      </c>
      <c r="D18" s="5">
        <f>'Rate Class Customer Model'!C5</f>
        <v>2137.6666666666665</v>
      </c>
      <c r="E18" s="5">
        <f>'Rate Class Customer Model'!C6</f>
        <v>2144.4166666666665</v>
      </c>
      <c r="F18" s="5">
        <f>'Rate Class Customer Model'!C7</f>
        <v>2158.8333333333335</v>
      </c>
      <c r="G18" s="5">
        <f>'Rate Class Customer Model'!C8</f>
        <v>2154.3333333333335</v>
      </c>
      <c r="H18" s="5">
        <f>'Rate Class Customer Model'!C9</f>
        <v>2155.3333333333335</v>
      </c>
      <c r="I18" s="5">
        <f>'Rate Class Customer Model'!C10</f>
        <v>2190.8333333333335</v>
      </c>
      <c r="J18" s="5">
        <f>'Rate Class Customer Model'!C11</f>
        <v>2205.1666666666665</v>
      </c>
      <c r="K18" s="5">
        <f>'Rate Class Customer Model'!C12</f>
        <v>2206.4166666666665</v>
      </c>
      <c r="L18" s="5">
        <f>'Rate Class Customer Model'!C13</f>
        <v>2217.8655449841335</v>
      </c>
      <c r="M18" s="5">
        <f>'Rate Class Customer Model'!C14</f>
        <v>2229.373830401224</v>
      </c>
      <c r="N18" s="31"/>
    </row>
    <row r="19" spans="1:14" x14ac:dyDescent="0.2">
      <c r="A19" t="s">
        <v>35</v>
      </c>
      <c r="B19" s="5">
        <f>'Rate Class Energy Model'!I3</f>
        <v>58443482.099599421</v>
      </c>
      <c r="C19" s="5">
        <f>'Rate Class Energy Model'!I4</f>
        <v>58492111.439999998</v>
      </c>
      <c r="D19" s="5">
        <f>'Rate Class Energy Model'!I5</f>
        <v>58168701.330000006</v>
      </c>
      <c r="E19" s="5">
        <f>'Rate Class Energy Model'!I6</f>
        <v>57585352</v>
      </c>
      <c r="F19" s="5">
        <f>'Rate Class Energy Model'!I7</f>
        <v>59779468</v>
      </c>
      <c r="G19" s="5">
        <f>'Rate Class Energy Model'!I8</f>
        <v>59276659</v>
      </c>
      <c r="H19" s="5">
        <f>'Rate Class Energy Model'!I9</f>
        <v>54635310</v>
      </c>
      <c r="I19" s="5">
        <f>'Rate Class Energy Model'!I10</f>
        <v>56374252</v>
      </c>
      <c r="J19" s="5">
        <f>'Rate Class Energy Model'!I11</f>
        <v>59995612</v>
      </c>
      <c r="K19" s="5">
        <f>'Rate Class Energy Model'!I12</f>
        <v>59565733</v>
      </c>
      <c r="L19" s="5">
        <f>'Rate Class Energy Model'!I31</f>
        <v>60571663.86443045</v>
      </c>
      <c r="M19" s="5">
        <f>'Rate Class Energy Model'!I32</f>
        <v>61535319.59890864</v>
      </c>
      <c r="N19" s="31"/>
    </row>
    <row r="20" spans="1:14" x14ac:dyDescent="0.2">
      <c r="B20" s="5"/>
      <c r="C20" s="1"/>
      <c r="G20" s="31"/>
      <c r="I20" s="31"/>
      <c r="J20" s="31"/>
      <c r="K20" s="31"/>
      <c r="L20" s="31"/>
      <c r="M20" s="31"/>
      <c r="N20" s="31"/>
    </row>
    <row r="21" spans="1:14" x14ac:dyDescent="0.2">
      <c r="A21" s="23" t="str">
        <f>'Rate Class Energy Model'!J2</f>
        <v>General Service &gt; 50 to 4999 kW</v>
      </c>
      <c r="B21" s="5"/>
      <c r="C21" s="1"/>
      <c r="D21" s="1"/>
      <c r="E21" s="1"/>
      <c r="F21" s="1"/>
      <c r="N21" s="31"/>
    </row>
    <row r="22" spans="1:14" x14ac:dyDescent="0.2">
      <c r="A22" t="s">
        <v>34</v>
      </c>
      <c r="B22" s="5">
        <f>'Rate Class Customer Model'!D3</f>
        <v>172</v>
      </c>
      <c r="C22" s="5">
        <f>'Rate Class Customer Model'!D4</f>
        <v>155.83333333333334</v>
      </c>
      <c r="D22" s="5">
        <f>'Rate Class Customer Model'!D5</f>
        <v>149.33333333333334</v>
      </c>
      <c r="E22" s="5">
        <f>'Rate Class Customer Model'!D6</f>
        <v>137.91666666666666</v>
      </c>
      <c r="F22" s="5">
        <f>'Rate Class Customer Model'!D7</f>
        <v>137.5</v>
      </c>
      <c r="G22" s="5">
        <f>'Rate Class Customer Model'!D8</f>
        <v>136.66666666666666</v>
      </c>
      <c r="H22" s="5">
        <f>'Rate Class Customer Model'!D9</f>
        <v>135.83333333333334</v>
      </c>
      <c r="I22" s="5">
        <f>'Rate Class Customer Model'!D10</f>
        <v>130.75</v>
      </c>
      <c r="J22" s="5">
        <f>'Rate Class Customer Model'!D11</f>
        <v>129.08333333333334</v>
      </c>
      <c r="K22" s="5">
        <f>'Rate Class Customer Model'!D12</f>
        <v>130.08333333333334</v>
      </c>
      <c r="L22" s="5">
        <f>'Rate Class Customer Model'!D13</f>
        <v>126.10814133096439</v>
      </c>
      <c r="M22" s="5">
        <f>'Rate Class Customer Model'!D14</f>
        <v>122.25442646983078</v>
      </c>
      <c r="N22" s="31"/>
    </row>
    <row r="23" spans="1:14" x14ac:dyDescent="0.2">
      <c r="A23" t="s">
        <v>35</v>
      </c>
      <c r="B23" s="5">
        <f>'Rate Class Energy Model'!J3</f>
        <v>121885729.22737581</v>
      </c>
      <c r="C23" s="5">
        <f>'Rate Class Energy Model'!J4</f>
        <v>119763837.52000001</v>
      </c>
      <c r="D23" s="5">
        <f>'Rate Class Energy Model'!J5</f>
        <v>116637108.60000002</v>
      </c>
      <c r="E23" s="5">
        <f>'Rate Class Energy Model'!J6</f>
        <v>117484141.48363943</v>
      </c>
      <c r="F23" s="5">
        <f>'Rate Class Energy Model'!J7</f>
        <v>119092478.54999998</v>
      </c>
      <c r="G23" s="5">
        <f>'Rate Class Energy Model'!J8</f>
        <v>118495415</v>
      </c>
      <c r="H23" s="5">
        <f>'Rate Class Energy Model'!J9</f>
        <v>117859877</v>
      </c>
      <c r="I23" s="5">
        <f>'Rate Class Energy Model'!J10</f>
        <v>119633612</v>
      </c>
      <c r="J23" s="5">
        <f>'Rate Class Energy Model'!J11</f>
        <v>125207062</v>
      </c>
      <c r="K23" s="5">
        <f>'Rate Class Energy Model'!J12</f>
        <v>122653645</v>
      </c>
      <c r="L23" s="5">
        <f>'Rate Class Energy Model'!J31</f>
        <v>119887600.9310836</v>
      </c>
      <c r="M23" s="5">
        <f>'Rate Class Energy Model'!J32</f>
        <v>117106600.78608973</v>
      </c>
      <c r="N23" s="31"/>
    </row>
    <row r="24" spans="1:14" x14ac:dyDescent="0.2">
      <c r="A24" t="s">
        <v>36</v>
      </c>
      <c r="B24" s="5">
        <f>'Rate Class Load Model'!B2</f>
        <v>288260.7</v>
      </c>
      <c r="C24" s="5">
        <f>'Rate Class Load Model'!B3</f>
        <v>288082.36</v>
      </c>
      <c r="D24" s="5">
        <f>'Rate Class Load Model'!B4</f>
        <v>283796.43000000005</v>
      </c>
      <c r="E24" s="5">
        <f>'Rate Class Load Model'!B5</f>
        <v>281771.10000000003</v>
      </c>
      <c r="F24" s="5">
        <f>'Rate Class Load Model'!B6</f>
        <v>288024.30000000005</v>
      </c>
      <c r="G24" s="5">
        <f>'Rate Class Load Model'!B7</f>
        <v>289524.01999999996</v>
      </c>
      <c r="H24" s="5">
        <f>'Rate Class Load Model'!B8</f>
        <v>290762.68</v>
      </c>
      <c r="I24" s="5">
        <f>'Rate Class Load Model'!B9</f>
        <v>285432.01</v>
      </c>
      <c r="J24" s="5">
        <f>'Rate Class Load Model'!B10</f>
        <v>308240.81</v>
      </c>
      <c r="K24" s="5">
        <f>'Rate Class Load Model'!B11</f>
        <v>316960.86</v>
      </c>
      <c r="L24" s="5">
        <f>'Rate Class Load Model'!B12</f>
        <v>292079.00377313059</v>
      </c>
      <c r="M24" s="5">
        <f>'Rate Class Load Model'!B13</f>
        <v>285303.72638385603</v>
      </c>
      <c r="N24" s="31"/>
    </row>
    <row r="25" spans="1:14" x14ac:dyDescent="0.2">
      <c r="B25" s="5"/>
      <c r="C25" s="5"/>
      <c r="D25" s="5"/>
      <c r="E25" s="5"/>
      <c r="F25" s="5"/>
      <c r="G25" s="5"/>
      <c r="H25" s="5"/>
      <c r="I25" s="5"/>
      <c r="K25" s="5"/>
      <c r="L25" s="5"/>
      <c r="M25" s="5"/>
      <c r="N25" s="31"/>
    </row>
    <row r="26" spans="1:14" x14ac:dyDescent="0.2">
      <c r="A26" s="23" t="str">
        <f>'Rate Class Energy Model'!K2</f>
        <v>USL</v>
      </c>
      <c r="E26" s="1"/>
      <c r="F26" s="1"/>
      <c r="H26" s="1"/>
      <c r="K26" s="5"/>
      <c r="N26" s="31"/>
    </row>
    <row r="27" spans="1:14" x14ac:dyDescent="0.2">
      <c r="A27" t="s">
        <v>37</v>
      </c>
      <c r="B27" s="5">
        <f>'Rate Class Customer Model'!E3</f>
        <v>54.75</v>
      </c>
      <c r="C27" s="5">
        <f>'Rate Class Customer Model'!E4</f>
        <v>52.166666666666664</v>
      </c>
      <c r="D27" s="5">
        <f>'Rate Class Customer Model'!E5</f>
        <v>51</v>
      </c>
      <c r="E27" s="5">
        <f>'Rate Class Customer Model'!E6</f>
        <v>51</v>
      </c>
      <c r="F27" s="5">
        <f>'Rate Class Customer Model'!E7</f>
        <v>51</v>
      </c>
      <c r="G27" s="5">
        <f>'Rate Class Customer Model'!E8</f>
        <v>54.583333333333336</v>
      </c>
      <c r="H27" s="5">
        <f>'Rate Class Customer Model'!E9</f>
        <v>56</v>
      </c>
      <c r="I27" s="5">
        <f>'Rate Class Customer Model'!E10</f>
        <v>64.5</v>
      </c>
      <c r="J27" s="5">
        <f>'Rate Class Customer Model'!E11</f>
        <v>64.25</v>
      </c>
      <c r="K27" s="5">
        <f>'Rate Class Customer Model'!E12</f>
        <v>63.333333333333336</v>
      </c>
      <c r="L27" s="5">
        <f>'Rate Class Customer Model'!E13</f>
        <v>64.366504744152124</v>
      </c>
      <c r="M27" s="5">
        <f>'Rate Class Customer Model'!E14</f>
        <v>65.416530520720386</v>
      </c>
      <c r="N27" s="31"/>
    </row>
    <row r="28" spans="1:14" x14ac:dyDescent="0.2">
      <c r="A28" t="s">
        <v>35</v>
      </c>
      <c r="B28" s="5">
        <f>'Rate Class Energy Model'!K3</f>
        <v>180165.06688870382</v>
      </c>
      <c r="C28" s="5">
        <f>'Rate Class Energy Model'!K4</f>
        <v>173556</v>
      </c>
      <c r="D28" s="5">
        <f>'Rate Class Energy Model'!K5</f>
        <v>166068</v>
      </c>
      <c r="E28" s="5">
        <f>'Rate Class Energy Model'!K6</f>
        <v>166068</v>
      </c>
      <c r="F28" s="5">
        <f>'Rate Class Energy Model'!K7</f>
        <v>166686</v>
      </c>
      <c r="G28" s="5">
        <f>'Rate Class Energy Model'!K8</f>
        <v>172797</v>
      </c>
      <c r="H28" s="5">
        <f>'Rate Class Energy Model'!K9</f>
        <v>173568</v>
      </c>
      <c r="I28" s="5">
        <f>'Rate Class Energy Model'!K10</f>
        <v>178362</v>
      </c>
      <c r="J28" s="5">
        <f>'Rate Class Energy Model'!K11</f>
        <v>172344</v>
      </c>
      <c r="K28" s="5">
        <f>'Rate Class Energy Model'!K12</f>
        <v>169785</v>
      </c>
      <c r="L28" s="5">
        <f>'Rate Class Energy Model'!K31</f>
        <v>172554.74223135581</v>
      </c>
      <c r="M28" s="5">
        <f>'Rate Class Energy Model'!K32</f>
        <v>175369.66791253438</v>
      </c>
      <c r="N28" s="31"/>
    </row>
    <row r="29" spans="1:14" x14ac:dyDescent="0.2">
      <c r="H29" s="5"/>
      <c r="I29" s="5"/>
      <c r="K29" s="5"/>
      <c r="L29" s="5"/>
      <c r="M29" s="5"/>
    </row>
    <row r="30" spans="1:14" x14ac:dyDescent="0.2">
      <c r="A30" s="23" t="str">
        <f>'Rate Class Energy Model'!L2</f>
        <v>Sentinel Lighting</v>
      </c>
      <c r="E30" s="1"/>
      <c r="G30" s="1"/>
      <c r="K30" s="16"/>
    </row>
    <row r="31" spans="1:14" x14ac:dyDescent="0.2">
      <c r="A31" t="s">
        <v>37</v>
      </c>
      <c r="B31" s="5">
        <f>'Rate Class Customer Model'!F3</f>
        <v>56.666666666666664</v>
      </c>
      <c r="C31" s="5">
        <f>'Rate Class Customer Model'!F4</f>
        <v>53</v>
      </c>
      <c r="D31" s="5">
        <f>'Rate Class Customer Model'!F5</f>
        <v>52.333333333333336</v>
      </c>
      <c r="E31" s="5">
        <f>'Rate Class Customer Model'!F6</f>
        <v>45.5</v>
      </c>
      <c r="F31" s="5">
        <f>'Rate Class Customer Model'!F7</f>
        <v>44</v>
      </c>
      <c r="G31" s="5">
        <f>'Rate Class Customer Model'!F8</f>
        <v>41.25</v>
      </c>
      <c r="H31" s="5">
        <f>'Rate Class Customer Model'!F9</f>
        <v>40</v>
      </c>
      <c r="I31" s="5">
        <f>'Rate Class Customer Model'!F10</f>
        <v>40</v>
      </c>
      <c r="J31" s="5">
        <f>'Rate Class Customer Model'!F11</f>
        <v>37.583333333333336</v>
      </c>
      <c r="K31" s="5">
        <f>'Rate Class Customer Model'!F12</f>
        <v>32.5</v>
      </c>
      <c r="L31" s="5">
        <f>'Rate Class Customer Model'!F13</f>
        <v>30.553165736059501</v>
      </c>
      <c r="M31" s="5">
        <f>'Rate Class Customer Model'!F14</f>
        <v>28.72295189215755</v>
      </c>
    </row>
    <row r="32" spans="1:14" x14ac:dyDescent="0.2">
      <c r="A32" t="s">
        <v>35</v>
      </c>
      <c r="B32" s="5">
        <f>'Rate Class Energy Model'!L3</f>
        <v>50003.862623739478</v>
      </c>
      <c r="C32" s="5">
        <f>'Rate Class Energy Model'!L4</f>
        <v>49108.439999999988</v>
      </c>
      <c r="D32" s="5">
        <f>'Rate Class Energy Model'!L5</f>
        <v>48745.789999999994</v>
      </c>
      <c r="E32" s="5">
        <f>'Rate Class Energy Model'!L6</f>
        <v>44233.600000000006</v>
      </c>
      <c r="F32" s="5">
        <f>'Rate Class Energy Model'!L7</f>
        <v>40821.300000000003</v>
      </c>
      <c r="G32" s="5">
        <f>'Rate Class Energy Model'!L8</f>
        <v>39113.5</v>
      </c>
      <c r="H32" s="5">
        <f>'Rate Class Energy Model'!L9</f>
        <v>37289</v>
      </c>
      <c r="I32" s="5">
        <f>'Rate Class Energy Model'!L10</f>
        <v>37046</v>
      </c>
      <c r="J32" s="5">
        <f>'Rate Class Energy Model'!L11</f>
        <v>34937</v>
      </c>
      <c r="K32" s="5">
        <f>'Rate Class Energy Model'!L12</f>
        <v>31176</v>
      </c>
      <c r="L32" s="5">
        <f>'Rate Class Energy Model'!L31</f>
        <v>29308.4767688428</v>
      </c>
      <c r="M32" s="5">
        <f>'Rate Class Energy Model'!L32</f>
        <v>27552.823021227807</v>
      </c>
    </row>
    <row r="33" spans="1:13" x14ac:dyDescent="0.2">
      <c r="A33" t="s">
        <v>36</v>
      </c>
      <c r="B33" s="5">
        <f>'Rate Class Load Model'!C2</f>
        <v>138.89961839927633</v>
      </c>
      <c r="C33" s="5">
        <f>'Rate Class Load Model'!C3</f>
        <v>136.41233333333329</v>
      </c>
      <c r="D33" s="5">
        <f>'Rate Class Load Model'!C4</f>
        <v>135.40497222222223</v>
      </c>
      <c r="E33" s="5">
        <f>'Rate Class Load Model'!C5</f>
        <v>122.87111111111111</v>
      </c>
      <c r="F33" s="5">
        <f>'Rate Class Load Model'!C6</f>
        <v>113.39249999999998</v>
      </c>
      <c r="G33" s="5">
        <f>'Rate Class Load Model'!C7</f>
        <v>108.64861111111111</v>
      </c>
      <c r="H33" s="5">
        <f>'Rate Class Load Model'!C8</f>
        <v>103.58055555555556</v>
      </c>
      <c r="I33" s="5">
        <f>'Rate Class Load Model'!C9</f>
        <v>102.90555555555558</v>
      </c>
      <c r="J33" s="5">
        <f>'Rate Class Load Model'!C10</f>
        <v>97.047222222222217</v>
      </c>
      <c r="K33" s="5">
        <f>'Rate Class Load Model'!C11</f>
        <v>86.600000000000009</v>
      </c>
      <c r="L33" s="5">
        <f>'Rate Class Load Model'!C12</f>
        <v>81.412435469007775</v>
      </c>
      <c r="M33" s="5">
        <f>'Rate Class Load Model'!C13</f>
        <v>76.535619503410558</v>
      </c>
    </row>
    <row r="35" spans="1:13" x14ac:dyDescent="0.2">
      <c r="A35" s="23" t="str">
        <f>'Rate Class Energy Model'!M2</f>
        <v>Street Lighting</v>
      </c>
      <c r="E35" s="1"/>
      <c r="F35" s="1"/>
      <c r="G35" s="1"/>
      <c r="H35" s="1"/>
    </row>
    <row r="36" spans="1:13" x14ac:dyDescent="0.2">
      <c r="A36" t="s">
        <v>37</v>
      </c>
      <c r="B36" s="5">
        <f>'Rate Class Customer Model'!G3</f>
        <v>2843.6666666666665</v>
      </c>
      <c r="C36" s="5">
        <f>'Rate Class Customer Model'!G4</f>
        <v>2766.0833333333335</v>
      </c>
      <c r="D36" s="5">
        <f>'Rate Class Customer Model'!G5</f>
        <v>2679.1666666666665</v>
      </c>
      <c r="E36" s="5">
        <f>'Rate Class Customer Model'!G6</f>
        <v>2848.3333333333335</v>
      </c>
      <c r="F36" s="5">
        <f>'Rate Class Customer Model'!G7</f>
        <v>2849</v>
      </c>
      <c r="G36" s="5">
        <f>'Rate Class Customer Model'!G8</f>
        <v>2849.1666666666665</v>
      </c>
      <c r="H36" s="5">
        <f>'Rate Class Customer Model'!G9</f>
        <v>2851</v>
      </c>
      <c r="I36" s="5">
        <f>'Rate Class Customer Model'!G10</f>
        <v>2851</v>
      </c>
      <c r="J36" s="5">
        <f>'Rate Class Customer Model'!G11</f>
        <v>2851</v>
      </c>
      <c r="K36" s="5">
        <f>'Rate Class Customer Model'!G12</f>
        <v>2851</v>
      </c>
      <c r="L36" s="5">
        <f>'Rate Class Customer Model'!G13</f>
        <v>2851.8159812955855</v>
      </c>
      <c r="M36" s="5">
        <f>'Rate Class Customer Model'!G14</f>
        <v>2852.6321961322005</v>
      </c>
    </row>
    <row r="37" spans="1:13" x14ac:dyDescent="0.2">
      <c r="A37" t="s">
        <v>35</v>
      </c>
      <c r="B37" s="5">
        <f>'Rate Class Energy Model'!M3</f>
        <v>2405634.7619215469</v>
      </c>
      <c r="C37" s="5">
        <f>'Rate Class Energy Model'!M4</f>
        <v>2029684.9000000004</v>
      </c>
      <c r="D37" s="5">
        <f>'Rate Class Energy Model'!M5</f>
        <v>1136285.4616429303</v>
      </c>
      <c r="E37" s="5">
        <f>'Rate Class Energy Model'!M6</f>
        <v>1154453.9984150699</v>
      </c>
      <c r="F37" s="5">
        <f>'Rate Class Energy Model'!M7</f>
        <v>1114031</v>
      </c>
      <c r="G37" s="5">
        <f>'Rate Class Energy Model'!M8</f>
        <v>1110958</v>
      </c>
      <c r="H37" s="5">
        <f>'Rate Class Energy Model'!M9</f>
        <v>1087215</v>
      </c>
      <c r="I37" s="5">
        <f>'Rate Class Energy Model'!M10</f>
        <v>1058917</v>
      </c>
      <c r="J37" s="5">
        <f>'Rate Class Energy Model'!M11</f>
        <v>1058924</v>
      </c>
      <c r="K37" s="5">
        <f>'Rate Class Energy Model'!M12</f>
        <v>1058927</v>
      </c>
      <c r="L37" s="5">
        <f>'Rate Class Energy Model'!M31</f>
        <v>1059230.0742284779</v>
      </c>
      <c r="M37" s="5">
        <f>'Rate Class Energy Model'!M32</f>
        <v>1059533.2351994677</v>
      </c>
    </row>
    <row r="38" spans="1:13" x14ac:dyDescent="0.2">
      <c r="A38" t="s">
        <v>36</v>
      </c>
      <c r="B38" s="5">
        <f>'Rate Class Load Model'!D2</f>
        <v>6610.2200000000012</v>
      </c>
      <c r="C38" s="5">
        <f>'Rate Class Load Model'!D3</f>
        <v>5922.15</v>
      </c>
      <c r="D38" s="5">
        <f>'Rate Class Load Model'!D4</f>
        <v>3094.04</v>
      </c>
      <c r="E38" s="5">
        <f>'Rate Class Load Model'!D5</f>
        <v>3196.5600000000009</v>
      </c>
      <c r="F38" s="5">
        <f>'Rate Class Load Model'!D6</f>
        <v>3087.5699999999993</v>
      </c>
      <c r="G38" s="5">
        <f>'Rate Class Load Model'!D7</f>
        <v>3074.1600000000003</v>
      </c>
      <c r="H38" s="5">
        <f>'Rate Class Load Model'!D8</f>
        <v>3080.420000000001</v>
      </c>
      <c r="I38" s="5">
        <f>'Rate Class Load Model'!D9</f>
        <v>3082.3200000000011</v>
      </c>
      <c r="J38" s="5">
        <f>'Rate Class Load Model'!D10</f>
        <v>3082.3200000000011</v>
      </c>
      <c r="K38" s="5">
        <f>'Rate Class Load Model'!D11</f>
        <v>3082.7400000000007</v>
      </c>
      <c r="L38" s="5">
        <f>'Rate Class Load Model'!D12</f>
        <v>2993.6169754839661</v>
      </c>
      <c r="M38" s="5">
        <f>'Rate Class Load Model'!D13</f>
        <v>2994.4737750133036</v>
      </c>
    </row>
    <row r="40" spans="1:13" x14ac:dyDescent="0.2">
      <c r="A40" s="23" t="s">
        <v>5</v>
      </c>
      <c r="C40" s="1"/>
      <c r="E40" s="1"/>
      <c r="H40" s="39"/>
    </row>
    <row r="41" spans="1:13" x14ac:dyDescent="0.2">
      <c r="A41" t="s">
        <v>39</v>
      </c>
      <c r="B41" s="5">
        <f>+B14+B18+B22+B27+B31+B36</f>
        <v>16197.166666666666</v>
      </c>
      <c r="C41" s="5">
        <f t="shared" ref="C41:M41" si="1">+C14+C18+C22+C27+C31+C36</f>
        <v>16180.583333333334</v>
      </c>
      <c r="D41" s="5">
        <f t="shared" si="1"/>
        <v>16147.916666666666</v>
      </c>
      <c r="E41" s="5">
        <f t="shared" si="1"/>
        <v>16395.916666666664</v>
      </c>
      <c r="F41" s="5">
        <f t="shared" si="1"/>
        <v>16529</v>
      </c>
      <c r="G41" s="5">
        <f t="shared" si="1"/>
        <v>16665.75</v>
      </c>
      <c r="H41" s="5">
        <f t="shared" si="1"/>
        <v>16804.166666666668</v>
      </c>
      <c r="I41" s="5">
        <f t="shared" si="1"/>
        <v>17003</v>
      </c>
      <c r="J41" s="5">
        <f t="shared" si="1"/>
        <v>17199</v>
      </c>
      <c r="K41" s="5">
        <f t="shared" si="1"/>
        <v>17408.583333333336</v>
      </c>
      <c r="L41" s="5">
        <f t="shared" si="1"/>
        <v>17552.341931251496</v>
      </c>
      <c r="M41" s="5">
        <f t="shared" si="1"/>
        <v>17697.949128188109</v>
      </c>
    </row>
    <row r="42" spans="1:13" x14ac:dyDescent="0.2">
      <c r="A42" t="s">
        <v>35</v>
      </c>
      <c r="B42" s="5">
        <f>+B15+B19+B23+B28+B32+B37</f>
        <v>297398397.24340039</v>
      </c>
      <c r="C42" s="5">
        <f t="shared" ref="C42:M42" si="2">+C15+C19+C23+C28+C32+C37</f>
        <v>288752254.73999995</v>
      </c>
      <c r="D42" s="5">
        <f t="shared" si="2"/>
        <v>280505070.49164295</v>
      </c>
      <c r="E42" s="5">
        <f t="shared" si="2"/>
        <v>279563881.0820545</v>
      </c>
      <c r="F42" s="5">
        <f t="shared" si="2"/>
        <v>289620570.18333334</v>
      </c>
      <c r="G42" s="5">
        <f t="shared" si="2"/>
        <v>289860628.5</v>
      </c>
      <c r="H42" s="5">
        <f t="shared" si="2"/>
        <v>286230671</v>
      </c>
      <c r="I42" s="5">
        <f t="shared" si="2"/>
        <v>290240292</v>
      </c>
      <c r="J42" s="5">
        <f t="shared" si="2"/>
        <v>303102277</v>
      </c>
      <c r="K42" s="5">
        <f t="shared" si="2"/>
        <v>296977680</v>
      </c>
      <c r="L42" s="5">
        <f t="shared" si="2"/>
        <v>297831185.09864163</v>
      </c>
      <c r="M42" s="5">
        <f t="shared" si="2"/>
        <v>298573459.45725441</v>
      </c>
    </row>
    <row r="43" spans="1:13" x14ac:dyDescent="0.2">
      <c r="A43" t="s">
        <v>38</v>
      </c>
      <c r="B43" s="5">
        <f>B24+B33+B38</f>
        <v>295009.81961839925</v>
      </c>
      <c r="C43" s="5">
        <f t="shared" ref="C43:M43" si="3">C24+C33+C38</f>
        <v>294140.92233333335</v>
      </c>
      <c r="D43" s="5">
        <f t="shared" si="3"/>
        <v>287025.87497222226</v>
      </c>
      <c r="E43" s="5">
        <f t="shared" si="3"/>
        <v>285090.53111111117</v>
      </c>
      <c r="F43" s="5">
        <f t="shared" si="3"/>
        <v>291225.26250000007</v>
      </c>
      <c r="G43" s="5">
        <f t="shared" si="3"/>
        <v>292706.82861111104</v>
      </c>
      <c r="H43" s="5">
        <f t="shared" si="3"/>
        <v>293946.6805555555</v>
      </c>
      <c r="I43" s="5">
        <f t="shared" si="3"/>
        <v>288617.23555555556</v>
      </c>
      <c r="J43" s="5">
        <f t="shared" si="3"/>
        <v>311420.17722222221</v>
      </c>
      <c r="K43" s="5">
        <f t="shared" si="3"/>
        <v>320130.19999999995</v>
      </c>
      <c r="L43" s="5">
        <f t="shared" si="3"/>
        <v>295154.03318408353</v>
      </c>
      <c r="M43" s="5">
        <f t="shared" si="3"/>
        <v>288374.73577837273</v>
      </c>
    </row>
    <row r="44" spans="1:13" x14ac:dyDescent="0.2">
      <c r="C44" s="39"/>
      <c r="D44" s="1"/>
      <c r="E44" s="1"/>
      <c r="F44" s="1"/>
    </row>
    <row r="45" spans="1:13" x14ac:dyDescent="0.2">
      <c r="A45" t="s">
        <v>39</v>
      </c>
      <c r="B45" s="5">
        <f>'Rate Class Customer Model'!H3</f>
        <v>16197.166666666666</v>
      </c>
      <c r="C45" s="5">
        <f>'Rate Class Customer Model'!H4</f>
        <v>16180.583333333334</v>
      </c>
      <c r="D45" s="5">
        <f>'Rate Class Customer Model'!H5</f>
        <v>16147.916666666666</v>
      </c>
      <c r="E45" s="5">
        <f>'Rate Class Customer Model'!H6</f>
        <v>16395.916666666664</v>
      </c>
      <c r="F45" s="5">
        <f>'Rate Class Customer Model'!H7</f>
        <v>16529</v>
      </c>
      <c r="G45" s="5">
        <f>'Rate Class Customer Model'!H8</f>
        <v>16665.75</v>
      </c>
      <c r="H45" s="5">
        <f>'Rate Class Customer Model'!H9</f>
        <v>16804.166666666668</v>
      </c>
      <c r="I45" s="5">
        <f>'Rate Class Customer Model'!H10</f>
        <v>17003</v>
      </c>
      <c r="J45" s="5">
        <f>'Rate Class Customer Model'!H11</f>
        <v>17199</v>
      </c>
      <c r="K45" s="5">
        <f>'Rate Class Customer Model'!H12</f>
        <v>17408.583333333336</v>
      </c>
      <c r="L45" s="5">
        <f>'Rate Class Customer Model'!H13</f>
        <v>17552.341931251496</v>
      </c>
      <c r="M45" s="5">
        <f>'Rate Class Customer Model'!H14</f>
        <v>17697.949128188109</v>
      </c>
    </row>
    <row r="46" spans="1:13" x14ac:dyDescent="0.2">
      <c r="A46" t="s">
        <v>35</v>
      </c>
      <c r="B46" s="5">
        <f>'Rate Class Energy Model'!G3</f>
        <v>297398397.24340039</v>
      </c>
      <c r="C46" s="5">
        <f>'Rate Class Energy Model'!G4</f>
        <v>288752254.73999995</v>
      </c>
      <c r="D46" s="5">
        <f>'Rate Class Energy Model'!G5</f>
        <v>280505070.49164295</v>
      </c>
      <c r="E46" s="5">
        <f>'Rate Class Energy Model'!G6</f>
        <v>279563881.0820545</v>
      </c>
      <c r="F46" s="5">
        <f>'Rate Class Energy Model'!G7</f>
        <v>289620570.18333334</v>
      </c>
      <c r="G46" s="5">
        <f>'Rate Class Energy Model'!G8</f>
        <v>289860628.5</v>
      </c>
      <c r="H46" s="5">
        <f>'Rate Class Energy Model'!G9</f>
        <v>286230671</v>
      </c>
      <c r="I46" s="5">
        <f>'Rate Class Energy Model'!G10</f>
        <v>290240292</v>
      </c>
      <c r="J46" s="5">
        <f>'Rate Class Energy Model'!G11</f>
        <v>303102277</v>
      </c>
      <c r="K46" s="5">
        <f>'Rate Class Energy Model'!G12</f>
        <v>296977680</v>
      </c>
      <c r="L46" s="5">
        <f>'Rate Class Energy Model'!G13</f>
        <v>297831185.09864157</v>
      </c>
      <c r="M46" s="5">
        <f>'Rate Class Energy Model'!G14</f>
        <v>298573459.45725441</v>
      </c>
    </row>
    <row r="47" spans="1:13" x14ac:dyDescent="0.2">
      <c r="A47" t="s">
        <v>38</v>
      </c>
      <c r="B47" s="5">
        <f>'Rate Class Load Model'!E2</f>
        <v>295009.81961839925</v>
      </c>
      <c r="C47" s="5">
        <f>'Rate Class Load Model'!E3</f>
        <v>294140.92233333335</v>
      </c>
      <c r="D47" s="5">
        <f>'Rate Class Load Model'!E4</f>
        <v>287025.87497222226</v>
      </c>
      <c r="E47" s="5">
        <f>'Rate Class Load Model'!E5</f>
        <v>285090.53111111117</v>
      </c>
      <c r="F47" s="5">
        <f>'Rate Class Load Model'!E6</f>
        <v>291225.26250000007</v>
      </c>
      <c r="G47" s="5">
        <f>'Rate Class Load Model'!E7</f>
        <v>292706.82861111104</v>
      </c>
      <c r="H47" s="5">
        <f>'Rate Class Load Model'!E8</f>
        <v>293946.6805555555</v>
      </c>
      <c r="I47" s="5">
        <f>'Rate Class Load Model'!E9</f>
        <v>288617.23555555556</v>
      </c>
      <c r="J47" s="5">
        <f>'Rate Class Load Model'!E10</f>
        <v>311420.17722222221</v>
      </c>
      <c r="K47" s="5">
        <f>'Rate Class Load Model'!E11</f>
        <v>320130.19999999995</v>
      </c>
      <c r="L47" s="5">
        <f>'Rate Class Load Model'!E12</f>
        <v>295154.03318408353</v>
      </c>
      <c r="M47" s="5">
        <f>'Rate Class Load Model'!E13</f>
        <v>288374.73577837273</v>
      </c>
    </row>
    <row r="49" spans="1:13" hidden="1" x14ac:dyDescent="0.2">
      <c r="A49" t="s">
        <v>39</v>
      </c>
      <c r="H49" s="5">
        <f>'Rate Class Load Model'!E12</f>
        <v>295154.03318408353</v>
      </c>
      <c r="I49" s="5" t="e">
        <f>#REF!</f>
        <v>#REF!</v>
      </c>
      <c r="J49" s="5"/>
      <c r="K49" s="5"/>
      <c r="L49" s="5" t="e">
        <f>#REF!</f>
        <v>#REF!</v>
      </c>
      <c r="M49" s="5" t="e">
        <f>#REF!</f>
        <v>#REF!</v>
      </c>
    </row>
    <row r="50" spans="1:13" hidden="1" x14ac:dyDescent="0.2">
      <c r="A50" t="s">
        <v>35</v>
      </c>
      <c r="H50" s="5">
        <f>'Rate Class Load Model'!E13</f>
        <v>288374.73577837273</v>
      </c>
      <c r="I50" s="5" t="e">
        <f>#REF!</f>
        <v>#REF!</v>
      </c>
      <c r="J50" s="5"/>
      <c r="K50" s="5"/>
      <c r="L50" s="5" t="e">
        <f>#REF!</f>
        <v>#REF!</v>
      </c>
      <c r="M50" s="5" t="e">
        <f>#REF!</f>
        <v>#REF!</v>
      </c>
    </row>
    <row r="51" spans="1:13" hidden="1" x14ac:dyDescent="0.2">
      <c r="A51" t="s">
        <v>38</v>
      </c>
      <c r="H51" s="5">
        <f>'Rate Class Load Model'!E14</f>
        <v>0</v>
      </c>
      <c r="I51" s="5" t="e">
        <f>#REF!</f>
        <v>#REF!</v>
      </c>
      <c r="J51" s="5"/>
      <c r="K51" s="5"/>
      <c r="L51" s="5" t="e">
        <f>#REF!</f>
        <v>#REF!</v>
      </c>
      <c r="M51" s="5" t="e">
        <f>#REF!</f>
        <v>#REF!</v>
      </c>
    </row>
    <row r="52" spans="1:13" hidden="1" x14ac:dyDescent="0.2">
      <c r="H52" s="5">
        <f>'Rate Class Load Model'!E15</f>
        <v>0</v>
      </c>
    </row>
    <row r="53" spans="1:13" hidden="1" x14ac:dyDescent="0.2">
      <c r="A53" t="s">
        <v>39</v>
      </c>
      <c r="H53" s="5">
        <f>'Rate Class Load Model'!E16</f>
        <v>0</v>
      </c>
      <c r="I53" s="5" t="e">
        <f>#REF!-I49</f>
        <v>#REF!</v>
      </c>
      <c r="J53" s="5"/>
      <c r="K53" s="5"/>
      <c r="L53" s="5" t="e">
        <f>#REF!-L49</f>
        <v>#REF!</v>
      </c>
      <c r="M53" s="5" t="e">
        <f>#REF!-M49</f>
        <v>#REF!</v>
      </c>
    </row>
    <row r="54" spans="1:13" hidden="1" x14ac:dyDescent="0.2">
      <c r="A54" t="s">
        <v>35</v>
      </c>
      <c r="H54" s="5">
        <f>'Rate Class Load Model'!E17</f>
        <v>0</v>
      </c>
      <c r="I54" s="5" t="e">
        <f>#REF!-I50</f>
        <v>#REF!</v>
      </c>
      <c r="J54" s="5"/>
      <c r="K54" s="5"/>
      <c r="L54" s="5" t="e">
        <f>#REF!-L50</f>
        <v>#REF!</v>
      </c>
      <c r="M54" s="5" t="e">
        <f>#REF!-M50</f>
        <v>#REF!</v>
      </c>
    </row>
    <row r="55" spans="1:13" hidden="1" x14ac:dyDescent="0.2">
      <c r="A55" t="s">
        <v>38</v>
      </c>
      <c r="H55" s="5">
        <f>'Rate Class Load Model'!E18</f>
        <v>0</v>
      </c>
      <c r="I55" s="5" t="e">
        <f>#REF!-I51</f>
        <v>#REF!</v>
      </c>
      <c r="J55" s="5"/>
      <c r="K55" s="5"/>
      <c r="L55" s="5" t="e">
        <f>#REF!-L51</f>
        <v>#REF!</v>
      </c>
      <c r="M55" s="5" t="e">
        <f>#REF!-M51</f>
        <v>#REF!</v>
      </c>
    </row>
    <row r="56" spans="1:13" hidden="1" x14ac:dyDescent="0.2">
      <c r="H56" s="5">
        <f>'Rate Class Load Model'!E19</f>
        <v>0</v>
      </c>
    </row>
    <row r="57" spans="1:13" x14ac:dyDescent="0.2">
      <c r="A57" s="38" t="s">
        <v>10</v>
      </c>
      <c r="H57" s="5"/>
    </row>
    <row r="58" spans="1:13" x14ac:dyDescent="0.2">
      <c r="A58" t="s">
        <v>39</v>
      </c>
      <c r="B58" s="5">
        <f t="shared" ref="B58:M58" si="4">B41-B45</f>
        <v>0</v>
      </c>
      <c r="C58" s="5">
        <f t="shared" si="4"/>
        <v>0</v>
      </c>
      <c r="D58" s="5">
        <f t="shared" si="4"/>
        <v>0</v>
      </c>
      <c r="E58" s="5">
        <f t="shared" si="4"/>
        <v>0</v>
      </c>
      <c r="F58" s="5">
        <f t="shared" si="4"/>
        <v>0</v>
      </c>
      <c r="G58" s="5">
        <f t="shared" si="4"/>
        <v>0</v>
      </c>
      <c r="H58" s="5">
        <f t="shared" si="4"/>
        <v>0</v>
      </c>
      <c r="I58" s="5">
        <f t="shared" si="4"/>
        <v>0</v>
      </c>
      <c r="J58" s="5">
        <f t="shared" ref="J58:K60" si="5">J41-J45</f>
        <v>0</v>
      </c>
      <c r="K58" s="5">
        <f t="shared" si="5"/>
        <v>0</v>
      </c>
      <c r="L58" s="5">
        <f t="shared" si="4"/>
        <v>0</v>
      </c>
      <c r="M58" s="5">
        <f t="shared" si="4"/>
        <v>0</v>
      </c>
    </row>
    <row r="59" spans="1:13" x14ac:dyDescent="0.2">
      <c r="A59" t="s">
        <v>35</v>
      </c>
      <c r="B59" s="5">
        <f>B42-B46</f>
        <v>0</v>
      </c>
      <c r="C59" s="5">
        <f t="shared" ref="C59:M59" si="6">C42-C46</f>
        <v>0</v>
      </c>
      <c r="D59" s="5">
        <f t="shared" si="6"/>
        <v>0</v>
      </c>
      <c r="E59" s="5">
        <f t="shared" si="6"/>
        <v>0</v>
      </c>
      <c r="F59" s="5">
        <f t="shared" si="6"/>
        <v>0</v>
      </c>
      <c r="G59" s="5">
        <f t="shared" si="6"/>
        <v>0</v>
      </c>
      <c r="H59" s="5">
        <f t="shared" si="6"/>
        <v>0</v>
      </c>
      <c r="I59" s="5">
        <f t="shared" si="6"/>
        <v>0</v>
      </c>
      <c r="J59" s="5">
        <f t="shared" si="5"/>
        <v>0</v>
      </c>
      <c r="K59" s="5">
        <f t="shared" si="5"/>
        <v>0</v>
      </c>
      <c r="L59" s="5">
        <f t="shared" si="6"/>
        <v>0</v>
      </c>
      <c r="M59" s="5">
        <f t="shared" si="6"/>
        <v>0</v>
      </c>
    </row>
    <row r="60" spans="1:13" x14ac:dyDescent="0.2">
      <c r="A60" t="s">
        <v>38</v>
      </c>
      <c r="B60" s="5">
        <f t="shared" ref="B60:M60" si="7">B43-B47</f>
        <v>0</v>
      </c>
      <c r="C60" s="5">
        <f t="shared" si="7"/>
        <v>0</v>
      </c>
      <c r="D60" s="5">
        <f t="shared" si="7"/>
        <v>0</v>
      </c>
      <c r="E60" s="5">
        <f t="shared" si="7"/>
        <v>0</v>
      </c>
      <c r="F60" s="5">
        <f t="shared" si="7"/>
        <v>0</v>
      </c>
      <c r="G60" s="5">
        <f t="shared" si="7"/>
        <v>0</v>
      </c>
      <c r="H60" s="5">
        <f t="shared" si="7"/>
        <v>0</v>
      </c>
      <c r="I60" s="5">
        <f t="shared" si="7"/>
        <v>0</v>
      </c>
      <c r="J60" s="5">
        <f t="shared" si="5"/>
        <v>0</v>
      </c>
      <c r="K60" s="5">
        <f t="shared" si="5"/>
        <v>0</v>
      </c>
      <c r="L60" s="5">
        <f t="shared" si="7"/>
        <v>0</v>
      </c>
      <c r="M60" s="5">
        <f t="shared" si="7"/>
        <v>0</v>
      </c>
    </row>
    <row r="62" spans="1:13" ht="13.5" thickBot="1" x14ac:dyDescent="0.25">
      <c r="H62" s="31">
        <f>H15+H19+H23</f>
        <v>284932599</v>
      </c>
      <c r="I62" s="31">
        <f t="shared" ref="I62:M62" si="8">I15+I19+I23</f>
        <v>288965967</v>
      </c>
      <c r="J62" s="31">
        <f t="shared" si="8"/>
        <v>301836072</v>
      </c>
      <c r="K62" s="31">
        <f t="shared" si="8"/>
        <v>295717792</v>
      </c>
      <c r="L62" s="31">
        <f t="shared" si="8"/>
        <v>296570091.80541295</v>
      </c>
      <c r="M62" s="31">
        <f t="shared" si="8"/>
        <v>297311003.73112118</v>
      </c>
    </row>
    <row r="63" spans="1:13" ht="12.4" customHeight="1" x14ac:dyDescent="0.2">
      <c r="H63" s="157" t="s">
        <v>124</v>
      </c>
      <c r="I63" s="158"/>
      <c r="J63" s="159"/>
    </row>
    <row r="64" spans="1:13" ht="13.5" thickBot="1" x14ac:dyDescent="0.25">
      <c r="H64" s="160"/>
      <c r="I64" s="161"/>
      <c r="J64" s="162"/>
    </row>
    <row r="65" spans="3:13" x14ac:dyDescent="0.2">
      <c r="H65" s="31"/>
    </row>
    <row r="66" spans="3:13" x14ac:dyDescent="0.2">
      <c r="C66" s="31"/>
      <c r="H66" s="31"/>
      <c r="I66" s="31"/>
      <c r="J66" s="31"/>
      <c r="K66" s="31"/>
      <c r="L66" s="31"/>
      <c r="M66" s="31"/>
    </row>
  </sheetData>
  <mergeCells count="1">
    <mergeCell ref="H63:J64"/>
  </mergeCells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  <pageSetUpPr fitToPage="1"/>
  </sheetPr>
  <dimension ref="A1:AD196"/>
  <sheetViews>
    <sheetView zoomScale="78" zoomScaleNormal="78" workbookViewId="0">
      <pane xSplit="1" ySplit="2" topLeftCell="B135" activePane="bottomRight" state="frozen"/>
      <selection pane="topRight" activeCell="C1" sqref="C1"/>
      <selection pane="bottomLeft" activeCell="A3" sqref="A3"/>
      <selection pane="bottomRight" activeCell="M163" sqref="M163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6" width="14.5703125" style="1" bestFit="1" customWidth="1"/>
    <col min="7" max="8" width="13" style="1" customWidth="1"/>
    <col min="9" max="9" width="15.5703125" style="1" bestFit="1" customWidth="1"/>
    <col min="10" max="10" width="16" style="1" customWidth="1"/>
    <col min="11" max="12" width="8.42578125" style="1" customWidth="1"/>
    <col min="13" max="13" width="21.140625" style="1" customWidth="1"/>
    <col min="14" max="14" width="18" style="1" customWidth="1"/>
    <col min="15" max="15" width="21.140625" style="1" customWidth="1"/>
    <col min="16" max="16" width="4.85546875" style="1" customWidth="1"/>
    <col min="17" max="17" width="44.42578125" customWidth="1"/>
    <col min="18" max="18" width="20.42578125" customWidth="1"/>
    <col min="19" max="25" width="12.5703125" customWidth="1"/>
    <col min="26" max="26" width="42.42578125" bestFit="1" customWidth="1"/>
    <col min="27" max="27" width="15.5703125" bestFit="1" customWidth="1"/>
    <col min="28" max="28" width="26.140625" bestFit="1" customWidth="1"/>
    <col min="29" max="29" width="23" bestFit="1" customWidth="1"/>
    <col min="32" max="32" width="40.5703125" bestFit="1" customWidth="1"/>
    <col min="33" max="33" width="42.85546875" bestFit="1" customWidth="1"/>
  </cols>
  <sheetData>
    <row r="1" spans="1:30" x14ac:dyDescent="0.2">
      <c r="Z1" s="109" t="s">
        <v>59</v>
      </c>
      <c r="AA1" s="109"/>
      <c r="AB1" s="109"/>
      <c r="AC1" s="109"/>
      <c r="AD1" s="109"/>
    </row>
    <row r="2" spans="1:30" ht="38.25" x14ac:dyDescent="0.2">
      <c r="A2" s="104" t="s">
        <v>69</v>
      </c>
      <c r="B2" s="105" t="s">
        <v>50</v>
      </c>
      <c r="C2" s="106" t="s">
        <v>115</v>
      </c>
      <c r="D2" s="106" t="s">
        <v>92</v>
      </c>
      <c r="E2" s="107" t="s">
        <v>11</v>
      </c>
      <c r="F2" s="131" t="s">
        <v>114</v>
      </c>
      <c r="G2" s="131" t="s">
        <v>111</v>
      </c>
      <c r="H2" s="140" t="s">
        <v>127</v>
      </c>
      <c r="I2" s="106" t="s">
        <v>6</v>
      </c>
      <c r="J2" s="108" t="s">
        <v>116</v>
      </c>
      <c r="K2" s="106" t="s">
        <v>117</v>
      </c>
      <c r="L2" s="106" t="s">
        <v>118</v>
      </c>
      <c r="M2" s="127" t="s">
        <v>119</v>
      </c>
      <c r="N2" s="127" t="s">
        <v>120</v>
      </c>
      <c r="O2" s="127" t="s">
        <v>121</v>
      </c>
      <c r="P2"/>
      <c r="Q2" t="s">
        <v>12</v>
      </c>
      <c r="Z2" s="109" t="s">
        <v>60</v>
      </c>
      <c r="AA2" s="109"/>
      <c r="AB2" s="109"/>
      <c r="AC2" s="109"/>
      <c r="AD2" s="109"/>
    </row>
    <row r="3" spans="1:30" ht="13.5" thickBot="1" x14ac:dyDescent="0.25">
      <c r="A3" s="43">
        <v>41670</v>
      </c>
      <c r="B3" s="44">
        <f>Inputs!D24</f>
        <v>35005917</v>
      </c>
      <c r="C3" s="44">
        <v>951.70000000000016</v>
      </c>
      <c r="D3" s="44">
        <v>31</v>
      </c>
      <c r="E3" s="110">
        <v>0</v>
      </c>
      <c r="F3" s="132">
        <v>0</v>
      </c>
      <c r="G3" s="132">
        <v>1</v>
      </c>
      <c r="H3" s="141">
        <v>0</v>
      </c>
      <c r="I3" s="44">
        <f>$R$18+$R$19*C3+$R$20*D3+$R$21*E3+$R$22*F3+$R$23*G3+$R$24*H3</f>
        <v>32387160.779156901</v>
      </c>
      <c r="J3" s="27">
        <f t="shared" ref="J3:J34" si="0">I3-B3</f>
        <v>-2618756.2208430991</v>
      </c>
      <c r="K3" s="36">
        <f t="shared" ref="K3:K34" si="1">J3/B3</f>
        <v>-7.4808959320879928E-2</v>
      </c>
      <c r="L3" s="10">
        <f>ABS(K3)</f>
        <v>7.4808959320879928E-2</v>
      </c>
      <c r="M3" s="133">
        <f>J3*J3</f>
        <v>6857884144204.4307</v>
      </c>
      <c r="N3" s="10"/>
      <c r="O3" s="10"/>
      <c r="P3" s="10"/>
      <c r="Z3" s="109" t="s">
        <v>61</v>
      </c>
      <c r="AA3" s="109"/>
      <c r="AB3" s="109"/>
      <c r="AC3" s="109"/>
      <c r="AD3" s="109"/>
    </row>
    <row r="4" spans="1:30" x14ac:dyDescent="0.2">
      <c r="A4" s="43">
        <v>41698</v>
      </c>
      <c r="B4" s="44">
        <f>Inputs!D25</f>
        <v>30863808</v>
      </c>
      <c r="C4" s="44">
        <v>855.49999999999989</v>
      </c>
      <c r="D4" s="44">
        <v>28</v>
      </c>
      <c r="E4" s="110">
        <v>0</v>
      </c>
      <c r="F4" s="132">
        <v>0</v>
      </c>
      <c r="G4" s="132">
        <v>2</v>
      </c>
      <c r="H4" s="141">
        <v>0</v>
      </c>
      <c r="I4" s="44">
        <f t="shared" ref="I4:I67" si="2">$R$18+$R$19*C4+$R$20*D4+$R$21*E4+$R$22*F4+$R$23*G4+$R$24*H4</f>
        <v>29623301.958762966</v>
      </c>
      <c r="J4" s="27">
        <f t="shared" si="0"/>
        <v>-1240506.0412370339</v>
      </c>
      <c r="K4" s="36">
        <f t="shared" si="1"/>
        <v>-4.0192903002670116E-2</v>
      </c>
      <c r="L4" s="10">
        <f t="shared" ref="L4:L66" si="3">ABS(K4)</f>
        <v>4.0192903002670116E-2</v>
      </c>
      <c r="M4" s="133">
        <f t="shared" ref="M4:M67" si="4">J4*J4</f>
        <v>1538855238345.5776</v>
      </c>
      <c r="N4" s="133">
        <f>J4-J3</f>
        <v>1378250.1796060652</v>
      </c>
      <c r="O4" s="133">
        <f>N4*N4</f>
        <v>1899573557584.1509</v>
      </c>
      <c r="P4" s="10"/>
      <c r="Q4" s="145" t="s">
        <v>13</v>
      </c>
      <c r="R4" s="145"/>
      <c r="Z4" s="109"/>
      <c r="AA4" s="109"/>
      <c r="AB4" s="109"/>
      <c r="AC4" s="109"/>
      <c r="AD4" s="109"/>
    </row>
    <row r="5" spans="1:30" x14ac:dyDescent="0.2">
      <c r="A5" s="43">
        <v>41729</v>
      </c>
      <c r="B5" s="44">
        <f>Inputs!D26</f>
        <v>32142987</v>
      </c>
      <c r="C5" s="44">
        <v>818.1999999999997</v>
      </c>
      <c r="D5" s="44">
        <v>31</v>
      </c>
      <c r="E5" s="110">
        <v>1</v>
      </c>
      <c r="F5" s="132">
        <v>0</v>
      </c>
      <c r="G5" s="132">
        <v>3</v>
      </c>
      <c r="H5" s="141">
        <v>0</v>
      </c>
      <c r="I5" s="44">
        <f t="shared" si="2"/>
        <v>29776495.02456364</v>
      </c>
      <c r="J5" s="27">
        <f t="shared" si="0"/>
        <v>-2366491.9754363596</v>
      </c>
      <c r="K5" s="36">
        <f t="shared" si="1"/>
        <v>-7.3623897350808112E-2</v>
      </c>
      <c r="L5" s="10">
        <f t="shared" si="3"/>
        <v>7.3623897350808112E-2</v>
      </c>
      <c r="M5" s="133">
        <f t="shared" si="4"/>
        <v>5600284269804.6836</v>
      </c>
      <c r="N5" s="133">
        <f t="shared" ref="N5:N68" si="5">J5-J4</f>
        <v>-1125985.9341993257</v>
      </c>
      <c r="O5" s="133">
        <f t="shared" ref="O5:O68" si="6">N5*N5</f>
        <v>1267844324014.7283</v>
      </c>
      <c r="P5" s="10"/>
      <c r="Q5" t="s">
        <v>14</v>
      </c>
      <c r="R5" s="40">
        <v>0.95715867503466312</v>
      </c>
      <c r="Z5" s="109" t="s">
        <v>58</v>
      </c>
      <c r="AA5" s="109"/>
      <c r="AB5" s="109"/>
      <c r="AC5" s="109"/>
      <c r="AD5" s="109"/>
    </row>
    <row r="6" spans="1:30" x14ac:dyDescent="0.2">
      <c r="A6" s="43">
        <v>41759</v>
      </c>
      <c r="B6" s="44">
        <f>Inputs!D27</f>
        <v>25688722</v>
      </c>
      <c r="C6" s="44">
        <v>448.19999999999993</v>
      </c>
      <c r="D6" s="44">
        <v>30</v>
      </c>
      <c r="E6" s="110">
        <v>1</v>
      </c>
      <c r="F6" s="132">
        <v>0</v>
      </c>
      <c r="G6" s="132">
        <v>4</v>
      </c>
      <c r="H6" s="141">
        <v>0</v>
      </c>
      <c r="I6" s="44">
        <f t="shared" si="2"/>
        <v>24721616.573642444</v>
      </c>
      <c r="J6" s="27">
        <f t="shared" si="0"/>
        <v>-967105.42635755613</v>
      </c>
      <c r="K6" s="36">
        <f t="shared" si="1"/>
        <v>-3.7647082106986723E-2</v>
      </c>
      <c r="L6" s="10">
        <f t="shared" si="3"/>
        <v>3.7647082106986723E-2</v>
      </c>
      <c r="M6" s="133">
        <f t="shared" si="4"/>
        <v>935292905690.23047</v>
      </c>
      <c r="N6" s="133">
        <f t="shared" si="5"/>
        <v>1399386.5490788035</v>
      </c>
      <c r="O6" s="133">
        <f t="shared" si="6"/>
        <v>1958282713742.6826</v>
      </c>
      <c r="P6" s="10"/>
      <c r="Q6" t="s">
        <v>15</v>
      </c>
      <c r="R6" s="40">
        <v>0.91615272919411184</v>
      </c>
      <c r="Z6" s="109" t="s">
        <v>62</v>
      </c>
      <c r="AA6" s="109"/>
      <c r="AB6" s="109"/>
      <c r="AC6" s="109"/>
      <c r="AD6" s="109"/>
    </row>
    <row r="7" spans="1:30" x14ac:dyDescent="0.2">
      <c r="A7" s="43">
        <v>41790</v>
      </c>
      <c r="B7" s="44">
        <f>Inputs!D28</f>
        <v>22896808</v>
      </c>
      <c r="C7" s="44">
        <v>207.99999999999994</v>
      </c>
      <c r="D7" s="44">
        <v>31</v>
      </c>
      <c r="E7" s="110">
        <v>1</v>
      </c>
      <c r="F7" s="132">
        <v>0</v>
      </c>
      <c r="G7" s="132">
        <v>5</v>
      </c>
      <c r="H7" s="141">
        <v>0</v>
      </c>
      <c r="I7" s="44">
        <f t="shared" si="2"/>
        <v>22319865.208935473</v>
      </c>
      <c r="J7" s="27">
        <f t="shared" si="0"/>
        <v>-576942.79106452689</v>
      </c>
      <c r="K7" s="36">
        <f t="shared" si="1"/>
        <v>-2.519752059171422E-2</v>
      </c>
      <c r="L7" s="10">
        <f t="shared" si="3"/>
        <v>2.519752059171422E-2</v>
      </c>
      <c r="M7" s="133">
        <f t="shared" si="4"/>
        <v>332862984161.32629</v>
      </c>
      <c r="N7" s="133">
        <f t="shared" si="5"/>
        <v>390162.63529302925</v>
      </c>
      <c r="O7" s="133">
        <f t="shared" si="6"/>
        <v>152226881978.80136</v>
      </c>
      <c r="P7" s="10"/>
      <c r="Q7" t="s">
        <v>16</v>
      </c>
      <c r="R7" s="40">
        <v>0.91170066171769304</v>
      </c>
      <c r="Z7" s="109"/>
      <c r="AA7" s="109"/>
      <c r="AB7" s="109"/>
      <c r="AC7" s="109"/>
      <c r="AD7" s="109"/>
    </row>
    <row r="8" spans="1:30" x14ac:dyDescent="0.2">
      <c r="A8" s="43">
        <v>41820</v>
      </c>
      <c r="B8" s="44">
        <f>Inputs!D29</f>
        <v>22467129</v>
      </c>
      <c r="C8" s="44">
        <v>42.2</v>
      </c>
      <c r="D8" s="44">
        <v>30</v>
      </c>
      <c r="E8" s="110">
        <v>0</v>
      </c>
      <c r="F8" s="132">
        <v>0</v>
      </c>
      <c r="G8" s="132">
        <v>6</v>
      </c>
      <c r="H8" s="141">
        <v>0</v>
      </c>
      <c r="I8" s="44">
        <f t="shared" si="2"/>
        <v>20760126.511224378</v>
      </c>
      <c r="J8" s="27">
        <f t="shared" si="0"/>
        <v>-1707002.4887756221</v>
      </c>
      <c r="K8" s="36">
        <f t="shared" si="1"/>
        <v>-7.5977775744093604E-2</v>
      </c>
      <c r="L8" s="10">
        <f t="shared" si="3"/>
        <v>7.5977775744093604E-2</v>
      </c>
      <c r="M8" s="133">
        <f t="shared" si="4"/>
        <v>2913857496686.168</v>
      </c>
      <c r="N8" s="133">
        <f t="shared" si="5"/>
        <v>-1130059.6977110952</v>
      </c>
      <c r="O8" s="133">
        <f t="shared" si="6"/>
        <v>1277034920390.8918</v>
      </c>
      <c r="P8" s="10"/>
      <c r="Q8" t="s">
        <v>17</v>
      </c>
      <c r="R8">
        <v>980740.08984245488</v>
      </c>
      <c r="Z8" s="109"/>
      <c r="AA8" s="109"/>
      <c r="AB8" s="109"/>
      <c r="AC8" s="109"/>
      <c r="AD8" s="109"/>
    </row>
    <row r="9" spans="1:30" ht="13.5" thickBot="1" x14ac:dyDescent="0.25">
      <c r="A9" s="43">
        <v>41851</v>
      </c>
      <c r="B9" s="44">
        <f>Inputs!D30</f>
        <v>23174494</v>
      </c>
      <c r="C9" s="44">
        <v>48.1</v>
      </c>
      <c r="D9" s="44">
        <v>31</v>
      </c>
      <c r="E9" s="110">
        <v>0</v>
      </c>
      <c r="F9" s="132">
        <v>1</v>
      </c>
      <c r="G9" s="132">
        <v>7</v>
      </c>
      <c r="H9" s="141">
        <v>0</v>
      </c>
      <c r="I9" s="44">
        <f t="shared" si="2"/>
        <v>24302711.801831678</v>
      </c>
      <c r="J9" s="27">
        <f t="shared" si="0"/>
        <v>1128217.8018316776</v>
      </c>
      <c r="K9" s="36">
        <f t="shared" si="1"/>
        <v>4.8683600247396021E-2</v>
      </c>
      <c r="L9" s="10">
        <f t="shared" si="3"/>
        <v>4.8683600247396021E-2</v>
      </c>
      <c r="M9" s="133">
        <f t="shared" si="4"/>
        <v>1272875408369.9023</v>
      </c>
      <c r="N9" s="133">
        <f t="shared" si="5"/>
        <v>2835220.2906072997</v>
      </c>
      <c r="O9" s="133">
        <f t="shared" si="6"/>
        <v>8038474096271.3408</v>
      </c>
      <c r="P9" s="10"/>
      <c r="Q9" s="143" t="s">
        <v>18</v>
      </c>
      <c r="R9" s="143">
        <v>120</v>
      </c>
      <c r="Z9" s="109"/>
      <c r="AA9" s="109"/>
      <c r="AB9" s="109"/>
      <c r="AC9" s="109"/>
      <c r="AD9" s="109"/>
    </row>
    <row r="10" spans="1:30" x14ac:dyDescent="0.2">
      <c r="A10" s="43">
        <v>41882</v>
      </c>
      <c r="B10" s="44">
        <f>Inputs!D31</f>
        <v>23391322</v>
      </c>
      <c r="C10" s="44">
        <v>55.7</v>
      </c>
      <c r="D10" s="44">
        <v>31</v>
      </c>
      <c r="E10" s="110">
        <v>0</v>
      </c>
      <c r="F10" s="132">
        <v>1</v>
      </c>
      <c r="G10" s="132">
        <v>8</v>
      </c>
      <c r="H10" s="141">
        <v>0</v>
      </c>
      <c r="I10" s="44">
        <f t="shared" si="2"/>
        <v>24405008.089074749</v>
      </c>
      <c r="J10" s="27">
        <f t="shared" si="0"/>
        <v>1013686.0890747495</v>
      </c>
      <c r="K10" s="36">
        <f t="shared" si="1"/>
        <v>4.333598969202123E-2</v>
      </c>
      <c r="L10" s="10">
        <f t="shared" si="3"/>
        <v>4.333598969202123E-2</v>
      </c>
      <c r="M10" s="133">
        <f t="shared" si="4"/>
        <v>1027559487183.661</v>
      </c>
      <c r="N10" s="133">
        <f t="shared" si="5"/>
        <v>-114531.71275692806</v>
      </c>
      <c r="O10" s="133">
        <f t="shared" si="6"/>
        <v>13117513227.035477</v>
      </c>
      <c r="P10" s="10"/>
      <c r="Z10" s="109"/>
      <c r="AA10" s="109"/>
      <c r="AB10" s="109"/>
      <c r="AC10" s="109"/>
      <c r="AD10" s="109"/>
    </row>
    <row r="11" spans="1:30" ht="13.5" thickBot="1" x14ac:dyDescent="0.25">
      <c r="A11" s="43">
        <v>41912</v>
      </c>
      <c r="B11" s="44">
        <f>Inputs!D32</f>
        <v>22126761</v>
      </c>
      <c r="C11" s="44">
        <v>160.1</v>
      </c>
      <c r="D11" s="44">
        <v>30</v>
      </c>
      <c r="E11" s="110">
        <v>0</v>
      </c>
      <c r="F11" s="132">
        <v>0</v>
      </c>
      <c r="G11" s="132">
        <v>9</v>
      </c>
      <c r="H11" s="141">
        <v>0</v>
      </c>
      <c r="I11" s="44">
        <f t="shared" si="2"/>
        <v>22232001.380788364</v>
      </c>
      <c r="J11" s="27">
        <f t="shared" si="0"/>
        <v>105240.38078836352</v>
      </c>
      <c r="K11" s="36">
        <f t="shared" si="1"/>
        <v>4.7562488151050896E-3</v>
      </c>
      <c r="L11" s="10">
        <f t="shared" si="3"/>
        <v>4.7562488151050896E-3</v>
      </c>
      <c r="M11" s="133">
        <f t="shared" si="4"/>
        <v>11075537748.479753</v>
      </c>
      <c r="N11" s="133">
        <f t="shared" si="5"/>
        <v>-908445.70828638598</v>
      </c>
      <c r="O11" s="133">
        <f t="shared" si="6"/>
        <v>825273604903.95349</v>
      </c>
      <c r="P11" s="10"/>
      <c r="Q11" t="s">
        <v>19</v>
      </c>
    </row>
    <row r="12" spans="1:30" x14ac:dyDescent="0.2">
      <c r="A12" s="43">
        <v>41943</v>
      </c>
      <c r="B12" s="44">
        <f>Inputs!D33</f>
        <v>23838442</v>
      </c>
      <c r="C12" s="44">
        <v>313.89999999999998</v>
      </c>
      <c r="D12" s="44">
        <v>31</v>
      </c>
      <c r="E12" s="110">
        <v>1</v>
      </c>
      <c r="F12" s="132">
        <v>0</v>
      </c>
      <c r="G12" s="132">
        <v>10</v>
      </c>
      <c r="H12" s="141">
        <v>0</v>
      </c>
      <c r="I12" s="44">
        <f t="shared" si="2"/>
        <v>23663129.504582807</v>
      </c>
      <c r="J12" s="27">
        <f t="shared" si="0"/>
        <v>-175312.49541719258</v>
      </c>
      <c r="K12" s="36">
        <f t="shared" si="1"/>
        <v>-7.3541926698562172E-3</v>
      </c>
      <c r="L12" s="10">
        <f t="shared" si="3"/>
        <v>7.3541926698562172E-3</v>
      </c>
      <c r="M12" s="133">
        <f t="shared" si="4"/>
        <v>30734471049.403168</v>
      </c>
      <c r="N12" s="133">
        <f t="shared" si="5"/>
        <v>-280552.87620555609</v>
      </c>
      <c r="O12" s="133">
        <f t="shared" si="6"/>
        <v>78709916347.210083</v>
      </c>
      <c r="P12" s="10"/>
      <c r="Q12" s="144"/>
      <c r="R12" s="144" t="s">
        <v>23</v>
      </c>
      <c r="S12" s="144" t="s">
        <v>24</v>
      </c>
      <c r="T12" s="144" t="s">
        <v>25</v>
      </c>
      <c r="U12" s="144" t="s">
        <v>26</v>
      </c>
      <c r="V12" s="144" t="s">
        <v>27</v>
      </c>
    </row>
    <row r="13" spans="1:30" x14ac:dyDescent="0.2">
      <c r="A13" s="43">
        <v>41973</v>
      </c>
      <c r="B13" s="44">
        <f>Inputs!D34</f>
        <v>27733031</v>
      </c>
      <c r="C13" s="44">
        <v>541.09999999999991</v>
      </c>
      <c r="D13" s="44">
        <v>30</v>
      </c>
      <c r="E13" s="110">
        <v>1</v>
      </c>
      <c r="F13" s="132">
        <v>0</v>
      </c>
      <c r="G13" s="132">
        <v>11</v>
      </c>
      <c r="H13" s="141">
        <v>0</v>
      </c>
      <c r="I13" s="44">
        <f t="shared" si="2"/>
        <v>25924020.179623015</v>
      </c>
      <c r="J13" s="27">
        <f t="shared" si="0"/>
        <v>-1809010.8203769848</v>
      </c>
      <c r="K13" s="36">
        <f t="shared" si="1"/>
        <v>-6.5229466637706665E-2</v>
      </c>
      <c r="L13" s="10">
        <f t="shared" si="3"/>
        <v>6.5229466637706665E-2</v>
      </c>
      <c r="M13" s="133">
        <f t="shared" si="4"/>
        <v>3272520148241.0112</v>
      </c>
      <c r="N13" s="133">
        <f t="shared" si="5"/>
        <v>-1633698.3249597922</v>
      </c>
      <c r="O13" s="133">
        <f t="shared" si="6"/>
        <v>2668970216976.4307</v>
      </c>
      <c r="P13" s="10"/>
      <c r="Q13" t="s">
        <v>20</v>
      </c>
      <c r="R13">
        <v>6</v>
      </c>
      <c r="S13">
        <v>1187586491225565</v>
      </c>
      <c r="T13">
        <v>197931081870927.5</v>
      </c>
      <c r="U13">
        <v>205.78141145584047</v>
      </c>
      <c r="V13">
        <v>2.129298496480866E-58</v>
      </c>
    </row>
    <row r="14" spans="1:30" x14ac:dyDescent="0.2">
      <c r="A14" s="43">
        <v>42004</v>
      </c>
      <c r="B14" s="44">
        <f>Inputs!D35</f>
        <v>29820236</v>
      </c>
      <c r="C14" s="44">
        <v>677.1</v>
      </c>
      <c r="D14" s="44">
        <v>31</v>
      </c>
      <c r="E14" s="110">
        <v>0</v>
      </c>
      <c r="F14" s="132">
        <v>0</v>
      </c>
      <c r="G14" s="132">
        <v>12</v>
      </c>
      <c r="H14" s="141">
        <v>0</v>
      </c>
      <c r="I14" s="44">
        <f t="shared" si="2"/>
        <v>29124428.477143835</v>
      </c>
      <c r="J14" s="27">
        <f t="shared" si="0"/>
        <v>-695807.52285616472</v>
      </c>
      <c r="K14" s="36">
        <f t="shared" si="1"/>
        <v>-2.3333400944786781E-2</v>
      </c>
      <c r="L14" s="10">
        <f t="shared" si="3"/>
        <v>2.3333400944786781E-2</v>
      </c>
      <c r="M14" s="133">
        <f t="shared" si="4"/>
        <v>484148108863.23218</v>
      </c>
      <c r="N14" s="133">
        <f t="shared" si="5"/>
        <v>1113203.2975208201</v>
      </c>
      <c r="O14" s="133">
        <f t="shared" si="6"/>
        <v>1239221581611.2273</v>
      </c>
      <c r="P14" s="10"/>
      <c r="Q14" t="s">
        <v>21</v>
      </c>
      <c r="R14">
        <v>113</v>
      </c>
      <c r="S14">
        <v>108689176992133.08</v>
      </c>
      <c r="T14">
        <v>961851123824.18652</v>
      </c>
    </row>
    <row r="15" spans="1:30" ht="13.5" thickBot="1" x14ac:dyDescent="0.25">
      <c r="A15" s="43">
        <v>42035</v>
      </c>
      <c r="B15" s="44">
        <f>Inputs!D36</f>
        <v>33934616</v>
      </c>
      <c r="C15" s="44">
        <v>951.40000000000009</v>
      </c>
      <c r="D15" s="44">
        <v>31</v>
      </c>
      <c r="E15" s="110">
        <v>0</v>
      </c>
      <c r="F15" s="132">
        <v>0</v>
      </c>
      <c r="G15" s="132">
        <v>13</v>
      </c>
      <c r="H15" s="141">
        <v>0</v>
      </c>
      <c r="I15" s="44">
        <f t="shared" si="2"/>
        <v>32493830.634939328</v>
      </c>
      <c r="J15" s="27">
        <f t="shared" si="0"/>
        <v>-1440785.3650606722</v>
      </c>
      <c r="K15" s="36">
        <f t="shared" si="1"/>
        <v>-4.2457688781881962E-2</v>
      </c>
      <c r="L15" s="10">
        <f t="shared" si="3"/>
        <v>4.2457688781881962E-2</v>
      </c>
      <c r="M15" s="133">
        <f t="shared" si="4"/>
        <v>2075862468173.0144</v>
      </c>
      <c r="N15" s="133">
        <f t="shared" si="5"/>
        <v>-744977.84220450744</v>
      </c>
      <c r="O15" s="133">
        <f t="shared" si="6"/>
        <v>554991985375.68396</v>
      </c>
      <c r="P15" s="10"/>
      <c r="Q15" s="143" t="s">
        <v>5</v>
      </c>
      <c r="R15" s="143">
        <v>119</v>
      </c>
      <c r="S15" s="143">
        <v>1296275668217698</v>
      </c>
      <c r="T15" s="143"/>
      <c r="U15" s="143"/>
      <c r="V15" s="143"/>
    </row>
    <row r="16" spans="1:30" ht="13.5" thickBot="1" x14ac:dyDescent="0.25">
      <c r="A16" s="43">
        <v>42063</v>
      </c>
      <c r="B16" s="44">
        <f>Inputs!D37</f>
        <v>32617573</v>
      </c>
      <c r="C16" s="44">
        <v>1004.8</v>
      </c>
      <c r="D16" s="44">
        <v>28</v>
      </c>
      <c r="E16" s="110">
        <v>0</v>
      </c>
      <c r="F16" s="132">
        <v>0</v>
      </c>
      <c r="G16" s="132">
        <v>14</v>
      </c>
      <c r="H16" s="141">
        <v>0</v>
      </c>
      <c r="I16" s="44">
        <f t="shared" si="2"/>
        <v>31562589.130760781</v>
      </c>
      <c r="J16" s="27">
        <f t="shared" si="0"/>
        <v>-1054983.8692392185</v>
      </c>
      <c r="K16" s="36">
        <f t="shared" si="1"/>
        <v>-3.2344033360152777E-2</v>
      </c>
      <c r="L16" s="10">
        <f t="shared" si="3"/>
        <v>3.2344033360152777E-2</v>
      </c>
      <c r="M16" s="133">
        <f t="shared" si="4"/>
        <v>1112990964354.9526</v>
      </c>
      <c r="N16" s="133">
        <f t="shared" si="5"/>
        <v>385801.49582145363</v>
      </c>
      <c r="O16" s="133">
        <f t="shared" si="6"/>
        <v>148842794178.07111</v>
      </c>
      <c r="P16" s="10"/>
    </row>
    <row r="17" spans="1:25" x14ac:dyDescent="0.2">
      <c r="A17" s="43">
        <v>42094</v>
      </c>
      <c r="B17" s="44">
        <f>Inputs!D38</f>
        <v>30305598</v>
      </c>
      <c r="C17" s="44">
        <v>749.6</v>
      </c>
      <c r="D17" s="44">
        <v>31</v>
      </c>
      <c r="E17" s="110">
        <v>1</v>
      </c>
      <c r="F17" s="132">
        <v>0</v>
      </c>
      <c r="G17" s="132">
        <v>15</v>
      </c>
      <c r="H17" s="141">
        <v>0</v>
      </c>
      <c r="I17" s="44">
        <f t="shared" si="2"/>
        <v>29046481.97461405</v>
      </c>
      <c r="J17" s="27">
        <f t="shared" si="0"/>
        <v>-1259116.0253859498</v>
      </c>
      <c r="K17" s="36">
        <f t="shared" si="1"/>
        <v>-4.1547308368109076E-2</v>
      </c>
      <c r="L17" s="10">
        <f t="shared" si="3"/>
        <v>4.1547308368109076E-2</v>
      </c>
      <c r="M17" s="133">
        <f t="shared" si="4"/>
        <v>1585373165383.7117</v>
      </c>
      <c r="N17" s="133">
        <f t="shared" si="5"/>
        <v>-204132.15614673123</v>
      </c>
      <c r="O17" s="133">
        <f t="shared" si="6"/>
        <v>41669937173.113457</v>
      </c>
      <c r="P17" s="10"/>
      <c r="Q17" s="144"/>
      <c r="R17" s="144" t="s">
        <v>104</v>
      </c>
      <c r="S17" s="144" t="s">
        <v>17</v>
      </c>
      <c r="T17" s="144" t="s">
        <v>105</v>
      </c>
      <c r="U17" s="144" t="s">
        <v>106</v>
      </c>
      <c r="V17" s="144" t="s">
        <v>107</v>
      </c>
      <c r="W17" s="144" t="s">
        <v>108</v>
      </c>
      <c r="X17" s="144" t="s">
        <v>109</v>
      </c>
      <c r="Y17" s="144" t="s">
        <v>110</v>
      </c>
    </row>
    <row r="18" spans="1:25" x14ac:dyDescent="0.2">
      <c r="A18" s="43">
        <v>42124</v>
      </c>
      <c r="B18" s="44">
        <f>Inputs!D39</f>
        <v>24419034</v>
      </c>
      <c r="C18" s="44">
        <v>411.6</v>
      </c>
      <c r="D18" s="44">
        <v>30</v>
      </c>
      <c r="E18" s="110">
        <v>1</v>
      </c>
      <c r="F18" s="132">
        <v>0</v>
      </c>
      <c r="G18" s="132">
        <v>16</v>
      </c>
      <c r="H18" s="141">
        <v>0</v>
      </c>
      <c r="I18" s="44">
        <f t="shared" si="2"/>
        <v>24383607.227696143</v>
      </c>
      <c r="J18" s="27">
        <f t="shared" si="0"/>
        <v>-35426.772303856909</v>
      </c>
      <c r="K18" s="36">
        <f t="shared" si="1"/>
        <v>-1.4507851663524817E-3</v>
      </c>
      <c r="L18" s="10">
        <f t="shared" si="3"/>
        <v>1.4507851663524817E-3</v>
      </c>
      <c r="M18" s="133">
        <f t="shared" si="4"/>
        <v>1255056195.869323</v>
      </c>
      <c r="N18" s="133">
        <f t="shared" si="5"/>
        <v>1223689.2530820929</v>
      </c>
      <c r="O18" s="133">
        <f t="shared" si="6"/>
        <v>1497415388108.6104</v>
      </c>
      <c r="P18" s="10"/>
      <c r="Q18" t="s">
        <v>22</v>
      </c>
      <c r="R18" s="31">
        <v>4242068.2535530468</v>
      </c>
      <c r="S18">
        <v>3643402.2043914679</v>
      </c>
      <c r="T18">
        <v>1.1643151141644461</v>
      </c>
      <c r="U18">
        <v>0.2467486397882491</v>
      </c>
      <c r="V18">
        <v>-2976168.6352354139</v>
      </c>
      <c r="W18">
        <v>11460305.142341508</v>
      </c>
      <c r="X18">
        <v>-2976168.6352354139</v>
      </c>
      <c r="Y18">
        <v>11460305.142341508</v>
      </c>
    </row>
    <row r="19" spans="1:25" x14ac:dyDescent="0.2">
      <c r="A19" s="43">
        <v>42155</v>
      </c>
      <c r="B19" s="44">
        <f>Inputs!D40</f>
        <v>22122315</v>
      </c>
      <c r="C19" s="44">
        <v>178.8</v>
      </c>
      <c r="D19" s="44">
        <v>31</v>
      </c>
      <c r="E19" s="110">
        <v>1</v>
      </c>
      <c r="F19" s="132">
        <v>0</v>
      </c>
      <c r="G19" s="132">
        <v>17</v>
      </c>
      <c r="H19" s="141">
        <v>0</v>
      </c>
      <c r="I19" s="44">
        <f t="shared" si="2"/>
        <v>22072506.719539933</v>
      </c>
      <c r="J19" s="27">
        <f t="shared" si="0"/>
        <v>-49808.280460067093</v>
      </c>
      <c r="K19" s="36">
        <f t="shared" si="1"/>
        <v>-2.25149494797751E-3</v>
      </c>
      <c r="L19" s="10">
        <f t="shared" si="3"/>
        <v>2.25149494797751E-3</v>
      </c>
      <c r="M19" s="133">
        <f t="shared" si="4"/>
        <v>2480864802.3887014</v>
      </c>
      <c r="N19" s="133">
        <f t="shared" si="5"/>
        <v>-14381.508156210184</v>
      </c>
      <c r="O19" s="133">
        <f t="shared" si="6"/>
        <v>206827776.84714004</v>
      </c>
      <c r="P19" s="10"/>
      <c r="Q19" t="s">
        <v>115</v>
      </c>
      <c r="R19" s="31">
        <v>12250.115750102828</v>
      </c>
      <c r="S19">
        <v>369.88263018687695</v>
      </c>
      <c r="T19">
        <v>33.118926790137898</v>
      </c>
      <c r="U19">
        <v>5.244141641264466E-60</v>
      </c>
      <c r="V19">
        <v>11517.311547887952</v>
      </c>
      <c r="W19">
        <v>12982.919952317705</v>
      </c>
      <c r="X19">
        <v>11517.311547887952</v>
      </c>
      <c r="Y19">
        <v>12982.919952317705</v>
      </c>
    </row>
    <row r="20" spans="1:25" x14ac:dyDescent="0.2">
      <c r="A20" s="43">
        <v>42185</v>
      </c>
      <c r="B20" s="44">
        <f>Inputs!D41</f>
        <v>21687054</v>
      </c>
      <c r="C20" s="44">
        <v>96.09999999999998</v>
      </c>
      <c r="D20" s="44">
        <v>30</v>
      </c>
      <c r="E20" s="110">
        <v>0</v>
      </c>
      <c r="F20" s="132">
        <v>0</v>
      </c>
      <c r="G20" s="132">
        <v>18</v>
      </c>
      <c r="H20" s="141">
        <v>0</v>
      </c>
      <c r="I20" s="44">
        <f t="shared" si="2"/>
        <v>21530752.64066238</v>
      </c>
      <c r="J20" s="27">
        <f t="shared" si="0"/>
        <v>-156301.35933762044</v>
      </c>
      <c r="K20" s="36">
        <f t="shared" si="1"/>
        <v>-7.2071273183356502E-3</v>
      </c>
      <c r="L20" s="10">
        <f t="shared" si="3"/>
        <v>7.2071273183356502E-3</v>
      </c>
      <c r="M20" s="133">
        <f t="shared" si="4"/>
        <v>24430114930.787949</v>
      </c>
      <c r="N20" s="133">
        <f t="shared" si="5"/>
        <v>-106493.07887755334</v>
      </c>
      <c r="O20" s="133">
        <f t="shared" si="6"/>
        <v>11340775848.820799</v>
      </c>
      <c r="P20" s="10"/>
      <c r="Q20" t="s">
        <v>92</v>
      </c>
      <c r="R20" s="31">
        <v>531531.030925442</v>
      </c>
      <c r="S20">
        <v>120843.66061489961</v>
      </c>
      <c r="T20">
        <v>4.3985015698862906</v>
      </c>
      <c r="U20">
        <v>2.4791150744030641E-5</v>
      </c>
      <c r="V20">
        <v>292117.94395543175</v>
      </c>
      <c r="W20">
        <v>770944.11789545231</v>
      </c>
      <c r="X20">
        <v>292117.94395543175</v>
      </c>
      <c r="Y20">
        <v>770944.11789545231</v>
      </c>
    </row>
    <row r="21" spans="1:25" x14ac:dyDescent="0.2">
      <c r="A21" s="43">
        <v>42216</v>
      </c>
      <c r="B21" s="44">
        <f>Inputs!D42</f>
        <v>23793533</v>
      </c>
      <c r="C21" s="44">
        <v>43.000000000000007</v>
      </c>
      <c r="D21" s="44">
        <v>31</v>
      </c>
      <c r="E21" s="110">
        <v>0</v>
      </c>
      <c r="F21" s="132">
        <v>1</v>
      </c>
      <c r="G21" s="132">
        <v>19</v>
      </c>
      <c r="H21" s="141">
        <v>0</v>
      </c>
      <c r="I21" s="44">
        <f t="shared" si="2"/>
        <v>24350581.102013614</v>
      </c>
      <c r="J21" s="27">
        <f t="shared" si="0"/>
        <v>557048.10201361403</v>
      </c>
      <c r="K21" s="36">
        <f t="shared" si="1"/>
        <v>2.3411743939566017E-2</v>
      </c>
      <c r="L21" s="10">
        <f t="shared" si="3"/>
        <v>2.3411743939566017E-2</v>
      </c>
      <c r="M21" s="133">
        <f t="shared" si="4"/>
        <v>310302587956.96973</v>
      </c>
      <c r="N21" s="133">
        <f t="shared" si="5"/>
        <v>713349.46135123447</v>
      </c>
      <c r="O21" s="133">
        <f t="shared" si="6"/>
        <v>508867454010.09637</v>
      </c>
      <c r="P21" s="10"/>
      <c r="Q21" t="s">
        <v>11</v>
      </c>
      <c r="R21" s="31">
        <v>-993666.11703910271</v>
      </c>
      <c r="S21">
        <v>210486.98824293955</v>
      </c>
      <c r="T21">
        <v>-4.720795928213076</v>
      </c>
      <c r="U21">
        <v>6.7888055056188686E-6</v>
      </c>
      <c r="V21">
        <v>-1410678.8040583595</v>
      </c>
      <c r="W21">
        <v>-576653.43001984595</v>
      </c>
      <c r="X21">
        <v>-1410678.8040583595</v>
      </c>
      <c r="Y21">
        <v>-576653.43001984595</v>
      </c>
    </row>
    <row r="22" spans="1:25" x14ac:dyDescent="0.2">
      <c r="A22" s="43">
        <v>42247</v>
      </c>
      <c r="B22" s="44">
        <f>Inputs!D43</f>
        <v>23664046</v>
      </c>
      <c r="C22" s="44">
        <v>50.399999999999991</v>
      </c>
      <c r="D22" s="44">
        <v>31</v>
      </c>
      <c r="E22" s="110">
        <v>0</v>
      </c>
      <c r="F22" s="132">
        <v>1</v>
      </c>
      <c r="G22" s="132">
        <v>20</v>
      </c>
      <c r="H22" s="141">
        <v>0</v>
      </c>
      <c r="I22" s="44">
        <f t="shared" si="2"/>
        <v>24450427.366106663</v>
      </c>
      <c r="J22" s="27">
        <f t="shared" si="0"/>
        <v>786381.3661066629</v>
      </c>
      <c r="K22" s="36">
        <f t="shared" si="1"/>
        <v>3.3231061421477241E-2</v>
      </c>
      <c r="L22" s="10">
        <f t="shared" si="3"/>
        <v>3.3231061421477241E-2</v>
      </c>
      <c r="M22" s="133">
        <f t="shared" si="4"/>
        <v>618395652959.78137</v>
      </c>
      <c r="N22" s="133">
        <f t="shared" si="5"/>
        <v>229333.26409304887</v>
      </c>
      <c r="O22" s="133">
        <f t="shared" si="6"/>
        <v>52593746019.572098</v>
      </c>
      <c r="P22" s="10"/>
      <c r="Q22" t="s">
        <v>114</v>
      </c>
      <c r="R22" s="31">
        <v>2929583.1692139641</v>
      </c>
      <c r="S22">
        <v>331347.67491434934</v>
      </c>
      <c r="T22">
        <v>8.841417613602502</v>
      </c>
      <c r="U22">
        <v>1.4519770301626774E-14</v>
      </c>
      <c r="V22">
        <v>2273123.6635359409</v>
      </c>
      <c r="W22">
        <v>3586042.6748919873</v>
      </c>
      <c r="X22">
        <v>2273123.6635359409</v>
      </c>
      <c r="Y22">
        <v>3586042.6748919873</v>
      </c>
    </row>
    <row r="23" spans="1:25" x14ac:dyDescent="0.2">
      <c r="A23" s="43">
        <v>42277</v>
      </c>
      <c r="B23" s="44">
        <f>Inputs!D44</f>
        <v>21503656</v>
      </c>
      <c r="C23" s="44">
        <v>84.300000000000011</v>
      </c>
      <c r="D23" s="44">
        <v>30</v>
      </c>
      <c r="E23" s="110">
        <v>0</v>
      </c>
      <c r="F23" s="132">
        <v>0</v>
      </c>
      <c r="G23" s="132">
        <v>21</v>
      </c>
      <c r="H23" s="141">
        <v>0</v>
      </c>
      <c r="I23" s="44">
        <f t="shared" si="2"/>
        <v>21413787.497438028</v>
      </c>
      <c r="J23" s="27">
        <f t="shared" si="0"/>
        <v>-89868.502561971545</v>
      </c>
      <c r="K23" s="36">
        <f t="shared" si="1"/>
        <v>-4.1792196899899971E-3</v>
      </c>
      <c r="L23" s="10">
        <f t="shared" si="3"/>
        <v>4.1792196899899971E-3</v>
      </c>
      <c r="M23" s="133">
        <f t="shared" si="4"/>
        <v>8076347752.7310858</v>
      </c>
      <c r="N23" s="133">
        <f t="shared" si="5"/>
        <v>-876249.86866863444</v>
      </c>
      <c r="O23" s="133">
        <f t="shared" si="6"/>
        <v>767813832341.79907</v>
      </c>
      <c r="P23" s="10"/>
      <c r="Q23" t="s">
        <v>111</v>
      </c>
      <c r="R23" s="31">
        <v>9195.4075422883416</v>
      </c>
      <c r="S23">
        <v>2601.7940241849178</v>
      </c>
      <c r="T23">
        <v>3.5342565386854754</v>
      </c>
      <c r="U23">
        <v>5.9366182753246182E-4</v>
      </c>
      <c r="V23">
        <v>4040.7843223307455</v>
      </c>
      <c r="W23">
        <v>14350.030762245937</v>
      </c>
      <c r="X23">
        <v>4040.7843223307455</v>
      </c>
      <c r="Y23">
        <v>14350.030762245937</v>
      </c>
    </row>
    <row r="24" spans="1:25" ht="13.5" thickBot="1" x14ac:dyDescent="0.25">
      <c r="A24" s="43">
        <v>42308</v>
      </c>
      <c r="B24" s="44">
        <f>Inputs!D45</f>
        <v>24025252</v>
      </c>
      <c r="C24" s="44">
        <v>351.09999999999991</v>
      </c>
      <c r="D24" s="44">
        <v>31</v>
      </c>
      <c r="E24" s="110">
        <v>1</v>
      </c>
      <c r="F24" s="132">
        <v>0</v>
      </c>
      <c r="G24" s="132">
        <v>22</v>
      </c>
      <c r="H24" s="141">
        <v>0</v>
      </c>
      <c r="I24" s="44">
        <f t="shared" si="2"/>
        <v>24229178.700994093</v>
      </c>
      <c r="J24" s="27">
        <f t="shared" si="0"/>
        <v>203926.70099409297</v>
      </c>
      <c r="K24" s="36">
        <f t="shared" si="1"/>
        <v>8.4880150682329139E-3</v>
      </c>
      <c r="L24" s="10">
        <f t="shared" si="3"/>
        <v>8.4880150682329139E-3</v>
      </c>
      <c r="M24" s="133">
        <f t="shared" si="4"/>
        <v>41586099378.334198</v>
      </c>
      <c r="N24" s="133">
        <f t="shared" si="5"/>
        <v>293795.20355606452</v>
      </c>
      <c r="O24" s="133">
        <f t="shared" si="6"/>
        <v>86315621632.549377</v>
      </c>
      <c r="P24" s="10"/>
      <c r="Q24" s="143" t="s">
        <v>127</v>
      </c>
      <c r="R24" s="146">
        <v>-1406431.0854211121</v>
      </c>
      <c r="S24" s="143">
        <v>640316.35888464318</v>
      </c>
      <c r="T24" s="143">
        <v>-2.1964628357628593</v>
      </c>
      <c r="U24" s="143">
        <v>3.0100965303398959E-2</v>
      </c>
      <c r="V24" s="143">
        <v>-2675013.2794552771</v>
      </c>
      <c r="W24" s="143">
        <v>-137848.8913869469</v>
      </c>
      <c r="X24" s="143">
        <v>-2675013.2794552771</v>
      </c>
      <c r="Y24" s="143">
        <v>-137848.8913869469</v>
      </c>
    </row>
    <row r="25" spans="1:25" x14ac:dyDescent="0.2">
      <c r="A25" s="43">
        <v>42338</v>
      </c>
      <c r="B25" s="44">
        <f>Inputs!D46</f>
        <v>24608541</v>
      </c>
      <c r="C25" s="44">
        <v>433.89999999999992</v>
      </c>
      <c r="D25" s="44">
        <v>30</v>
      </c>
      <c r="E25" s="110">
        <v>1</v>
      </c>
      <c r="F25" s="132">
        <v>0</v>
      </c>
      <c r="G25" s="132">
        <v>23</v>
      </c>
      <c r="H25" s="141">
        <v>0</v>
      </c>
      <c r="I25" s="44">
        <f t="shared" si="2"/>
        <v>24721152.661719453</v>
      </c>
      <c r="J25" s="27">
        <f t="shared" si="0"/>
        <v>112611.66171945259</v>
      </c>
      <c r="K25" s="36">
        <f t="shared" si="1"/>
        <v>4.5761210190987181E-3</v>
      </c>
      <c r="L25" s="10">
        <f t="shared" si="3"/>
        <v>4.5761210190987181E-3</v>
      </c>
      <c r="M25" s="133">
        <f t="shared" si="4"/>
        <v>12681386355.216423</v>
      </c>
      <c r="N25" s="133">
        <f t="shared" si="5"/>
        <v>-91315.039274640381</v>
      </c>
      <c r="O25" s="133">
        <f t="shared" si="6"/>
        <v>8338436397.7291155</v>
      </c>
      <c r="P25" s="10"/>
    </row>
    <row r="26" spans="1:25" x14ac:dyDescent="0.2">
      <c r="A26" s="43">
        <v>42369</v>
      </c>
      <c r="B26" s="44">
        <f>Inputs!D47</f>
        <v>26280236</v>
      </c>
      <c r="C26" s="44">
        <v>514.79999999999995</v>
      </c>
      <c r="D26" s="44">
        <v>31</v>
      </c>
      <c r="E26" s="110">
        <v>0</v>
      </c>
      <c r="F26" s="132">
        <v>0</v>
      </c>
      <c r="G26" s="132">
        <v>24</v>
      </c>
      <c r="H26" s="141">
        <v>0</v>
      </c>
      <c r="I26" s="44">
        <f t="shared" si="2"/>
        <v>27246579.581409603</v>
      </c>
      <c r="J26" s="27">
        <f t="shared" si="0"/>
        <v>966343.58140960336</v>
      </c>
      <c r="K26" s="36">
        <f t="shared" si="1"/>
        <v>3.677073453258195E-2</v>
      </c>
      <c r="L26" s="10">
        <f t="shared" si="3"/>
        <v>3.677073453258195E-2</v>
      </c>
      <c r="M26" s="133">
        <f t="shared" si="4"/>
        <v>933819917331.5387</v>
      </c>
      <c r="N26" s="133">
        <f t="shared" si="5"/>
        <v>853731.91969015077</v>
      </c>
      <c r="O26" s="133">
        <f t="shared" si="6"/>
        <v>728858190697.83008</v>
      </c>
      <c r="P26" s="10"/>
      <c r="Q26" s="38" t="s">
        <v>128</v>
      </c>
      <c r="R26" s="147">
        <f>L123</f>
        <v>2.9897901600192112E-2</v>
      </c>
    </row>
    <row r="27" spans="1:25" x14ac:dyDescent="0.2">
      <c r="A27" s="43">
        <v>42400</v>
      </c>
      <c r="B27" s="44">
        <f>Inputs!D48</f>
        <v>30495180</v>
      </c>
      <c r="C27" s="44">
        <v>767.49999999999989</v>
      </c>
      <c r="D27" s="44">
        <v>31</v>
      </c>
      <c r="E27" s="110">
        <v>0</v>
      </c>
      <c r="F27" s="132">
        <v>0</v>
      </c>
      <c r="G27" s="132">
        <v>25</v>
      </c>
      <c r="H27" s="141">
        <v>0</v>
      </c>
      <c r="I27" s="44">
        <f t="shared" si="2"/>
        <v>30351379.239002876</v>
      </c>
      <c r="J27" s="27">
        <f t="shared" si="0"/>
        <v>-143800.76099712402</v>
      </c>
      <c r="K27" s="36">
        <f t="shared" si="1"/>
        <v>-4.7155242565259173E-3</v>
      </c>
      <c r="L27" s="10">
        <f t="shared" si="3"/>
        <v>4.7155242565259173E-3</v>
      </c>
      <c r="M27" s="133">
        <f t="shared" si="4"/>
        <v>20678658863.351982</v>
      </c>
      <c r="N27" s="133">
        <f t="shared" si="5"/>
        <v>-1110144.3424067274</v>
      </c>
      <c r="O27" s="133">
        <f t="shared" si="6"/>
        <v>1232420460977.665</v>
      </c>
    </row>
    <row r="28" spans="1:25" x14ac:dyDescent="0.2">
      <c r="A28" s="43">
        <v>42429</v>
      </c>
      <c r="B28" s="44">
        <f>Inputs!D49</f>
        <v>29063252</v>
      </c>
      <c r="C28" s="44">
        <v>767.6999999999997</v>
      </c>
      <c r="D28" s="44">
        <v>29</v>
      </c>
      <c r="E28" s="110">
        <v>0</v>
      </c>
      <c r="F28" s="132">
        <v>0</v>
      </c>
      <c r="G28" s="132">
        <v>26</v>
      </c>
      <c r="H28" s="141">
        <v>0</v>
      </c>
      <c r="I28" s="44">
        <f t="shared" si="2"/>
        <v>29299962.607844301</v>
      </c>
      <c r="J28" s="27">
        <f t="shared" si="0"/>
        <v>236710.60784430057</v>
      </c>
      <c r="K28" s="36">
        <f t="shared" si="1"/>
        <v>8.1446703845908415E-3</v>
      </c>
      <c r="L28" s="10">
        <f t="shared" si="3"/>
        <v>8.1446703845908415E-3</v>
      </c>
      <c r="M28" s="133">
        <f t="shared" si="4"/>
        <v>56031911866.01825</v>
      </c>
      <c r="N28" s="133">
        <f t="shared" si="5"/>
        <v>380511.36884142458</v>
      </c>
      <c r="O28" s="133">
        <f t="shared" si="6"/>
        <v>144788901817.57468</v>
      </c>
      <c r="Q28" t="s">
        <v>129</v>
      </c>
      <c r="R28" s="31">
        <f>O123</f>
        <v>147007813553023.59</v>
      </c>
    </row>
    <row r="29" spans="1:25" x14ac:dyDescent="0.2">
      <c r="A29" s="43">
        <v>42460</v>
      </c>
      <c r="B29" s="44">
        <f>Inputs!D50</f>
        <v>27667287</v>
      </c>
      <c r="C29" s="44">
        <v>605.29999999999984</v>
      </c>
      <c r="D29" s="44">
        <v>31</v>
      </c>
      <c r="E29" s="110">
        <v>1</v>
      </c>
      <c r="F29" s="132">
        <v>0</v>
      </c>
      <c r="G29" s="132">
        <v>27</v>
      </c>
      <c r="H29" s="141">
        <v>0</v>
      </c>
      <c r="I29" s="44">
        <f t="shared" si="2"/>
        <v>27389135.162381671</v>
      </c>
      <c r="J29" s="27">
        <f t="shared" si="0"/>
        <v>-278151.83761832863</v>
      </c>
      <c r="K29" s="36">
        <f t="shared" si="1"/>
        <v>-1.0053455462341813E-2</v>
      </c>
      <c r="L29" s="10">
        <f t="shared" si="3"/>
        <v>1.0053455462341813E-2</v>
      </c>
      <c r="M29" s="133">
        <f t="shared" si="4"/>
        <v>77368444770.453064</v>
      </c>
      <c r="N29" s="133">
        <f t="shared" si="5"/>
        <v>-514862.4454626292</v>
      </c>
      <c r="O29" s="133">
        <f t="shared" si="6"/>
        <v>265083337747.75882</v>
      </c>
      <c r="Q29" t="s">
        <v>122</v>
      </c>
      <c r="R29" s="31">
        <f>M123</f>
        <v>108689176992132.64</v>
      </c>
    </row>
    <row r="30" spans="1:25" x14ac:dyDescent="0.2">
      <c r="A30" s="43">
        <v>42490</v>
      </c>
      <c r="B30" s="44">
        <f>Inputs!D51</f>
        <v>24587318</v>
      </c>
      <c r="C30" s="44">
        <v>476.99999999999983</v>
      </c>
      <c r="D30" s="44">
        <v>30</v>
      </c>
      <c r="E30" s="110">
        <v>1</v>
      </c>
      <c r="F30" s="132">
        <v>0</v>
      </c>
      <c r="G30" s="132">
        <v>28</v>
      </c>
      <c r="H30" s="141">
        <v>0</v>
      </c>
      <c r="I30" s="44">
        <f t="shared" si="2"/>
        <v>25295109.688260324</v>
      </c>
      <c r="J30" s="27">
        <f t="shared" si="0"/>
        <v>707791.6882603243</v>
      </c>
      <c r="K30" s="36">
        <f t="shared" si="1"/>
        <v>2.8786860293600315E-2</v>
      </c>
      <c r="L30" s="10">
        <f t="shared" si="3"/>
        <v>2.8786860293600315E-2</v>
      </c>
      <c r="M30" s="133">
        <f t="shared" si="4"/>
        <v>500969073970.40009</v>
      </c>
      <c r="N30" s="133">
        <f t="shared" si="5"/>
        <v>985943.52587865293</v>
      </c>
      <c r="O30" s="133">
        <f t="shared" si="6"/>
        <v>972084636222.02991</v>
      </c>
    </row>
    <row r="31" spans="1:25" x14ac:dyDescent="0.2">
      <c r="A31" s="43">
        <v>42521</v>
      </c>
      <c r="B31" s="44">
        <f>Inputs!D52</f>
        <v>21916797</v>
      </c>
      <c r="C31" s="44">
        <v>227.1</v>
      </c>
      <c r="D31" s="44">
        <v>31</v>
      </c>
      <c r="E31" s="110">
        <v>1</v>
      </c>
      <c r="F31" s="132">
        <v>0</v>
      </c>
      <c r="G31" s="132">
        <v>29</v>
      </c>
      <c r="H31" s="141">
        <v>0</v>
      </c>
      <c r="I31" s="44">
        <f t="shared" si="2"/>
        <v>22774532.200777359</v>
      </c>
      <c r="J31" s="27">
        <f t="shared" si="0"/>
        <v>857735.20077735931</v>
      </c>
      <c r="K31" s="36">
        <f t="shared" si="1"/>
        <v>3.9135974147014245E-2</v>
      </c>
      <c r="L31" s="10">
        <f t="shared" si="3"/>
        <v>3.9135974147014245E-2</v>
      </c>
      <c r="M31" s="133">
        <f t="shared" si="4"/>
        <v>735709674652.5769</v>
      </c>
      <c r="N31" s="133">
        <f t="shared" si="5"/>
        <v>149943.51251703501</v>
      </c>
      <c r="O31" s="133">
        <f t="shared" si="6"/>
        <v>22483056945.946236</v>
      </c>
      <c r="Q31" t="s">
        <v>123</v>
      </c>
      <c r="R31">
        <f>R28/R29</f>
        <v>1.3525524584997513</v>
      </c>
    </row>
    <row r="32" spans="1:25" x14ac:dyDescent="0.2">
      <c r="A32" s="43">
        <v>42551</v>
      </c>
      <c r="B32" s="44">
        <f>Inputs!D53</f>
        <v>22063036</v>
      </c>
      <c r="C32" s="44">
        <v>79.7</v>
      </c>
      <c r="D32" s="44">
        <v>30</v>
      </c>
      <c r="E32" s="110">
        <v>0</v>
      </c>
      <c r="F32" s="132">
        <v>0</v>
      </c>
      <c r="G32" s="132">
        <v>30</v>
      </c>
      <c r="H32" s="141">
        <v>0</v>
      </c>
      <c r="I32" s="44">
        <f t="shared" si="2"/>
        <v>21440195.632868152</v>
      </c>
      <c r="J32" s="27">
        <f t="shared" si="0"/>
        <v>-622840.36713184789</v>
      </c>
      <c r="K32" s="36">
        <f t="shared" si="1"/>
        <v>-2.8230039017832716E-2</v>
      </c>
      <c r="L32" s="10">
        <f t="shared" si="3"/>
        <v>2.8230039017832716E-2</v>
      </c>
      <c r="M32" s="133">
        <f t="shared" si="4"/>
        <v>387930122928.93506</v>
      </c>
      <c r="N32" s="133">
        <f t="shared" si="5"/>
        <v>-1480575.5679092072</v>
      </c>
      <c r="O32" s="133">
        <f t="shared" si="6"/>
        <v>2192104012289.6714</v>
      </c>
    </row>
    <row r="33" spans="1:18" x14ac:dyDescent="0.2">
      <c r="A33" s="43">
        <v>42582</v>
      </c>
      <c r="B33" s="44">
        <f>Inputs!D54</f>
        <v>24449967</v>
      </c>
      <c r="C33" s="44">
        <v>29.499999999999996</v>
      </c>
      <c r="D33" s="44">
        <v>31</v>
      </c>
      <c r="E33" s="110">
        <v>0</v>
      </c>
      <c r="F33" s="132">
        <v>1</v>
      </c>
      <c r="G33" s="132">
        <v>31</v>
      </c>
      <c r="H33" s="141">
        <v>0</v>
      </c>
      <c r="I33" s="44">
        <f t="shared" si="2"/>
        <v>24295549.429894686</v>
      </c>
      <c r="J33" s="27">
        <f t="shared" si="0"/>
        <v>-154417.57010531425</v>
      </c>
      <c r="K33" s="36">
        <f t="shared" si="1"/>
        <v>-6.3156555632698508E-3</v>
      </c>
      <c r="L33" s="10">
        <f t="shared" si="3"/>
        <v>6.3156555632698508E-3</v>
      </c>
      <c r="M33" s="133">
        <f t="shared" si="4"/>
        <v>23844785957.229641</v>
      </c>
      <c r="N33" s="133">
        <f t="shared" si="5"/>
        <v>468422.79702653363</v>
      </c>
      <c r="O33" s="133">
        <f t="shared" si="6"/>
        <v>219419916774.16113</v>
      </c>
      <c r="P33"/>
      <c r="R33" s="40"/>
    </row>
    <row r="34" spans="1:18" x14ac:dyDescent="0.2">
      <c r="A34" s="43">
        <v>42613</v>
      </c>
      <c r="B34" s="44">
        <f>Inputs!D55</f>
        <v>25086525</v>
      </c>
      <c r="C34" s="44">
        <v>14.100000000000001</v>
      </c>
      <c r="D34" s="44">
        <v>31</v>
      </c>
      <c r="E34" s="110">
        <v>0</v>
      </c>
      <c r="F34" s="132">
        <v>1</v>
      </c>
      <c r="G34" s="132">
        <v>32</v>
      </c>
      <c r="H34" s="141">
        <v>0</v>
      </c>
      <c r="I34" s="44">
        <f t="shared" si="2"/>
        <v>24116093.054885391</v>
      </c>
      <c r="J34" s="27">
        <f t="shared" si="0"/>
        <v>-970431.94511460885</v>
      </c>
      <c r="K34" s="36">
        <f t="shared" si="1"/>
        <v>-3.8683394575956966E-2</v>
      </c>
      <c r="L34" s="10">
        <f t="shared" si="3"/>
        <v>3.8683394575956966E-2</v>
      </c>
      <c r="M34" s="133">
        <f t="shared" si="4"/>
        <v>941738160098.92322</v>
      </c>
      <c r="N34" s="133">
        <f t="shared" si="5"/>
        <v>-816014.3750092946</v>
      </c>
      <c r="O34" s="133">
        <f t="shared" si="6"/>
        <v>665879460221.80969</v>
      </c>
      <c r="P34"/>
    </row>
    <row r="35" spans="1:18" x14ac:dyDescent="0.2">
      <c r="A35" s="43">
        <v>42643</v>
      </c>
      <c r="B35" s="44">
        <f>Inputs!D56</f>
        <v>21516383</v>
      </c>
      <c r="C35" s="44">
        <v>80.500000000000014</v>
      </c>
      <c r="D35" s="44">
        <v>30</v>
      </c>
      <c r="E35" s="110">
        <v>0</v>
      </c>
      <c r="F35" s="132">
        <v>0</v>
      </c>
      <c r="G35" s="132">
        <v>33</v>
      </c>
      <c r="H35" s="141">
        <v>0</v>
      </c>
      <c r="I35" s="44">
        <f t="shared" si="2"/>
        <v>21477581.948095098</v>
      </c>
      <c r="J35" s="27">
        <f t="shared" ref="J35:J66" si="7">I35-B35</f>
        <v>-38801.051904901862</v>
      </c>
      <c r="K35" s="36">
        <f t="shared" ref="K35:K66" si="8">J35/B35</f>
        <v>-1.8033259542229688E-3</v>
      </c>
      <c r="L35" s="10">
        <f t="shared" si="3"/>
        <v>1.8033259542229688E-3</v>
      </c>
      <c r="M35" s="133">
        <f t="shared" si="4"/>
        <v>1505521628.9268885</v>
      </c>
      <c r="N35" s="133">
        <f t="shared" si="5"/>
        <v>931630.89320970699</v>
      </c>
      <c r="O35" s="133">
        <f t="shared" si="6"/>
        <v>867936121182.71643</v>
      </c>
      <c r="P35"/>
    </row>
    <row r="36" spans="1:18" x14ac:dyDescent="0.2">
      <c r="A36" s="43">
        <v>42674</v>
      </c>
      <c r="B36" s="44">
        <f>Inputs!D57</f>
        <v>22851618</v>
      </c>
      <c r="C36" s="44">
        <v>302.10000000000008</v>
      </c>
      <c r="D36" s="44">
        <v>31</v>
      </c>
      <c r="E36" s="110">
        <v>1</v>
      </c>
      <c r="F36" s="132">
        <v>0</v>
      </c>
      <c r="G36" s="132">
        <v>34</v>
      </c>
      <c r="H36" s="141">
        <v>0</v>
      </c>
      <c r="I36" s="44">
        <f t="shared" si="2"/>
        <v>23739267.919746514</v>
      </c>
      <c r="J36" s="27">
        <f t="shared" si="7"/>
        <v>887649.91974651441</v>
      </c>
      <c r="K36" s="36">
        <f t="shared" si="8"/>
        <v>3.8844073086926029E-2</v>
      </c>
      <c r="L36" s="10">
        <f t="shared" si="3"/>
        <v>3.8844073086926029E-2</v>
      </c>
      <c r="M36" s="133">
        <f t="shared" si="4"/>
        <v>787922380025.99353</v>
      </c>
      <c r="N36" s="133">
        <f t="shared" si="5"/>
        <v>926450.97165141627</v>
      </c>
      <c r="O36" s="133">
        <f t="shared" si="6"/>
        <v>858311402873.85327</v>
      </c>
      <c r="P36"/>
    </row>
    <row r="37" spans="1:18" x14ac:dyDescent="0.2">
      <c r="A37" s="43">
        <v>42704</v>
      </c>
      <c r="B37" s="44">
        <f>Inputs!D58</f>
        <v>24193372</v>
      </c>
      <c r="C37" s="44">
        <v>435.2000000000001</v>
      </c>
      <c r="D37" s="44">
        <v>30</v>
      </c>
      <c r="E37" s="110">
        <v>1</v>
      </c>
      <c r="F37" s="132">
        <v>0</v>
      </c>
      <c r="G37" s="132">
        <v>35</v>
      </c>
      <c r="H37" s="141">
        <v>0</v>
      </c>
      <c r="I37" s="44">
        <f t="shared" si="2"/>
        <v>24847422.702702049</v>
      </c>
      <c r="J37" s="27">
        <f t="shared" si="7"/>
        <v>654050.70270204917</v>
      </c>
      <c r="K37" s="36">
        <f t="shared" si="8"/>
        <v>2.7034292809702144E-2</v>
      </c>
      <c r="L37" s="10">
        <f t="shared" si="3"/>
        <v>2.7034292809702144E-2</v>
      </c>
      <c r="M37" s="133">
        <f t="shared" si="4"/>
        <v>427782321705.04431</v>
      </c>
      <c r="N37" s="133">
        <f t="shared" si="5"/>
        <v>-233599.21704446524</v>
      </c>
      <c r="O37" s="133">
        <f t="shared" si="6"/>
        <v>54568594203.787178</v>
      </c>
      <c r="P37"/>
    </row>
    <row r="38" spans="1:18" x14ac:dyDescent="0.2">
      <c r="A38" s="43">
        <v>42735</v>
      </c>
      <c r="B38" s="44">
        <f>Inputs!D59</f>
        <v>28341333</v>
      </c>
      <c r="C38" s="44">
        <v>713.7</v>
      </c>
      <c r="D38" s="44">
        <v>31</v>
      </c>
      <c r="E38" s="110">
        <v>0</v>
      </c>
      <c r="F38" s="132">
        <v>0</v>
      </c>
      <c r="G38" s="132">
        <v>36</v>
      </c>
      <c r="H38" s="141">
        <v>0</v>
      </c>
      <c r="I38" s="44">
        <f t="shared" si="2"/>
        <v>29793472.494612519</v>
      </c>
      <c r="J38" s="27">
        <f t="shared" si="7"/>
        <v>1452139.4946125187</v>
      </c>
      <c r="K38" s="36">
        <f t="shared" si="8"/>
        <v>5.1237515702331954E-2</v>
      </c>
      <c r="L38" s="10">
        <f t="shared" si="3"/>
        <v>5.1237515702331954E-2</v>
      </c>
      <c r="M38" s="133">
        <f t="shared" si="4"/>
        <v>2108709111813.5012</v>
      </c>
      <c r="N38" s="133">
        <f t="shared" si="5"/>
        <v>798088.79191046953</v>
      </c>
      <c r="O38" s="133">
        <f t="shared" si="6"/>
        <v>636945719773.11279</v>
      </c>
      <c r="P38"/>
    </row>
    <row r="39" spans="1:18" x14ac:dyDescent="0.2">
      <c r="A39" s="43">
        <v>42766</v>
      </c>
      <c r="B39" s="44">
        <f>Inputs!D60</f>
        <v>29369246</v>
      </c>
      <c r="C39" s="44">
        <v>744</v>
      </c>
      <c r="D39" s="44">
        <v>31</v>
      </c>
      <c r="E39" s="110">
        <v>0</v>
      </c>
      <c r="F39" s="132">
        <v>0</v>
      </c>
      <c r="G39" s="132">
        <v>37</v>
      </c>
      <c r="H39" s="141">
        <v>0</v>
      </c>
      <c r="I39" s="44">
        <f t="shared" si="2"/>
        <v>30173846.409382921</v>
      </c>
      <c r="J39" s="27">
        <f t="shared" si="7"/>
        <v>804600.40938292071</v>
      </c>
      <c r="K39" s="36">
        <f t="shared" si="8"/>
        <v>2.7396018589749317E-2</v>
      </c>
      <c r="L39" s="10">
        <f t="shared" si="3"/>
        <v>2.7396018589749317E-2</v>
      </c>
      <c r="M39" s="133">
        <f t="shared" si="4"/>
        <v>647381818779.16357</v>
      </c>
      <c r="N39" s="133">
        <f t="shared" si="5"/>
        <v>-647539.08522959799</v>
      </c>
      <c r="O39" s="133">
        <f t="shared" si="6"/>
        <v>419306866899.98456</v>
      </c>
      <c r="P39"/>
    </row>
    <row r="40" spans="1:18" x14ac:dyDescent="0.2">
      <c r="A40" s="43">
        <v>42794</v>
      </c>
      <c r="B40" s="44">
        <f>Inputs!D61</f>
        <v>26144559</v>
      </c>
      <c r="C40" s="44">
        <v>648</v>
      </c>
      <c r="D40" s="44">
        <v>28</v>
      </c>
      <c r="E40" s="110">
        <v>0</v>
      </c>
      <c r="F40" s="132">
        <v>0</v>
      </c>
      <c r="G40" s="132">
        <v>38</v>
      </c>
      <c r="H40" s="141">
        <v>0</v>
      </c>
      <c r="I40" s="44">
        <f t="shared" si="2"/>
        <v>27412437.612139009</v>
      </c>
      <c r="J40" s="27">
        <f t="shared" si="7"/>
        <v>1267878.6121390089</v>
      </c>
      <c r="K40" s="36">
        <f t="shared" si="8"/>
        <v>4.8494932048347379E-2</v>
      </c>
      <c r="L40" s="10">
        <f t="shared" si="3"/>
        <v>4.8494932048347379E-2</v>
      </c>
      <c r="M40" s="133">
        <f t="shared" si="4"/>
        <v>1607516175119.5396</v>
      </c>
      <c r="N40" s="133">
        <f t="shared" si="5"/>
        <v>463278.20275608823</v>
      </c>
      <c r="O40" s="133">
        <f t="shared" si="6"/>
        <v>214626693148.91119</v>
      </c>
      <c r="P40"/>
    </row>
    <row r="41" spans="1:18" x14ac:dyDescent="0.2">
      <c r="A41" s="43">
        <v>42825</v>
      </c>
      <c r="B41" s="44">
        <f>Inputs!D62</f>
        <v>28985084</v>
      </c>
      <c r="C41" s="44">
        <v>715.59999999999991</v>
      </c>
      <c r="D41" s="44">
        <v>31</v>
      </c>
      <c r="E41" s="110">
        <v>1</v>
      </c>
      <c r="F41" s="132">
        <v>0</v>
      </c>
      <c r="G41" s="132">
        <v>39</v>
      </c>
      <c r="H41" s="141">
        <v>0</v>
      </c>
      <c r="I41" s="44">
        <f t="shared" si="2"/>
        <v>28850667.820125472</v>
      </c>
      <c r="J41" s="27">
        <f t="shared" si="7"/>
        <v>-134416.1798745282</v>
      </c>
      <c r="K41" s="36">
        <f t="shared" si="8"/>
        <v>-4.6374259213645269E-3</v>
      </c>
      <c r="L41" s="10">
        <f t="shared" si="3"/>
        <v>4.6374259213645269E-3</v>
      </c>
      <c r="M41" s="133">
        <f t="shared" si="4"/>
        <v>18067709412.06152</v>
      </c>
      <c r="N41" s="133">
        <f t="shared" si="5"/>
        <v>-1402294.7920135371</v>
      </c>
      <c r="O41" s="133">
        <f t="shared" si="6"/>
        <v>1966430683708.2893</v>
      </c>
      <c r="P41"/>
    </row>
    <row r="42" spans="1:18" x14ac:dyDescent="0.2">
      <c r="A42" s="43">
        <v>42855</v>
      </c>
      <c r="B42" s="44">
        <f>Inputs!D63</f>
        <v>22823269</v>
      </c>
      <c r="C42" s="44">
        <v>352.49999999999994</v>
      </c>
      <c r="D42" s="44">
        <v>30</v>
      </c>
      <c r="E42" s="110">
        <v>1</v>
      </c>
      <c r="F42" s="132">
        <v>0</v>
      </c>
      <c r="G42" s="132">
        <v>40</v>
      </c>
      <c r="H42" s="141">
        <v>0</v>
      </c>
      <c r="I42" s="44">
        <f t="shared" si="2"/>
        <v>23880315.167879984</v>
      </c>
      <c r="J42" s="27">
        <f t="shared" si="7"/>
        <v>1057046.1678799838</v>
      </c>
      <c r="K42" s="36">
        <f t="shared" si="8"/>
        <v>4.6314406927420601E-2</v>
      </c>
      <c r="L42" s="10">
        <f t="shared" si="3"/>
        <v>4.6314406927420601E-2</v>
      </c>
      <c r="M42" s="133">
        <f t="shared" si="4"/>
        <v>1117346601029.7588</v>
      </c>
      <c r="N42" s="133">
        <f t="shared" si="5"/>
        <v>1191462.347754512</v>
      </c>
      <c r="O42" s="133">
        <f t="shared" si="6"/>
        <v>1419582526116.6936</v>
      </c>
      <c r="P42"/>
    </row>
    <row r="43" spans="1:18" x14ac:dyDescent="0.2">
      <c r="A43" s="43">
        <v>42886</v>
      </c>
      <c r="B43" s="44">
        <f>Inputs!D64</f>
        <v>22196746</v>
      </c>
      <c r="C43" s="44">
        <v>238.09999999999994</v>
      </c>
      <c r="D43" s="44">
        <v>31</v>
      </c>
      <c r="E43" s="110">
        <v>1</v>
      </c>
      <c r="F43" s="132">
        <v>0</v>
      </c>
      <c r="G43" s="132">
        <v>41</v>
      </c>
      <c r="H43" s="141">
        <v>0</v>
      </c>
      <c r="I43" s="44">
        <f t="shared" si="2"/>
        <v>23019628.36453595</v>
      </c>
      <c r="J43" s="27">
        <f t="shared" si="7"/>
        <v>822882.36453595012</v>
      </c>
      <c r="K43" s="36">
        <f t="shared" si="8"/>
        <v>3.70722070944971E-2</v>
      </c>
      <c r="L43" s="10">
        <f t="shared" si="3"/>
        <v>3.70722070944971E-2</v>
      </c>
      <c r="M43" s="133">
        <f t="shared" si="4"/>
        <v>677135385864.27637</v>
      </c>
      <c r="N43" s="133">
        <f t="shared" si="5"/>
        <v>-234163.80334403366</v>
      </c>
      <c r="O43" s="133">
        <f t="shared" si="6"/>
        <v>54832686796.543266</v>
      </c>
      <c r="P43"/>
    </row>
    <row r="44" spans="1:18" x14ac:dyDescent="0.2">
      <c r="A44" s="43">
        <v>42916</v>
      </c>
      <c r="B44" s="44">
        <f>Inputs!D65</f>
        <v>21339393</v>
      </c>
      <c r="C44" s="44">
        <v>88.800000000000011</v>
      </c>
      <c r="D44" s="44">
        <v>30</v>
      </c>
      <c r="E44" s="110">
        <v>0</v>
      </c>
      <c r="F44" s="132">
        <v>0</v>
      </c>
      <c r="G44" s="132">
        <v>42</v>
      </c>
      <c r="H44" s="141">
        <v>0</v>
      </c>
      <c r="I44" s="44">
        <f t="shared" si="2"/>
        <v>21662016.576701548</v>
      </c>
      <c r="J44" s="27">
        <f t="shared" si="7"/>
        <v>322623.57670154795</v>
      </c>
      <c r="K44" s="36">
        <f t="shared" si="8"/>
        <v>1.5118685742445811E-2</v>
      </c>
      <c r="L44" s="10">
        <f t="shared" si="3"/>
        <v>1.5118685742445811E-2</v>
      </c>
      <c r="M44" s="133">
        <f t="shared" si="4"/>
        <v>104085972243.6996</v>
      </c>
      <c r="N44" s="133">
        <f t="shared" si="5"/>
        <v>-500258.78783440217</v>
      </c>
      <c r="O44" s="133">
        <f t="shared" si="6"/>
        <v>250258854805.54541</v>
      </c>
      <c r="P44"/>
    </row>
    <row r="45" spans="1:18" x14ac:dyDescent="0.2">
      <c r="A45" s="43">
        <v>42947</v>
      </c>
      <c r="B45" s="44">
        <f>Inputs!D66</f>
        <v>22953227</v>
      </c>
      <c r="C45" s="44">
        <v>21.899999999999995</v>
      </c>
      <c r="D45" s="44">
        <v>31</v>
      </c>
      <c r="E45" s="110">
        <v>0</v>
      </c>
      <c r="F45" s="132">
        <v>1</v>
      </c>
      <c r="G45" s="132">
        <v>43</v>
      </c>
      <c r="H45" s="141">
        <v>0</v>
      </c>
      <c r="I45" s="44">
        <f t="shared" si="2"/>
        <v>24312793.440701365</v>
      </c>
      <c r="J45" s="27">
        <f t="shared" si="7"/>
        <v>1359566.4407013655</v>
      </c>
      <c r="K45" s="36">
        <f t="shared" si="8"/>
        <v>5.9232039168233969E-2</v>
      </c>
      <c r="L45" s="10">
        <f t="shared" si="3"/>
        <v>5.9232039168233969E-2</v>
      </c>
      <c r="M45" s="133">
        <f t="shared" si="4"/>
        <v>1848420906681.3794</v>
      </c>
      <c r="N45" s="133">
        <f t="shared" si="5"/>
        <v>1036942.8639998175</v>
      </c>
      <c r="O45" s="133">
        <f t="shared" si="6"/>
        <v>1075250503200.144</v>
      </c>
      <c r="P45"/>
    </row>
    <row r="46" spans="1:18" x14ac:dyDescent="0.2">
      <c r="A46" s="43">
        <v>42978</v>
      </c>
      <c r="B46" s="44">
        <f>Inputs!D67</f>
        <v>22947367</v>
      </c>
      <c r="C46" s="44">
        <v>62.599999999999994</v>
      </c>
      <c r="D46" s="44">
        <v>31</v>
      </c>
      <c r="E46" s="110">
        <v>0</v>
      </c>
      <c r="F46" s="132">
        <v>1</v>
      </c>
      <c r="G46" s="132">
        <v>44</v>
      </c>
      <c r="H46" s="141">
        <v>0</v>
      </c>
      <c r="I46" s="44">
        <f t="shared" si="2"/>
        <v>24820568.559272837</v>
      </c>
      <c r="J46" s="27">
        <f t="shared" si="7"/>
        <v>1873201.5592728369</v>
      </c>
      <c r="K46" s="36">
        <f t="shared" si="8"/>
        <v>8.1630348234411246E-2</v>
      </c>
      <c r="L46" s="10">
        <f t="shared" si="3"/>
        <v>8.1630348234411246E-2</v>
      </c>
      <c r="M46" s="133">
        <f t="shared" si="4"/>
        <v>3508884081662.1875</v>
      </c>
      <c r="N46" s="133">
        <f t="shared" si="5"/>
        <v>513635.11857147142</v>
      </c>
      <c r="O46" s="133">
        <f t="shared" si="6"/>
        <v>263821035029.9295</v>
      </c>
      <c r="P46"/>
    </row>
    <row r="47" spans="1:18" x14ac:dyDescent="0.2">
      <c r="A47" s="43">
        <v>43008</v>
      </c>
      <c r="B47" s="44">
        <f>Inputs!D68</f>
        <v>21826159</v>
      </c>
      <c r="C47" s="44">
        <v>121.9</v>
      </c>
      <c r="D47" s="44">
        <v>30</v>
      </c>
      <c r="E47" s="110">
        <v>0</v>
      </c>
      <c r="F47" s="132">
        <v>0</v>
      </c>
      <c r="G47" s="132">
        <v>45</v>
      </c>
      <c r="H47" s="141">
        <v>0</v>
      </c>
      <c r="I47" s="44">
        <f t="shared" si="2"/>
        <v>22095081.630656816</v>
      </c>
      <c r="J47" s="27">
        <f t="shared" si="7"/>
        <v>268922.63065681607</v>
      </c>
      <c r="K47" s="36">
        <f t="shared" si="8"/>
        <v>1.2321115715175357E-2</v>
      </c>
      <c r="L47" s="10">
        <f t="shared" si="3"/>
        <v>1.2321115715175357E-2</v>
      </c>
      <c r="M47" s="133">
        <f t="shared" si="4"/>
        <v>72319381279.382309</v>
      </c>
      <c r="N47" s="133">
        <f t="shared" si="5"/>
        <v>-1604278.9286160208</v>
      </c>
      <c r="O47" s="133">
        <f t="shared" si="6"/>
        <v>2573710880801.3677</v>
      </c>
      <c r="P47"/>
    </row>
    <row r="48" spans="1:18" x14ac:dyDescent="0.2">
      <c r="A48" s="43">
        <v>43039</v>
      </c>
      <c r="B48" s="44">
        <f>Inputs!D69</f>
        <v>22377976</v>
      </c>
      <c r="C48" s="44">
        <v>243.79999999999998</v>
      </c>
      <c r="D48" s="44">
        <v>31</v>
      </c>
      <c r="E48" s="110">
        <v>1</v>
      </c>
      <c r="F48" s="132">
        <v>0</v>
      </c>
      <c r="G48" s="132">
        <v>46</v>
      </c>
      <c r="H48" s="141">
        <v>0</v>
      </c>
      <c r="I48" s="44">
        <f t="shared" si="2"/>
        <v>23135431.062022977</v>
      </c>
      <c r="J48" s="27">
        <f t="shared" si="7"/>
        <v>757455.06202297658</v>
      </c>
      <c r="K48" s="36">
        <f t="shared" si="8"/>
        <v>3.3848238197367653E-2</v>
      </c>
      <c r="L48" s="10">
        <f t="shared" si="3"/>
        <v>3.3848238197367653E-2</v>
      </c>
      <c r="M48" s="133">
        <f t="shared" si="4"/>
        <v>573738170984.23132</v>
      </c>
      <c r="N48" s="133">
        <f t="shared" si="5"/>
        <v>488532.43136616051</v>
      </c>
      <c r="O48" s="133">
        <f t="shared" si="6"/>
        <v>238663936496.53232</v>
      </c>
      <c r="P48"/>
    </row>
    <row r="49" spans="1:16" x14ac:dyDescent="0.2">
      <c r="A49" s="43">
        <v>43069</v>
      </c>
      <c r="B49" s="44">
        <f>Inputs!D70</f>
        <v>25903115</v>
      </c>
      <c r="C49" s="44">
        <v>421.5</v>
      </c>
      <c r="D49" s="44">
        <v>30</v>
      </c>
      <c r="E49" s="110">
        <v>1</v>
      </c>
      <c r="F49" s="132">
        <v>0</v>
      </c>
      <c r="G49" s="132">
        <v>47</v>
      </c>
      <c r="H49" s="141">
        <v>0</v>
      </c>
      <c r="I49" s="44">
        <f t="shared" si="2"/>
        <v>24789941.007433098</v>
      </c>
      <c r="J49" s="27">
        <f t="shared" si="7"/>
        <v>-1113173.9925669022</v>
      </c>
      <c r="K49" s="36">
        <f t="shared" si="8"/>
        <v>-4.2974522275290139E-2</v>
      </c>
      <c r="L49" s="10">
        <f t="shared" si="3"/>
        <v>4.2974522275290139E-2</v>
      </c>
      <c r="M49" s="133">
        <f t="shared" si="4"/>
        <v>1239156337727.3376</v>
      </c>
      <c r="N49" s="133">
        <f t="shared" si="5"/>
        <v>-1870629.0545898788</v>
      </c>
      <c r="O49" s="133">
        <f t="shared" si="6"/>
        <v>3499253059875.8237</v>
      </c>
      <c r="P49"/>
    </row>
    <row r="50" spans="1:16" x14ac:dyDescent="0.2">
      <c r="A50" s="43">
        <v>43100</v>
      </c>
      <c r="B50" s="44">
        <f>Inputs!D71</f>
        <v>30421258</v>
      </c>
      <c r="C50" s="44">
        <v>885.19999999999993</v>
      </c>
      <c r="D50" s="44">
        <v>31</v>
      </c>
      <c r="E50" s="110">
        <v>0</v>
      </c>
      <c r="F50" s="132">
        <v>0</v>
      </c>
      <c r="G50" s="132">
        <v>48</v>
      </c>
      <c r="H50" s="141">
        <v>0</v>
      </c>
      <c r="I50" s="44">
        <f t="shared" si="2"/>
        <v>32004712.236262612</v>
      </c>
      <c r="J50" s="27">
        <f t="shared" si="7"/>
        <v>1583454.236262612</v>
      </c>
      <c r="K50" s="36">
        <f t="shared" si="8"/>
        <v>5.2050912433095703E-2</v>
      </c>
      <c r="L50" s="10">
        <f t="shared" si="3"/>
        <v>5.2050912433095703E-2</v>
      </c>
      <c r="M50" s="133">
        <f t="shared" si="4"/>
        <v>2507327318338.0122</v>
      </c>
      <c r="N50" s="133">
        <f t="shared" si="5"/>
        <v>2696628.2288295142</v>
      </c>
      <c r="O50" s="133">
        <f t="shared" si="6"/>
        <v>7271803804520.2031</v>
      </c>
      <c r="P50"/>
    </row>
    <row r="51" spans="1:16" x14ac:dyDescent="0.2">
      <c r="A51" s="43">
        <v>43131</v>
      </c>
      <c r="B51" s="44">
        <f>Inputs!D72</f>
        <v>32733608</v>
      </c>
      <c r="C51" s="44">
        <v>873.09999999999991</v>
      </c>
      <c r="D51" s="44">
        <v>31</v>
      </c>
      <c r="E51" s="110">
        <v>0</v>
      </c>
      <c r="F51" s="132">
        <v>0</v>
      </c>
      <c r="G51" s="132">
        <v>49</v>
      </c>
      <c r="H51" s="141">
        <v>0</v>
      </c>
      <c r="I51" s="44">
        <f t="shared" si="2"/>
        <v>31865681.243228659</v>
      </c>
      <c r="J51" s="27">
        <f t="shared" si="7"/>
        <v>-867926.75677134097</v>
      </c>
      <c r="K51" s="36">
        <f t="shared" si="8"/>
        <v>-2.651485154863897E-2</v>
      </c>
      <c r="L51" s="10">
        <f t="shared" si="3"/>
        <v>2.651485154863897E-2</v>
      </c>
      <c r="M51" s="133">
        <f t="shared" si="4"/>
        <v>753296855119.61841</v>
      </c>
      <c r="N51" s="133">
        <f t="shared" si="5"/>
        <v>-2451380.993033953</v>
      </c>
      <c r="O51" s="133">
        <f t="shared" si="6"/>
        <v>6009268773008.1299</v>
      </c>
      <c r="P51"/>
    </row>
    <row r="52" spans="1:16" x14ac:dyDescent="0.2">
      <c r="A52" s="43">
        <v>43159</v>
      </c>
      <c r="B52" s="44">
        <f>Inputs!D73</f>
        <v>27371745</v>
      </c>
      <c r="C52" s="44">
        <v>701.30000000000007</v>
      </c>
      <c r="D52" s="44">
        <v>28</v>
      </c>
      <c r="E52" s="110">
        <v>0</v>
      </c>
      <c r="F52" s="132">
        <v>0</v>
      </c>
      <c r="G52" s="132">
        <v>50</v>
      </c>
      <c r="H52" s="141">
        <v>0</v>
      </c>
      <c r="I52" s="44">
        <f t="shared" si="2"/>
        <v>28175713.672126953</v>
      </c>
      <c r="J52" s="27">
        <f t="shared" si="7"/>
        <v>803968.67212695256</v>
      </c>
      <c r="K52" s="36">
        <f t="shared" si="8"/>
        <v>2.9372211093116371E-2</v>
      </c>
      <c r="L52" s="10">
        <f t="shared" si="3"/>
        <v>2.9372211093116371E-2</v>
      </c>
      <c r="M52" s="133">
        <f t="shared" si="4"/>
        <v>646365625761.57532</v>
      </c>
      <c r="N52" s="133">
        <f t="shared" si="5"/>
        <v>1671895.4288982935</v>
      </c>
      <c r="O52" s="133">
        <f t="shared" si="6"/>
        <v>2795234325171.0088</v>
      </c>
      <c r="P52"/>
    </row>
    <row r="53" spans="1:16" x14ac:dyDescent="0.2">
      <c r="A53" s="43">
        <v>43190</v>
      </c>
      <c r="B53" s="44">
        <f>Inputs!D74</f>
        <v>27619983</v>
      </c>
      <c r="C53" s="44">
        <v>658.80000000000007</v>
      </c>
      <c r="D53" s="44">
        <v>31</v>
      </c>
      <c r="E53" s="110">
        <v>1</v>
      </c>
      <c r="F53" s="132">
        <v>0</v>
      </c>
      <c r="G53" s="132">
        <v>51</v>
      </c>
      <c r="H53" s="141">
        <v>0</v>
      </c>
      <c r="I53" s="44">
        <f t="shared" si="2"/>
        <v>28265206.136027098</v>
      </c>
      <c r="J53" s="27">
        <f t="shared" si="7"/>
        <v>645223.1360270977</v>
      </c>
      <c r="K53" s="36">
        <f t="shared" si="8"/>
        <v>2.3360736175221313E-2</v>
      </c>
      <c r="L53" s="10">
        <f t="shared" si="3"/>
        <v>2.3360736175221313E-2</v>
      </c>
      <c r="M53" s="133">
        <f t="shared" si="4"/>
        <v>416312895264.64264</v>
      </c>
      <c r="N53" s="133">
        <f t="shared" si="5"/>
        <v>-158745.53609985486</v>
      </c>
      <c r="O53" s="133">
        <f t="shared" si="6"/>
        <v>25200145231.630322</v>
      </c>
      <c r="P53"/>
    </row>
    <row r="54" spans="1:16" x14ac:dyDescent="0.2">
      <c r="A54" s="43">
        <v>43220</v>
      </c>
      <c r="B54" s="44">
        <f>Inputs!D75</f>
        <v>25333746</v>
      </c>
      <c r="C54" s="44">
        <v>545.29999999999995</v>
      </c>
      <c r="D54" s="44">
        <v>30</v>
      </c>
      <c r="E54" s="110">
        <v>1</v>
      </c>
      <c r="F54" s="132">
        <v>0</v>
      </c>
      <c r="G54" s="132">
        <v>52</v>
      </c>
      <c r="H54" s="141">
        <v>0</v>
      </c>
      <c r="I54" s="44">
        <f t="shared" si="2"/>
        <v>26352482.375007272</v>
      </c>
      <c r="J54" s="27">
        <f t="shared" si="7"/>
        <v>1018736.3750072718</v>
      </c>
      <c r="K54" s="36">
        <f t="shared" si="8"/>
        <v>4.0212622918350559E-2</v>
      </c>
      <c r="L54" s="10">
        <f t="shared" si="3"/>
        <v>4.0212622918350559E-2</v>
      </c>
      <c r="M54" s="133">
        <f t="shared" si="4"/>
        <v>1037823801762.9567</v>
      </c>
      <c r="N54" s="133">
        <f t="shared" si="5"/>
        <v>373513.23898017406</v>
      </c>
      <c r="O54" s="133">
        <f t="shared" si="6"/>
        <v>139512139693.46063</v>
      </c>
      <c r="P54"/>
    </row>
    <row r="55" spans="1:16" x14ac:dyDescent="0.2">
      <c r="A55" s="43">
        <v>43251</v>
      </c>
      <c r="B55" s="44">
        <f>Inputs!D76</f>
        <v>21970207</v>
      </c>
      <c r="C55" s="44">
        <v>149.80000000000001</v>
      </c>
      <c r="D55" s="44">
        <v>31</v>
      </c>
      <c r="E55" s="110">
        <v>1</v>
      </c>
      <c r="F55" s="132">
        <v>0</v>
      </c>
      <c r="G55" s="132">
        <v>53</v>
      </c>
      <c r="H55" s="141">
        <v>0</v>
      </c>
      <c r="I55" s="44">
        <f t="shared" si="2"/>
        <v>22048288.034309335</v>
      </c>
      <c r="J55" s="27">
        <f t="shared" si="7"/>
        <v>78081.034309335053</v>
      </c>
      <c r="K55" s="36">
        <f t="shared" si="8"/>
        <v>3.5539507802241034E-3</v>
      </c>
      <c r="L55" s="10">
        <f t="shared" si="3"/>
        <v>3.5539507802241034E-3</v>
      </c>
      <c r="M55" s="133">
        <f t="shared" si="4"/>
        <v>6096647918.8155575</v>
      </c>
      <c r="N55" s="133">
        <f t="shared" si="5"/>
        <v>-940655.34069793671</v>
      </c>
      <c r="O55" s="133">
        <f t="shared" si="6"/>
        <v>884832469983.55139</v>
      </c>
      <c r="P55"/>
    </row>
    <row r="56" spans="1:16" x14ac:dyDescent="0.2">
      <c r="A56" s="43">
        <v>43281</v>
      </c>
      <c r="B56" s="44">
        <f>Inputs!D77</f>
        <v>22053298</v>
      </c>
      <c r="C56" s="44">
        <v>86.499999999999986</v>
      </c>
      <c r="D56" s="44">
        <v>30</v>
      </c>
      <c r="E56" s="110">
        <v>0</v>
      </c>
      <c r="F56" s="132">
        <v>0</v>
      </c>
      <c r="G56" s="132">
        <v>54</v>
      </c>
      <c r="H56" s="141">
        <v>0</v>
      </c>
      <c r="I56" s="44">
        <f t="shared" si="2"/>
        <v>21744186.200983774</v>
      </c>
      <c r="J56" s="27">
        <f t="shared" si="7"/>
        <v>-309111.79901622608</v>
      </c>
      <c r="K56" s="36">
        <f t="shared" si="8"/>
        <v>-1.4016579244348218E-2</v>
      </c>
      <c r="L56" s="10">
        <f t="shared" si="3"/>
        <v>1.4016579244348218E-2</v>
      </c>
      <c r="M56" s="133">
        <f t="shared" si="4"/>
        <v>95550104291.047745</v>
      </c>
      <c r="N56" s="133">
        <f t="shared" si="5"/>
        <v>-387192.83332556114</v>
      </c>
      <c r="O56" s="133">
        <f t="shared" si="6"/>
        <v>149918290178.67578</v>
      </c>
      <c r="P56"/>
    </row>
    <row r="57" spans="1:16" x14ac:dyDescent="0.2">
      <c r="A57" s="43">
        <v>43312</v>
      </c>
      <c r="B57" s="44">
        <f>Inputs!D78</f>
        <v>25386186</v>
      </c>
      <c r="C57" s="44">
        <v>15.6</v>
      </c>
      <c r="D57" s="44">
        <v>31</v>
      </c>
      <c r="E57" s="110">
        <v>0</v>
      </c>
      <c r="F57" s="132">
        <v>1</v>
      </c>
      <c r="G57" s="132">
        <v>55</v>
      </c>
      <c r="H57" s="141">
        <v>0</v>
      </c>
      <c r="I57" s="44">
        <f t="shared" si="2"/>
        <v>24345962.601983178</v>
      </c>
      <c r="J57" s="27">
        <f t="shared" si="7"/>
        <v>-1040223.3980168216</v>
      </c>
      <c r="K57" s="36">
        <f t="shared" si="8"/>
        <v>-4.0975962203098237E-2</v>
      </c>
      <c r="L57" s="10">
        <f t="shared" si="3"/>
        <v>4.0975962203098237E-2</v>
      </c>
      <c r="M57" s="133">
        <f t="shared" si="4"/>
        <v>1082064717781.6628</v>
      </c>
      <c r="N57" s="133">
        <f t="shared" si="5"/>
        <v>-731111.59900059551</v>
      </c>
      <c r="O57" s="133">
        <f t="shared" si="6"/>
        <v>534524170193.20758</v>
      </c>
      <c r="P57"/>
    </row>
    <row r="58" spans="1:16" x14ac:dyDescent="0.2">
      <c r="A58" s="43">
        <v>43343</v>
      </c>
      <c r="B58" s="44">
        <f>Inputs!D79</f>
        <v>24965359</v>
      </c>
      <c r="C58" s="44">
        <v>13.7</v>
      </c>
      <c r="D58" s="44">
        <v>31</v>
      </c>
      <c r="E58" s="110">
        <v>0</v>
      </c>
      <c r="F58" s="132">
        <v>1</v>
      </c>
      <c r="G58" s="132">
        <v>56</v>
      </c>
      <c r="H58" s="141">
        <v>0</v>
      </c>
      <c r="I58" s="44">
        <f t="shared" si="2"/>
        <v>24331882.789600272</v>
      </c>
      <c r="J58" s="27">
        <f t="shared" si="7"/>
        <v>-633476.21039972827</v>
      </c>
      <c r="K58" s="36">
        <f t="shared" si="8"/>
        <v>-2.5374207933470064E-2</v>
      </c>
      <c r="L58" s="10">
        <f t="shared" si="3"/>
        <v>2.5374207933470064E-2</v>
      </c>
      <c r="M58" s="133">
        <f t="shared" si="4"/>
        <v>401292109142.40082</v>
      </c>
      <c r="N58" s="133">
        <f t="shared" si="5"/>
        <v>406747.18761709332</v>
      </c>
      <c r="O58" s="133">
        <f t="shared" si="6"/>
        <v>165443274634.41492</v>
      </c>
      <c r="P58"/>
    </row>
    <row r="59" spans="1:16" x14ac:dyDescent="0.2">
      <c r="A59" s="43">
        <v>43373</v>
      </c>
      <c r="B59" s="44">
        <f>Inputs!D80</f>
        <v>22184261</v>
      </c>
      <c r="C59" s="44">
        <v>128.5</v>
      </c>
      <c r="D59" s="44">
        <v>30</v>
      </c>
      <c r="E59" s="110">
        <v>0</v>
      </c>
      <c r="F59" s="132">
        <v>0</v>
      </c>
      <c r="G59" s="132">
        <v>57</v>
      </c>
      <c r="H59" s="141">
        <v>0</v>
      </c>
      <c r="I59" s="44">
        <f t="shared" si="2"/>
        <v>22286277.285114959</v>
      </c>
      <c r="J59" s="27">
        <f t="shared" si="7"/>
        <v>102016.28511495888</v>
      </c>
      <c r="K59" s="36">
        <f t="shared" si="8"/>
        <v>4.598588391786361E-3</v>
      </c>
      <c r="L59" s="10">
        <f t="shared" si="3"/>
        <v>4.598588391786361E-3</v>
      </c>
      <c r="M59" s="133">
        <f t="shared" si="4"/>
        <v>10407322428.656582</v>
      </c>
      <c r="N59" s="133">
        <f t="shared" si="5"/>
        <v>735492.49551468715</v>
      </c>
      <c r="O59" s="133">
        <f t="shared" si="6"/>
        <v>540949210958.42212</v>
      </c>
      <c r="P59"/>
    </row>
    <row r="60" spans="1:16" x14ac:dyDescent="0.2">
      <c r="A60" s="43">
        <v>43404</v>
      </c>
      <c r="B60" s="44">
        <f>Inputs!D81</f>
        <v>24204812</v>
      </c>
      <c r="C60" s="44">
        <v>380.4</v>
      </c>
      <c r="D60" s="44">
        <v>31</v>
      </c>
      <c r="E60" s="110">
        <v>1</v>
      </c>
      <c r="F60" s="132">
        <v>0</v>
      </c>
      <c r="G60" s="132">
        <v>58</v>
      </c>
      <c r="H60" s="141">
        <v>0</v>
      </c>
      <c r="I60" s="44">
        <f t="shared" si="2"/>
        <v>24919141.763994485</v>
      </c>
      <c r="J60" s="27">
        <f t="shared" si="7"/>
        <v>714329.76399448514</v>
      </c>
      <c r="K60" s="36">
        <f t="shared" si="8"/>
        <v>2.9511890610614332E-2</v>
      </c>
      <c r="L60" s="10">
        <f t="shared" si="3"/>
        <v>2.9511890610614332E-2</v>
      </c>
      <c r="M60" s="133">
        <f t="shared" si="4"/>
        <v>510267011728.41681</v>
      </c>
      <c r="N60" s="133">
        <f t="shared" si="5"/>
        <v>612313.47887952626</v>
      </c>
      <c r="O60" s="133">
        <f t="shared" si="6"/>
        <v>374927796417.54803</v>
      </c>
      <c r="P60"/>
    </row>
    <row r="61" spans="1:16" x14ac:dyDescent="0.2">
      <c r="A61" s="43">
        <v>43434</v>
      </c>
      <c r="B61" s="44">
        <f>Inputs!D82</f>
        <v>26802618</v>
      </c>
      <c r="C61" s="44">
        <v>599.29999999999995</v>
      </c>
      <c r="D61" s="44">
        <v>30</v>
      </c>
      <c r="E61" s="110">
        <v>1</v>
      </c>
      <c r="F61" s="132">
        <v>0</v>
      </c>
      <c r="G61" s="132">
        <v>59</v>
      </c>
      <c r="H61" s="141">
        <v>0</v>
      </c>
      <c r="I61" s="44">
        <f t="shared" si="2"/>
        <v>27078356.478308842</v>
      </c>
      <c r="J61" s="27">
        <f t="shared" si="7"/>
        <v>275738.47830884159</v>
      </c>
      <c r="K61" s="36">
        <f t="shared" si="8"/>
        <v>1.0287744216212072E-2</v>
      </c>
      <c r="L61" s="10">
        <f t="shared" si="3"/>
        <v>1.0287744216212072E-2</v>
      </c>
      <c r="M61" s="133">
        <f t="shared" si="4"/>
        <v>76031708420.0755</v>
      </c>
      <c r="N61" s="133">
        <f t="shared" si="5"/>
        <v>-438591.28568564355</v>
      </c>
      <c r="O61" s="133">
        <f t="shared" si="6"/>
        <v>192362315879.3858</v>
      </c>
      <c r="P61"/>
    </row>
    <row r="62" spans="1:16" x14ac:dyDescent="0.2">
      <c r="A62" s="43">
        <v>43465</v>
      </c>
      <c r="B62" s="44">
        <f>Inputs!D83</f>
        <v>28621650</v>
      </c>
      <c r="C62" s="44">
        <v>720.80000000000007</v>
      </c>
      <c r="D62" s="44">
        <v>31</v>
      </c>
      <c r="E62" s="110">
        <v>0</v>
      </c>
      <c r="F62" s="132">
        <v>0</v>
      </c>
      <c r="G62" s="132">
        <v>60</v>
      </c>
      <c r="H62" s="141">
        <v>0</v>
      </c>
      <c r="I62" s="44">
        <f t="shared" si="2"/>
        <v>30101138.09745317</v>
      </c>
      <c r="J62" s="27">
        <f t="shared" si="7"/>
        <v>1479488.0974531695</v>
      </c>
      <c r="K62" s="36">
        <f t="shared" si="8"/>
        <v>5.1691223163345561E-2</v>
      </c>
      <c r="L62" s="10">
        <f t="shared" si="3"/>
        <v>5.1691223163345561E-2</v>
      </c>
      <c r="M62" s="133">
        <f t="shared" si="4"/>
        <v>2188885030505.5994</v>
      </c>
      <c r="N62" s="133">
        <f t="shared" si="5"/>
        <v>1203749.6191443279</v>
      </c>
      <c r="O62" s="133">
        <f t="shared" si="6"/>
        <v>1449013145590.1145</v>
      </c>
      <c r="P62"/>
    </row>
    <row r="63" spans="1:16" x14ac:dyDescent="0.2">
      <c r="A63" s="43">
        <v>43496</v>
      </c>
      <c r="B63" s="44">
        <f>Inputs!D84</f>
        <v>32743936.59</v>
      </c>
      <c r="C63" s="44">
        <v>909.60000000000014</v>
      </c>
      <c r="D63" s="44">
        <v>31</v>
      </c>
      <c r="E63" s="110">
        <v>0</v>
      </c>
      <c r="F63" s="132">
        <v>0</v>
      </c>
      <c r="G63" s="132">
        <v>61</v>
      </c>
      <c r="H63" s="141">
        <v>0</v>
      </c>
      <c r="I63" s="44">
        <f t="shared" si="2"/>
        <v>32423155.358614873</v>
      </c>
      <c r="J63" s="27">
        <f t="shared" si="7"/>
        <v>-320781.23138512671</v>
      </c>
      <c r="K63" s="36">
        <f t="shared" si="8"/>
        <v>-9.7966605360179353E-3</v>
      </c>
      <c r="L63" s="10">
        <f t="shared" si="3"/>
        <v>9.7966605360179353E-3</v>
      </c>
      <c r="M63" s="133">
        <f t="shared" si="4"/>
        <v>102900598408.95821</v>
      </c>
      <c r="N63" s="133">
        <f t="shared" si="5"/>
        <v>-1800269.3288382962</v>
      </c>
      <c r="O63" s="133">
        <f t="shared" si="6"/>
        <v>3240969656355.8896</v>
      </c>
      <c r="P63"/>
    </row>
    <row r="64" spans="1:16" x14ac:dyDescent="0.2">
      <c r="A64" s="43">
        <v>43524</v>
      </c>
      <c r="B64" s="44">
        <f>Inputs!D85</f>
        <v>28440395.719999999</v>
      </c>
      <c r="C64" s="44">
        <v>767.20000000000016</v>
      </c>
      <c r="D64" s="44">
        <v>28</v>
      </c>
      <c r="E64" s="110">
        <v>0</v>
      </c>
      <c r="F64" s="132">
        <v>0</v>
      </c>
      <c r="G64" s="132">
        <v>62</v>
      </c>
      <c r="H64" s="141">
        <v>0</v>
      </c>
      <c r="I64" s="44">
        <f t="shared" si="2"/>
        <v>29093341.190566193</v>
      </c>
      <c r="J64" s="27">
        <f t="shared" si="7"/>
        <v>652945.4705661945</v>
      </c>
      <c r="K64" s="36">
        <f t="shared" si="8"/>
        <v>2.2958382049059426E-2</v>
      </c>
      <c r="L64" s="10">
        <f t="shared" si="3"/>
        <v>2.2958382049059426E-2</v>
      </c>
      <c r="M64" s="133">
        <f t="shared" si="4"/>
        <v>426337787532.90918</v>
      </c>
      <c r="N64" s="133">
        <f t="shared" si="5"/>
        <v>973726.70195132121</v>
      </c>
      <c r="O64" s="133">
        <f t="shared" si="6"/>
        <v>948143690092.99719</v>
      </c>
      <c r="P64"/>
    </row>
    <row r="65" spans="1:16" x14ac:dyDescent="0.2">
      <c r="A65" s="43">
        <v>43555</v>
      </c>
      <c r="B65" s="44">
        <f>Inputs!D86</f>
        <v>29353455.600000001</v>
      </c>
      <c r="C65" s="44">
        <v>749.70000000000016</v>
      </c>
      <c r="D65" s="44">
        <v>31</v>
      </c>
      <c r="E65" s="110">
        <v>1</v>
      </c>
      <c r="F65" s="132">
        <v>0</v>
      </c>
      <c r="G65" s="132">
        <v>63</v>
      </c>
      <c r="H65" s="141">
        <v>0</v>
      </c>
      <c r="I65" s="44">
        <f t="shared" si="2"/>
        <v>29489086.548218906</v>
      </c>
      <c r="J65" s="27">
        <f t="shared" si="7"/>
        <v>135630.94821890444</v>
      </c>
      <c r="K65" s="36">
        <f t="shared" si="8"/>
        <v>4.6206126483760374E-3</v>
      </c>
      <c r="L65" s="10">
        <f t="shared" si="3"/>
        <v>4.6206126483760374E-3</v>
      </c>
      <c r="M65" s="133">
        <f t="shared" si="4"/>
        <v>18395754114.759136</v>
      </c>
      <c r="N65" s="133">
        <f t="shared" si="5"/>
        <v>-517314.52234729007</v>
      </c>
      <c r="O65" s="133">
        <f t="shared" si="6"/>
        <v>267614315031.40488</v>
      </c>
    </row>
    <row r="66" spans="1:16" x14ac:dyDescent="0.2">
      <c r="A66" s="43">
        <v>43585</v>
      </c>
      <c r="B66" s="44">
        <f>Inputs!D87</f>
        <v>24614385.100000001</v>
      </c>
      <c r="C66" s="44">
        <v>427.29999999999984</v>
      </c>
      <c r="D66" s="44">
        <v>30</v>
      </c>
      <c r="E66" s="110">
        <v>1</v>
      </c>
      <c r="F66" s="132">
        <v>0</v>
      </c>
      <c r="G66" s="132">
        <v>64</v>
      </c>
      <c r="H66" s="141">
        <v>0</v>
      </c>
      <c r="I66" s="44">
        <f t="shared" si="2"/>
        <v>25017313.607002597</v>
      </c>
      <c r="J66" s="27">
        <f t="shared" si="7"/>
        <v>402928.50700259581</v>
      </c>
      <c r="K66" s="36">
        <f t="shared" si="8"/>
        <v>1.6369635291136962E-2</v>
      </c>
      <c r="L66" s="10">
        <f t="shared" si="3"/>
        <v>1.6369635291136962E-2</v>
      </c>
      <c r="M66" s="133">
        <f t="shared" si="4"/>
        <v>162351381755.34091</v>
      </c>
      <c r="N66" s="133">
        <f t="shared" si="5"/>
        <v>267297.55878369138</v>
      </c>
      <c r="O66" s="133">
        <f t="shared" si="6"/>
        <v>71447984931.720947</v>
      </c>
    </row>
    <row r="67" spans="1:16" x14ac:dyDescent="0.2">
      <c r="A67" s="43">
        <v>43616</v>
      </c>
      <c r="B67" s="44">
        <f>Inputs!D88</f>
        <v>22757878</v>
      </c>
      <c r="C67" s="44">
        <v>275.60000000000014</v>
      </c>
      <c r="D67" s="44">
        <v>31</v>
      </c>
      <c r="E67" s="110">
        <v>1</v>
      </c>
      <c r="F67" s="132">
        <v>0</v>
      </c>
      <c r="G67" s="132">
        <v>65</v>
      </c>
      <c r="H67" s="141">
        <v>0</v>
      </c>
      <c r="I67" s="44">
        <f t="shared" si="2"/>
        <v>23699697.486179732</v>
      </c>
      <c r="J67" s="27">
        <f t="shared" ref="J67:J98" si="9">I67-B67</f>
        <v>941819.48617973179</v>
      </c>
      <c r="K67" s="36">
        <f t="shared" ref="K67:K98" si="10">J67/B67</f>
        <v>4.138432793161699E-2</v>
      </c>
      <c r="L67" s="10">
        <f t="shared" ref="L67:L122" si="11">ABS(K67)</f>
        <v>4.138432793161699E-2</v>
      </c>
      <c r="M67" s="133">
        <f t="shared" si="4"/>
        <v>887023944547.854</v>
      </c>
      <c r="N67" s="133">
        <f t="shared" si="5"/>
        <v>538890.97917713597</v>
      </c>
      <c r="O67" s="133">
        <f t="shared" si="6"/>
        <v>290403487438.49237</v>
      </c>
    </row>
    <row r="68" spans="1:16" x14ac:dyDescent="0.2">
      <c r="A68" s="43">
        <v>43646</v>
      </c>
      <c r="B68" s="44">
        <f>Inputs!D89</f>
        <v>21375937</v>
      </c>
      <c r="C68" s="44">
        <v>116.70000000000002</v>
      </c>
      <c r="D68" s="44">
        <v>30</v>
      </c>
      <c r="E68" s="110">
        <v>0</v>
      </c>
      <c r="F68" s="132">
        <v>0</v>
      </c>
      <c r="G68" s="132">
        <v>66</v>
      </c>
      <c r="H68" s="141">
        <v>0</v>
      </c>
      <c r="I68" s="44">
        <f t="shared" ref="I68:I131" si="12">$R$18+$R$19*C68+$R$20*D68+$R$21*E68+$R$22*F68+$R$23*G68+$R$24*H68</f>
        <v>22224484.587144341</v>
      </c>
      <c r="J68" s="27">
        <f t="shared" si="9"/>
        <v>848547.58714434132</v>
      </c>
      <c r="K68" s="36">
        <f t="shared" si="10"/>
        <v>3.9696392590619127E-2</v>
      </c>
      <c r="L68" s="10">
        <f t="shared" si="11"/>
        <v>3.9696392590619127E-2</v>
      </c>
      <c r="M68" s="133">
        <f t="shared" ref="M68:M122" si="13">J68*J68</f>
        <v>720033007648.48352</v>
      </c>
      <c r="N68" s="133">
        <f t="shared" si="5"/>
        <v>-93271.899035390466</v>
      </c>
      <c r="O68" s="133">
        <f t="shared" si="6"/>
        <v>8699647149.6680737</v>
      </c>
    </row>
    <row r="69" spans="1:16" x14ac:dyDescent="0.2">
      <c r="A69" s="43">
        <v>43677</v>
      </c>
      <c r="B69" s="44">
        <f>Inputs!D90</f>
        <v>25496655.219999999</v>
      </c>
      <c r="C69" s="44">
        <v>13.700000000000001</v>
      </c>
      <c r="D69" s="44">
        <v>31</v>
      </c>
      <c r="E69" s="110">
        <v>0</v>
      </c>
      <c r="F69" s="132">
        <v>1</v>
      </c>
      <c r="G69" s="132">
        <v>67</v>
      </c>
      <c r="H69" s="141">
        <v>0</v>
      </c>
      <c r="I69" s="44">
        <f t="shared" si="12"/>
        <v>24433032.272565443</v>
      </c>
      <c r="J69" s="27">
        <f t="shared" si="9"/>
        <v>-1063622.9474345557</v>
      </c>
      <c r="K69" s="36">
        <f t="shared" si="10"/>
        <v>-4.1716175641745838E-2</v>
      </c>
      <c r="L69" s="10">
        <f t="shared" si="11"/>
        <v>4.1716175641745838E-2</v>
      </c>
      <c r="M69" s="133">
        <f t="shared" si="13"/>
        <v>1131293774309.3718</v>
      </c>
      <c r="N69" s="133">
        <f t="shared" ref="N69:N122" si="14">J69-J68</f>
        <v>-1912170.5345788971</v>
      </c>
      <c r="O69" s="133">
        <f t="shared" ref="O69:O122" si="15">N69*N69</f>
        <v>3656396153311.7451</v>
      </c>
    </row>
    <row r="70" spans="1:16" x14ac:dyDescent="0.2">
      <c r="A70" s="43">
        <v>43708</v>
      </c>
      <c r="B70" s="44">
        <f>Inputs!D91</f>
        <v>23892941.600000001</v>
      </c>
      <c r="C70" s="44">
        <v>53.599999999999994</v>
      </c>
      <c r="D70" s="44">
        <v>31</v>
      </c>
      <c r="E70" s="110">
        <v>0</v>
      </c>
      <c r="F70" s="132">
        <v>1</v>
      </c>
      <c r="G70" s="132">
        <v>68</v>
      </c>
      <c r="H70" s="141">
        <v>0</v>
      </c>
      <c r="I70" s="44">
        <f t="shared" si="12"/>
        <v>24931007.298536833</v>
      </c>
      <c r="J70" s="27">
        <f t="shared" si="9"/>
        <v>1038065.6985368319</v>
      </c>
      <c r="K70" s="36">
        <f t="shared" si="10"/>
        <v>4.3446542326828097E-2</v>
      </c>
      <c r="L70" s="10">
        <f t="shared" si="11"/>
        <v>4.3446542326828097E-2</v>
      </c>
      <c r="M70" s="133">
        <f t="shared" si="13"/>
        <v>1077580394478.7607</v>
      </c>
      <c r="N70" s="133">
        <f t="shared" si="14"/>
        <v>2101688.6459713876</v>
      </c>
      <c r="O70" s="133">
        <f t="shared" si="15"/>
        <v>4417095164605.0449</v>
      </c>
    </row>
    <row r="71" spans="1:16" x14ac:dyDescent="0.2">
      <c r="A71" s="43">
        <v>43738</v>
      </c>
      <c r="B71" s="44">
        <f>Inputs!D92</f>
        <v>21583546.969999999</v>
      </c>
      <c r="C71" s="44">
        <v>148.49999999999997</v>
      </c>
      <c r="D71" s="44">
        <v>30</v>
      </c>
      <c r="E71" s="110">
        <v>0</v>
      </c>
      <c r="F71" s="132">
        <v>0</v>
      </c>
      <c r="G71" s="132">
        <v>69</v>
      </c>
      <c r="H71" s="141">
        <v>0</v>
      </c>
      <c r="I71" s="44">
        <f t="shared" si="12"/>
        <v>22641624.490624476</v>
      </c>
      <c r="J71" s="27">
        <f t="shared" si="9"/>
        <v>1058077.5206244774</v>
      </c>
      <c r="K71" s="36">
        <f t="shared" si="10"/>
        <v>4.9022411473663242E-2</v>
      </c>
      <c r="L71" s="10">
        <f t="shared" si="11"/>
        <v>4.9022411473663242E-2</v>
      </c>
      <c r="M71" s="133">
        <f t="shared" si="13"/>
        <v>1119528039650.8416</v>
      </c>
      <c r="N71" s="133">
        <f t="shared" si="14"/>
        <v>20011.822087645531</v>
      </c>
      <c r="O71" s="133">
        <f t="shared" si="15"/>
        <v>400473023.26757753</v>
      </c>
    </row>
    <row r="72" spans="1:16" x14ac:dyDescent="0.2">
      <c r="A72" s="43">
        <v>43769</v>
      </c>
      <c r="B72" s="44">
        <f>Inputs!D93</f>
        <v>23416882.789999999</v>
      </c>
      <c r="C72" s="44">
        <v>328.6</v>
      </c>
      <c r="D72" s="44">
        <v>31</v>
      </c>
      <c r="E72" s="110">
        <v>1</v>
      </c>
      <c r="F72" s="132">
        <v>0</v>
      </c>
      <c r="G72" s="132">
        <v>70</v>
      </c>
      <c r="H72" s="141">
        <v>0</v>
      </c>
      <c r="I72" s="44">
        <f t="shared" si="12"/>
        <v>24394930.658646621</v>
      </c>
      <c r="J72" s="27">
        <f t="shared" si="9"/>
        <v>978047.8686466217</v>
      </c>
      <c r="K72" s="36">
        <f t="shared" si="10"/>
        <v>4.1766783282713001E-2</v>
      </c>
      <c r="L72" s="10">
        <f t="shared" si="11"/>
        <v>4.1766783282713001E-2</v>
      </c>
      <c r="M72" s="133">
        <f t="shared" si="13"/>
        <v>956577633364.19934</v>
      </c>
      <c r="N72" s="133">
        <f t="shared" si="14"/>
        <v>-80029.651977855712</v>
      </c>
      <c r="O72" s="133">
        <f t="shared" si="15"/>
        <v>6404745195.6967049</v>
      </c>
    </row>
    <row r="73" spans="1:16" x14ac:dyDescent="0.2">
      <c r="A73" s="43">
        <v>43799</v>
      </c>
      <c r="B73" s="44">
        <f>Inputs!D94</f>
        <v>27163548.379999999</v>
      </c>
      <c r="C73" s="44">
        <v>617.80000000000007</v>
      </c>
      <c r="D73" s="44">
        <v>30</v>
      </c>
      <c r="E73" s="110">
        <v>1</v>
      </c>
      <c r="F73" s="132">
        <v>0</v>
      </c>
      <c r="G73" s="132">
        <v>71</v>
      </c>
      <c r="H73" s="141">
        <v>0</v>
      </c>
      <c r="I73" s="44">
        <f t="shared" si="12"/>
        <v>27415328.510193206</v>
      </c>
      <c r="J73" s="27">
        <f t="shared" si="9"/>
        <v>251780.13019320741</v>
      </c>
      <c r="K73" s="36">
        <f t="shared" si="10"/>
        <v>9.2690441863842905E-3</v>
      </c>
      <c r="L73" s="10">
        <f t="shared" si="11"/>
        <v>9.2690441863842905E-3</v>
      </c>
      <c r="M73" s="133">
        <f t="shared" si="13"/>
        <v>63393233960.108475</v>
      </c>
      <c r="N73" s="133">
        <f t="shared" si="14"/>
        <v>-726267.73845341429</v>
      </c>
      <c r="O73" s="133">
        <f t="shared" si="15"/>
        <v>527464827918.237</v>
      </c>
    </row>
    <row r="74" spans="1:16" x14ac:dyDescent="0.2">
      <c r="A74" s="43">
        <v>43830</v>
      </c>
      <c r="B74" s="44">
        <f>Inputs!D95</f>
        <v>29112532.5</v>
      </c>
      <c r="C74" s="44">
        <v>717.2</v>
      </c>
      <c r="D74" s="44">
        <v>31</v>
      </c>
      <c r="E74" s="110">
        <v>0</v>
      </c>
      <c r="F74" s="132">
        <v>0</v>
      </c>
      <c r="G74" s="132">
        <v>72</v>
      </c>
      <c r="H74" s="141">
        <v>0</v>
      </c>
      <c r="I74" s="44">
        <f t="shared" si="12"/>
        <v>30167382.571260259</v>
      </c>
      <c r="J74" s="27">
        <f t="shared" si="9"/>
        <v>1054850.0712602586</v>
      </c>
      <c r="K74" s="36">
        <f t="shared" si="10"/>
        <v>3.6233538640455226E-2</v>
      </c>
      <c r="L74" s="10">
        <f t="shared" si="11"/>
        <v>3.6233538640455226E-2</v>
      </c>
      <c r="M74" s="133">
        <f t="shared" si="13"/>
        <v>1112708672837.7725</v>
      </c>
      <c r="N74" s="133">
        <f t="shared" si="14"/>
        <v>803069.94106705114</v>
      </c>
      <c r="O74" s="133">
        <f t="shared" si="15"/>
        <v>644921330245.43701</v>
      </c>
    </row>
    <row r="75" spans="1:16" x14ac:dyDescent="0.2">
      <c r="A75" s="43">
        <v>43861</v>
      </c>
      <c r="B75" s="44">
        <f>Inputs!D96</f>
        <v>30452078</v>
      </c>
      <c r="C75" s="44">
        <v>772.10000000000014</v>
      </c>
      <c r="D75" s="44">
        <v>31</v>
      </c>
      <c r="E75" s="110">
        <v>0</v>
      </c>
      <c r="F75" s="132">
        <v>0</v>
      </c>
      <c r="G75" s="132">
        <v>73</v>
      </c>
      <c r="H75" s="141">
        <v>0</v>
      </c>
      <c r="I75" s="44">
        <f t="shared" si="12"/>
        <v>30849109.333483193</v>
      </c>
      <c r="J75" s="27">
        <f t="shared" si="9"/>
        <v>397031.33348319307</v>
      </c>
      <c r="K75" s="36">
        <f t="shared" si="10"/>
        <v>1.3037906098992426E-2</v>
      </c>
      <c r="L75" s="10">
        <f t="shared" si="11"/>
        <v>1.3037906098992426E-2</v>
      </c>
      <c r="M75" s="133">
        <f t="shared" si="13"/>
        <v>157633879767.44247</v>
      </c>
      <c r="N75" s="133">
        <f t="shared" si="14"/>
        <v>-657818.73777706549</v>
      </c>
      <c r="O75" s="133">
        <f t="shared" si="15"/>
        <v>432725491770.61163</v>
      </c>
      <c r="P75" s="37"/>
    </row>
    <row r="76" spans="1:16" x14ac:dyDescent="0.2">
      <c r="A76" s="43">
        <v>43890</v>
      </c>
      <c r="B76" s="44">
        <f>Inputs!D97</f>
        <v>28729836</v>
      </c>
      <c r="C76" s="44">
        <v>757.9</v>
      </c>
      <c r="D76" s="44">
        <v>29</v>
      </c>
      <c r="E76" s="110">
        <v>0</v>
      </c>
      <c r="F76" s="132">
        <v>0</v>
      </c>
      <c r="G76" s="132">
        <v>74</v>
      </c>
      <c r="H76" s="141">
        <v>0</v>
      </c>
      <c r="I76" s="44">
        <f t="shared" si="12"/>
        <v>29621291.035523135</v>
      </c>
      <c r="J76" s="27">
        <f t="shared" si="9"/>
        <v>891455.03552313522</v>
      </c>
      <c r="K76" s="36">
        <f t="shared" si="10"/>
        <v>3.1028893987530427E-2</v>
      </c>
      <c r="L76" s="10">
        <f t="shared" si="11"/>
        <v>3.1028893987530427E-2</v>
      </c>
      <c r="M76" s="133">
        <f t="shared" si="13"/>
        <v>794692080359.55432</v>
      </c>
      <c r="N76" s="133">
        <f t="shared" si="14"/>
        <v>494423.70203994215</v>
      </c>
      <c r="O76" s="133">
        <f t="shared" si="15"/>
        <v>244454797138.8815</v>
      </c>
    </row>
    <row r="77" spans="1:16" x14ac:dyDescent="0.2">
      <c r="A77" s="43">
        <v>43921</v>
      </c>
      <c r="B77" s="44">
        <f>Inputs!D98</f>
        <v>26931054</v>
      </c>
      <c r="C77" s="44">
        <v>586.5</v>
      </c>
      <c r="D77" s="44">
        <v>31</v>
      </c>
      <c r="E77" s="110">
        <v>1</v>
      </c>
      <c r="F77" s="132">
        <v>0</v>
      </c>
      <c r="G77" s="132">
        <v>75</v>
      </c>
      <c r="H77" s="142">
        <v>0.5</v>
      </c>
      <c r="I77" s="44">
        <f t="shared" si="12"/>
        <v>26896997.005599022</v>
      </c>
      <c r="J77" s="27">
        <f t="shared" si="9"/>
        <v>-34056.994400978088</v>
      </c>
      <c r="K77" s="36">
        <f t="shared" si="10"/>
        <v>-1.2645993877914354E-3</v>
      </c>
      <c r="L77" s="10">
        <f t="shared" si="11"/>
        <v>1.2645993877914354E-3</v>
      </c>
      <c r="M77" s="133">
        <f t="shared" si="13"/>
        <v>1159878867.6282527</v>
      </c>
      <c r="N77" s="133">
        <f t="shared" si="14"/>
        <v>-925512.0299241133</v>
      </c>
      <c r="O77" s="133">
        <f t="shared" si="15"/>
        <v>856572517534.25281</v>
      </c>
    </row>
    <row r="78" spans="1:16" x14ac:dyDescent="0.2">
      <c r="A78" s="43">
        <v>43951</v>
      </c>
      <c r="B78" s="44">
        <f>Inputs!D99</f>
        <v>23177143</v>
      </c>
      <c r="C78" s="44">
        <v>458.3</v>
      </c>
      <c r="D78" s="44">
        <v>30</v>
      </c>
      <c r="E78" s="110">
        <v>1</v>
      </c>
      <c r="F78" s="132">
        <v>0</v>
      </c>
      <c r="G78" s="132">
        <v>76</v>
      </c>
      <c r="H78" s="142">
        <v>1</v>
      </c>
      <c r="I78" s="44">
        <f t="shared" si="12"/>
        <v>24100981.000342134</v>
      </c>
      <c r="J78" s="27">
        <f t="shared" si="9"/>
        <v>923838.00034213439</v>
      </c>
      <c r="K78" s="36">
        <f t="shared" si="10"/>
        <v>3.985987402943212E-2</v>
      </c>
      <c r="L78" s="10">
        <f t="shared" si="11"/>
        <v>3.985987402943212E-2</v>
      </c>
      <c r="M78" s="133">
        <f t="shared" si="13"/>
        <v>853476650876.15344</v>
      </c>
      <c r="N78" s="133">
        <f t="shared" si="14"/>
        <v>957894.99474311247</v>
      </c>
      <c r="O78" s="133">
        <f t="shared" si="15"/>
        <v>917562820953.90747</v>
      </c>
    </row>
    <row r="79" spans="1:16" x14ac:dyDescent="0.2">
      <c r="A79" s="43">
        <v>43982</v>
      </c>
      <c r="B79" s="44">
        <f>Inputs!D100</f>
        <v>22565297</v>
      </c>
      <c r="C79" s="44">
        <v>264.60000000000002</v>
      </c>
      <c r="D79" s="44">
        <v>31</v>
      </c>
      <c r="E79" s="110">
        <v>1</v>
      </c>
      <c r="F79" s="132">
        <v>0</v>
      </c>
      <c r="G79" s="132">
        <v>77</v>
      </c>
      <c r="H79" s="142">
        <v>1</v>
      </c>
      <c r="I79" s="44">
        <f t="shared" si="12"/>
        <v>22268860.018014949</v>
      </c>
      <c r="J79" s="27">
        <f t="shared" si="9"/>
        <v>-296436.98198505118</v>
      </c>
      <c r="K79" s="36">
        <f t="shared" si="10"/>
        <v>-1.3136852662965224E-2</v>
      </c>
      <c r="L79" s="10">
        <f t="shared" si="11"/>
        <v>1.3136852662965224E-2</v>
      </c>
      <c r="M79" s="133">
        <f t="shared" si="13"/>
        <v>87874884288.405563</v>
      </c>
      <c r="N79" s="133">
        <f t="shared" si="14"/>
        <v>-1220274.9823271856</v>
      </c>
      <c r="O79" s="133">
        <f t="shared" si="15"/>
        <v>1489071032493.613</v>
      </c>
    </row>
    <row r="80" spans="1:16" x14ac:dyDescent="0.2">
      <c r="A80" s="43">
        <v>44012</v>
      </c>
      <c r="B80" s="44">
        <f>Inputs!D101</f>
        <v>22325604</v>
      </c>
      <c r="C80" s="44">
        <v>73.7</v>
      </c>
      <c r="D80" s="44">
        <v>30</v>
      </c>
      <c r="E80" s="110">
        <v>0</v>
      </c>
      <c r="F80" s="132">
        <v>0</v>
      </c>
      <c r="G80" s="132">
        <v>78</v>
      </c>
      <c r="H80" s="142">
        <v>0.5</v>
      </c>
      <c r="I80" s="44">
        <f t="shared" si="12"/>
        <v>21104858.957686819</v>
      </c>
      <c r="J80" s="27">
        <f t="shared" si="9"/>
        <v>-1220745.0423131809</v>
      </c>
      <c r="K80" s="36">
        <f t="shared" si="10"/>
        <v>-5.4679149657638863E-2</v>
      </c>
      <c r="L80" s="10">
        <f t="shared" si="11"/>
        <v>5.4679149657638863E-2</v>
      </c>
      <c r="M80" s="133">
        <f t="shared" si="13"/>
        <v>1490218458332.2097</v>
      </c>
      <c r="N80" s="133">
        <f t="shared" si="14"/>
        <v>-924308.06032812968</v>
      </c>
      <c r="O80" s="133">
        <f t="shared" si="15"/>
        <v>854345390387.54944</v>
      </c>
    </row>
    <row r="81" spans="1:16" x14ac:dyDescent="0.2">
      <c r="A81" s="43">
        <v>44043</v>
      </c>
      <c r="B81" s="44">
        <f>Inputs!D102</f>
        <v>26178908</v>
      </c>
      <c r="C81" s="44">
        <v>1.9</v>
      </c>
      <c r="D81" s="44">
        <v>31</v>
      </c>
      <c r="E81" s="110">
        <v>0</v>
      </c>
      <c r="F81" s="132">
        <v>1</v>
      </c>
      <c r="G81" s="132">
        <v>79</v>
      </c>
      <c r="H81" s="141">
        <v>0</v>
      </c>
      <c r="I81" s="44">
        <f t="shared" si="12"/>
        <v>24398825.79722169</v>
      </c>
      <c r="J81" s="27">
        <f t="shared" si="9"/>
        <v>-1780082.2027783096</v>
      </c>
      <c r="K81" s="36">
        <f t="shared" si="10"/>
        <v>-6.7996808834742448E-2</v>
      </c>
      <c r="L81" s="10">
        <f t="shared" si="11"/>
        <v>6.7996808834742448E-2</v>
      </c>
      <c r="M81" s="133">
        <f t="shared" si="13"/>
        <v>3168692648648.0791</v>
      </c>
      <c r="N81" s="133">
        <f t="shared" si="14"/>
        <v>-559337.16046512872</v>
      </c>
      <c r="O81" s="133">
        <f t="shared" si="15"/>
        <v>312858059077.19318</v>
      </c>
      <c r="P81"/>
    </row>
    <row r="82" spans="1:16" x14ac:dyDescent="0.2">
      <c r="A82" s="43">
        <v>44074</v>
      </c>
      <c r="B82" s="44">
        <f>Inputs!D103</f>
        <v>24180956</v>
      </c>
      <c r="C82" s="44">
        <v>44.4</v>
      </c>
      <c r="D82" s="44">
        <v>31</v>
      </c>
      <c r="E82" s="110">
        <v>0</v>
      </c>
      <c r="F82" s="132">
        <v>1</v>
      </c>
      <c r="G82" s="132">
        <v>80</v>
      </c>
      <c r="H82" s="141">
        <v>0</v>
      </c>
      <c r="I82" s="44">
        <f t="shared" si="12"/>
        <v>24928651.124143347</v>
      </c>
      <c r="J82" s="27">
        <f t="shared" si="9"/>
        <v>747695.12414334714</v>
      </c>
      <c r="K82" s="36">
        <f t="shared" si="10"/>
        <v>3.0920825634162152E-2</v>
      </c>
      <c r="L82" s="10">
        <f t="shared" si="11"/>
        <v>3.0920825634162152E-2</v>
      </c>
      <c r="M82" s="133">
        <f t="shared" si="13"/>
        <v>559047998667.73535</v>
      </c>
      <c r="N82" s="133">
        <f t="shared" si="14"/>
        <v>2527777.3269216567</v>
      </c>
      <c r="O82" s="133">
        <f t="shared" si="15"/>
        <v>6389658214499.1963</v>
      </c>
      <c r="P82"/>
    </row>
    <row r="83" spans="1:16" x14ac:dyDescent="0.2">
      <c r="A83" s="43">
        <v>44104</v>
      </c>
      <c r="B83" s="44">
        <f>Inputs!D104</f>
        <v>21706905</v>
      </c>
      <c r="C83" s="44">
        <v>169.79999999999995</v>
      </c>
      <c r="D83" s="44">
        <v>30</v>
      </c>
      <c r="E83" s="110">
        <v>0</v>
      </c>
      <c r="F83" s="132">
        <v>0</v>
      </c>
      <c r="G83" s="132">
        <v>81</v>
      </c>
      <c r="H83" s="141">
        <v>0</v>
      </c>
      <c r="I83" s="44">
        <f t="shared" si="12"/>
        <v>23012896.846609123</v>
      </c>
      <c r="J83" s="27">
        <f t="shared" si="9"/>
        <v>1305991.8466091231</v>
      </c>
      <c r="K83" s="36">
        <f t="shared" si="10"/>
        <v>6.0164811455577061E-2</v>
      </c>
      <c r="L83" s="10">
        <f t="shared" si="11"/>
        <v>6.0164811455577061E-2</v>
      </c>
      <c r="M83" s="133">
        <f t="shared" si="13"/>
        <v>1705614703409.5071</v>
      </c>
      <c r="N83" s="133">
        <f t="shared" si="14"/>
        <v>558296.72246577591</v>
      </c>
      <c r="O83" s="133">
        <f t="shared" si="15"/>
        <v>311695230316.02759</v>
      </c>
      <c r="P83"/>
    </row>
    <row r="84" spans="1:16" x14ac:dyDescent="0.2">
      <c r="A84" s="43">
        <v>44135</v>
      </c>
      <c r="B84" s="44">
        <f>Inputs!D105</f>
        <v>24121204</v>
      </c>
      <c r="C84" s="44">
        <v>395.70000000000005</v>
      </c>
      <c r="D84" s="44">
        <v>31</v>
      </c>
      <c r="E84" s="110">
        <v>1</v>
      </c>
      <c r="F84" s="132">
        <v>0</v>
      </c>
      <c r="G84" s="132">
        <v>82</v>
      </c>
      <c r="H84" s="141">
        <v>0</v>
      </c>
      <c r="I84" s="44">
        <f t="shared" si="12"/>
        <v>25327258.315985981</v>
      </c>
      <c r="J84" s="27">
        <f t="shared" si="9"/>
        <v>1206054.3159859814</v>
      </c>
      <c r="K84" s="36">
        <f t="shared" si="10"/>
        <v>4.999975606466333E-2</v>
      </c>
      <c r="L84" s="10">
        <f t="shared" si="11"/>
        <v>4.999975606466333E-2</v>
      </c>
      <c r="M84" s="133">
        <f t="shared" si="13"/>
        <v>1454567013108.4133</v>
      </c>
      <c r="N84" s="133">
        <f t="shared" si="14"/>
        <v>-99937.530623141676</v>
      </c>
      <c r="O84" s="133">
        <f t="shared" si="15"/>
        <v>9987510027.0513802</v>
      </c>
      <c r="P84"/>
    </row>
    <row r="85" spans="1:16" x14ac:dyDescent="0.2">
      <c r="A85" s="43">
        <v>44165</v>
      </c>
      <c r="B85" s="44">
        <f>Inputs!D106</f>
        <v>25126449</v>
      </c>
      <c r="C85" s="44">
        <v>434.49999999999994</v>
      </c>
      <c r="D85" s="44">
        <v>30</v>
      </c>
      <c r="E85" s="110">
        <v>1</v>
      </c>
      <c r="F85" s="132">
        <v>0</v>
      </c>
      <c r="G85" s="132">
        <v>83</v>
      </c>
      <c r="H85" s="141">
        <v>0</v>
      </c>
      <c r="I85" s="44">
        <f t="shared" si="12"/>
        <v>25280227.183706816</v>
      </c>
      <c r="J85" s="27">
        <f t="shared" si="9"/>
        <v>153778.18370681629</v>
      </c>
      <c r="K85" s="36">
        <f t="shared" si="10"/>
        <v>6.1201717642957142E-3</v>
      </c>
      <c r="L85" s="10">
        <f t="shared" si="11"/>
        <v>6.1201717642957142E-3</v>
      </c>
      <c r="M85" s="133">
        <f t="shared" si="13"/>
        <v>23647729784.167339</v>
      </c>
      <c r="N85" s="133">
        <f t="shared" si="14"/>
        <v>-1052276.1322791651</v>
      </c>
      <c r="O85" s="133">
        <f t="shared" si="15"/>
        <v>1107285058564.3989</v>
      </c>
      <c r="P85"/>
    </row>
    <row r="86" spans="1:16" x14ac:dyDescent="0.2">
      <c r="A86" s="43">
        <v>44196</v>
      </c>
      <c r="B86" s="44">
        <f>Inputs!D107</f>
        <v>28892268</v>
      </c>
      <c r="C86" s="44">
        <v>674.50000000000011</v>
      </c>
      <c r="D86" s="44">
        <v>31</v>
      </c>
      <c r="E86" s="110">
        <v>0</v>
      </c>
      <c r="F86" s="132">
        <v>0</v>
      </c>
      <c r="G86" s="132">
        <v>84</v>
      </c>
      <c r="H86" s="141">
        <v>0</v>
      </c>
      <c r="I86" s="44">
        <f t="shared" si="12"/>
        <v>29754647.51923833</v>
      </c>
      <c r="J86" s="27">
        <f t="shared" si="9"/>
        <v>862379.51923833042</v>
      </c>
      <c r="K86" s="36">
        <f t="shared" si="10"/>
        <v>2.9848107432698962E-2</v>
      </c>
      <c r="L86" s="10">
        <f t="shared" si="11"/>
        <v>2.9848107432698962E-2</v>
      </c>
      <c r="M86" s="133">
        <f t="shared" si="13"/>
        <v>743698435201.73389</v>
      </c>
      <c r="N86" s="133">
        <f t="shared" si="14"/>
        <v>708601.33553151414</v>
      </c>
      <c r="O86" s="133">
        <f t="shared" si="15"/>
        <v>502115852717.04547</v>
      </c>
      <c r="P86"/>
    </row>
    <row r="87" spans="1:16" x14ac:dyDescent="0.2">
      <c r="A87" s="43">
        <v>44227</v>
      </c>
      <c r="B87" s="44">
        <f>Inputs!D108</f>
        <v>29919109</v>
      </c>
      <c r="C87" s="44">
        <v>793.9</v>
      </c>
      <c r="D87" s="44">
        <v>31</v>
      </c>
      <c r="E87" s="110">
        <v>0</v>
      </c>
      <c r="F87" s="132">
        <v>0</v>
      </c>
      <c r="G87" s="132">
        <v>85</v>
      </c>
      <c r="H87" s="141">
        <v>0</v>
      </c>
      <c r="I87" s="44">
        <f t="shared" si="12"/>
        <v>31226506.747342896</v>
      </c>
      <c r="J87" s="27">
        <f t="shared" si="9"/>
        <v>1307397.7473428957</v>
      </c>
      <c r="K87" s="36">
        <f t="shared" si="10"/>
        <v>4.369775006812187E-2</v>
      </c>
      <c r="L87" s="10">
        <f t="shared" si="11"/>
        <v>4.369775006812187E-2</v>
      </c>
      <c r="M87" s="133">
        <f t="shared" si="13"/>
        <v>1709288869757.2781</v>
      </c>
      <c r="N87" s="133">
        <f t="shared" si="14"/>
        <v>445018.22810456529</v>
      </c>
      <c r="O87" s="133">
        <f t="shared" si="15"/>
        <v>198041223345.3269</v>
      </c>
      <c r="P87"/>
    </row>
    <row r="88" spans="1:16" x14ac:dyDescent="0.2">
      <c r="A88" s="43">
        <v>44255</v>
      </c>
      <c r="B88" s="44">
        <f>Inputs!D109</f>
        <v>28503891</v>
      </c>
      <c r="C88" s="44">
        <v>768.49999999999989</v>
      </c>
      <c r="D88" s="44">
        <v>28</v>
      </c>
      <c r="E88" s="110">
        <v>0</v>
      </c>
      <c r="F88" s="132">
        <v>0</v>
      </c>
      <c r="G88" s="132">
        <v>86</v>
      </c>
      <c r="H88" s="141">
        <v>0</v>
      </c>
      <c r="I88" s="44">
        <f t="shared" si="12"/>
        <v>29329956.122056242</v>
      </c>
      <c r="J88" s="27">
        <f t="shared" si="9"/>
        <v>826065.12205624208</v>
      </c>
      <c r="K88" s="36">
        <f t="shared" si="10"/>
        <v>2.8980784485045992E-2</v>
      </c>
      <c r="L88" s="10">
        <f t="shared" si="11"/>
        <v>2.8980784485045992E-2</v>
      </c>
      <c r="M88" s="133">
        <f t="shared" si="13"/>
        <v>682383585877.79407</v>
      </c>
      <c r="N88" s="133">
        <f t="shared" si="14"/>
        <v>-481332.62528665364</v>
      </c>
      <c r="O88" s="133">
        <f t="shared" si="15"/>
        <v>231681096165.34213</v>
      </c>
      <c r="P88"/>
    </row>
    <row r="89" spans="1:16" x14ac:dyDescent="0.2">
      <c r="A89" s="43">
        <v>44286</v>
      </c>
      <c r="B89" s="44">
        <f>Inputs!D110</f>
        <v>27991373</v>
      </c>
      <c r="C89" s="44">
        <v>598.70000000000005</v>
      </c>
      <c r="D89" s="44">
        <v>31</v>
      </c>
      <c r="E89" s="110">
        <v>1</v>
      </c>
      <c r="F89" s="132">
        <v>0</v>
      </c>
      <c r="G89" s="132">
        <v>87</v>
      </c>
      <c r="H89" s="141">
        <v>0</v>
      </c>
      <c r="I89" s="44">
        <f t="shared" si="12"/>
        <v>27860008.850968298</v>
      </c>
      <c r="J89" s="27">
        <f t="shared" si="9"/>
        <v>-131364.14903170243</v>
      </c>
      <c r="K89" s="36">
        <f t="shared" si="10"/>
        <v>-4.6930227049492151E-3</v>
      </c>
      <c r="L89" s="10">
        <f t="shared" si="11"/>
        <v>4.6930227049492151E-3</v>
      </c>
      <c r="M89" s="133">
        <f t="shared" si="13"/>
        <v>17256539650.823326</v>
      </c>
      <c r="N89" s="133">
        <f t="shared" si="14"/>
        <v>-957429.27108794451</v>
      </c>
      <c r="O89" s="133">
        <f t="shared" si="15"/>
        <v>916670809135.99268</v>
      </c>
      <c r="P89"/>
    </row>
    <row r="90" spans="1:16" x14ac:dyDescent="0.2">
      <c r="A90" s="43">
        <v>44316</v>
      </c>
      <c r="B90" s="44">
        <f>Inputs!D111</f>
        <v>23510679</v>
      </c>
      <c r="C90" s="44">
        <v>361.90000000000003</v>
      </c>
      <c r="D90" s="44">
        <v>30</v>
      </c>
      <c r="E90" s="110">
        <v>1</v>
      </c>
      <c r="F90" s="132">
        <v>0</v>
      </c>
      <c r="G90" s="132">
        <v>88</v>
      </c>
      <c r="H90" s="141">
        <v>0</v>
      </c>
      <c r="I90" s="44">
        <f t="shared" si="12"/>
        <v>24436845.817960791</v>
      </c>
      <c r="J90" s="27">
        <f t="shared" si="9"/>
        <v>926166.81796079129</v>
      </c>
      <c r="K90" s="36">
        <f t="shared" si="10"/>
        <v>3.9393452565142477E-2</v>
      </c>
      <c r="L90" s="10">
        <f t="shared" si="11"/>
        <v>3.9393452565142477E-2</v>
      </c>
      <c r="M90" s="133">
        <f t="shared" si="13"/>
        <v>857784974691.61755</v>
      </c>
      <c r="N90" s="133">
        <f t="shared" si="14"/>
        <v>1057530.9669924937</v>
      </c>
      <c r="O90" s="133">
        <f t="shared" si="15"/>
        <v>1118371746148.0789</v>
      </c>
      <c r="P90"/>
    </row>
    <row r="91" spans="1:16" x14ac:dyDescent="0.2">
      <c r="A91" s="43">
        <v>44347</v>
      </c>
      <c r="B91" s="44">
        <f>Inputs!D112</f>
        <v>22807571</v>
      </c>
      <c r="C91" s="44">
        <v>250.90000000000003</v>
      </c>
      <c r="D91" s="44">
        <v>31</v>
      </c>
      <c r="E91" s="110">
        <v>1</v>
      </c>
      <c r="F91" s="132">
        <v>0</v>
      </c>
      <c r="G91" s="132">
        <v>89</v>
      </c>
      <c r="H91" s="141">
        <v>0</v>
      </c>
      <c r="I91" s="44">
        <f t="shared" si="12"/>
        <v>23617809.408167109</v>
      </c>
      <c r="J91" s="27">
        <f t="shared" si="9"/>
        <v>810238.40816710889</v>
      </c>
      <c r="K91" s="36">
        <f t="shared" si="10"/>
        <v>3.5524975814702445E-2</v>
      </c>
      <c r="L91" s="10">
        <f t="shared" si="11"/>
        <v>3.5524975814702445E-2</v>
      </c>
      <c r="M91" s="133">
        <f t="shared" si="13"/>
        <v>656486278069.17053</v>
      </c>
      <c r="N91" s="133">
        <f t="shared" si="14"/>
        <v>-115928.4097936824</v>
      </c>
      <c r="O91" s="133">
        <f t="shared" si="15"/>
        <v>13439396197.291956</v>
      </c>
      <c r="P91"/>
    </row>
    <row r="92" spans="1:16" x14ac:dyDescent="0.2">
      <c r="A92" s="43">
        <v>44377</v>
      </c>
      <c r="B92" s="44">
        <f>Inputs!D113</f>
        <v>23479543</v>
      </c>
      <c r="C92" s="44">
        <v>54.700000000000017</v>
      </c>
      <c r="D92" s="44">
        <v>30</v>
      </c>
      <c r="E92" s="110">
        <v>0</v>
      </c>
      <c r="F92" s="132">
        <v>0</v>
      </c>
      <c r="G92" s="132">
        <v>90</v>
      </c>
      <c r="H92" s="141">
        <v>0</v>
      </c>
      <c r="I92" s="44">
        <f t="shared" si="12"/>
        <v>21685667.191652883</v>
      </c>
      <c r="J92" s="27">
        <f t="shared" si="9"/>
        <v>-1793875.8083471172</v>
      </c>
      <c r="K92" s="36">
        <f t="shared" si="10"/>
        <v>-7.6401649229165883E-2</v>
      </c>
      <c r="L92" s="10">
        <f t="shared" si="11"/>
        <v>7.6401649229165883E-2</v>
      </c>
      <c r="M92" s="133">
        <f t="shared" si="13"/>
        <v>3217990415773.0229</v>
      </c>
      <c r="N92" s="133">
        <f t="shared" si="14"/>
        <v>-2604114.216514226</v>
      </c>
      <c r="O92" s="133">
        <f t="shared" si="15"/>
        <v>6781410852651.501</v>
      </c>
      <c r="P92"/>
    </row>
    <row r="93" spans="1:16" x14ac:dyDescent="0.2">
      <c r="A93" s="43">
        <v>44408</v>
      </c>
      <c r="B93" s="44">
        <f>Inputs!D114</f>
        <v>24849711</v>
      </c>
      <c r="C93" s="44">
        <v>39.700000000000003</v>
      </c>
      <c r="D93" s="44">
        <v>31</v>
      </c>
      <c r="E93" s="110">
        <v>0</v>
      </c>
      <c r="F93" s="132">
        <v>1</v>
      </c>
      <c r="G93" s="132">
        <v>91</v>
      </c>
      <c r="H93" s="141">
        <v>0</v>
      </c>
      <c r="I93" s="44">
        <f t="shared" si="12"/>
        <v>24972225.063083038</v>
      </c>
      <c r="J93" s="27">
        <f t="shared" si="9"/>
        <v>122514.06308303773</v>
      </c>
      <c r="K93" s="36">
        <f t="shared" si="10"/>
        <v>4.9302007207664405E-3</v>
      </c>
      <c r="L93" s="10">
        <f t="shared" si="11"/>
        <v>4.9302007207664405E-3</v>
      </c>
      <c r="M93" s="133">
        <f t="shared" si="13"/>
        <v>15009695653.11455</v>
      </c>
      <c r="N93" s="133">
        <f t="shared" si="14"/>
        <v>1916389.8714301549</v>
      </c>
      <c r="O93" s="133">
        <f t="shared" si="15"/>
        <v>3672550139320.0854</v>
      </c>
      <c r="P93"/>
    </row>
    <row r="94" spans="1:16" x14ac:dyDescent="0.2">
      <c r="A94" s="43">
        <v>44439</v>
      </c>
      <c r="B94" s="44">
        <f>Inputs!D115</f>
        <v>27059084</v>
      </c>
      <c r="C94" s="44">
        <v>22.8</v>
      </c>
      <c r="D94" s="44">
        <v>31</v>
      </c>
      <c r="E94" s="110">
        <v>0</v>
      </c>
      <c r="F94" s="132">
        <v>1</v>
      </c>
      <c r="G94" s="132">
        <v>92</v>
      </c>
      <c r="H94" s="141">
        <v>0</v>
      </c>
      <c r="I94" s="44">
        <f t="shared" si="12"/>
        <v>24774393.514448587</v>
      </c>
      <c r="J94" s="27">
        <f t="shared" si="9"/>
        <v>-2284690.4855514131</v>
      </c>
      <c r="K94" s="36">
        <f t="shared" si="10"/>
        <v>-8.4433400833206815E-2</v>
      </c>
      <c r="L94" s="10">
        <f t="shared" si="11"/>
        <v>8.4433400833206815E-2</v>
      </c>
      <c r="M94" s="133">
        <f t="shared" si="13"/>
        <v>5219810614769.1523</v>
      </c>
      <c r="N94" s="133">
        <f t="shared" si="14"/>
        <v>-2407204.5486344509</v>
      </c>
      <c r="O94" s="133">
        <f t="shared" si="15"/>
        <v>5794633738966.3906</v>
      </c>
      <c r="P94"/>
    </row>
    <row r="95" spans="1:16" x14ac:dyDescent="0.2">
      <c r="A95" s="43">
        <v>44469</v>
      </c>
      <c r="B95" s="44">
        <f>Inputs!D116</f>
        <v>22357163</v>
      </c>
      <c r="C95" s="44">
        <v>145.19999999999999</v>
      </c>
      <c r="D95" s="44">
        <v>30</v>
      </c>
      <c r="E95" s="110">
        <v>0</v>
      </c>
      <c r="F95" s="132">
        <v>0</v>
      </c>
      <c r="G95" s="132">
        <v>93</v>
      </c>
      <c r="H95" s="141">
        <v>0</v>
      </c>
      <c r="I95" s="44">
        <f t="shared" si="12"/>
        <v>22821888.889664054</v>
      </c>
      <c r="J95" s="27">
        <f t="shared" si="9"/>
        <v>464725.88966405392</v>
      </c>
      <c r="K95" s="36">
        <f t="shared" si="10"/>
        <v>2.0786442790798363E-2</v>
      </c>
      <c r="L95" s="10">
        <f t="shared" si="11"/>
        <v>2.0786442790798363E-2</v>
      </c>
      <c r="M95" s="133">
        <f t="shared" si="13"/>
        <v>215970152524.04642</v>
      </c>
      <c r="N95" s="133">
        <f t="shared" si="14"/>
        <v>2749416.3752154671</v>
      </c>
      <c r="O95" s="133">
        <f t="shared" si="15"/>
        <v>7559290404302.958</v>
      </c>
      <c r="P95"/>
    </row>
    <row r="96" spans="1:16" x14ac:dyDescent="0.2">
      <c r="A96" s="43">
        <v>44500</v>
      </c>
      <c r="B96" s="44">
        <f>Inputs!D117</f>
        <v>23786911</v>
      </c>
      <c r="C96" s="44">
        <v>210.90000000000003</v>
      </c>
      <c r="D96" s="44">
        <v>31</v>
      </c>
      <c r="E96" s="110">
        <v>1</v>
      </c>
      <c r="F96" s="132">
        <v>0</v>
      </c>
      <c r="G96" s="132">
        <v>94</v>
      </c>
      <c r="H96" s="141">
        <v>0</v>
      </c>
      <c r="I96" s="44">
        <f t="shared" si="12"/>
        <v>23173781.815874435</v>
      </c>
      <c r="J96" s="27">
        <f t="shared" si="9"/>
        <v>-613129.18412556499</v>
      </c>
      <c r="K96" s="36">
        <f t="shared" si="10"/>
        <v>-2.5775906090772568E-2</v>
      </c>
      <c r="L96" s="10">
        <f t="shared" si="11"/>
        <v>2.5775906090772568E-2</v>
      </c>
      <c r="M96" s="133">
        <f t="shared" si="13"/>
        <v>375927396426.48096</v>
      </c>
      <c r="N96" s="133">
        <f t="shared" si="14"/>
        <v>-1077855.0737896189</v>
      </c>
      <c r="O96" s="133">
        <f t="shared" si="15"/>
        <v>1161771560094.0249</v>
      </c>
      <c r="P96"/>
    </row>
    <row r="97" spans="1:16" x14ac:dyDescent="0.2">
      <c r="A97" s="43">
        <v>44530</v>
      </c>
      <c r="B97" s="44">
        <f>Inputs!D118</f>
        <v>26548630</v>
      </c>
      <c r="C97" s="44">
        <v>522.40000000000009</v>
      </c>
      <c r="D97" s="44">
        <v>30</v>
      </c>
      <c r="E97" s="110">
        <v>1</v>
      </c>
      <c r="F97" s="132">
        <v>0</v>
      </c>
      <c r="G97" s="132">
        <v>95</v>
      </c>
      <c r="H97" s="141">
        <v>0</v>
      </c>
      <c r="I97" s="44">
        <f t="shared" si="12"/>
        <v>26467357.248648316</v>
      </c>
      <c r="J97" s="27">
        <f t="shared" si="9"/>
        <v>-81272.751351684332</v>
      </c>
      <c r="K97" s="36">
        <f t="shared" si="10"/>
        <v>-3.0612785424967062E-3</v>
      </c>
      <c r="L97" s="10">
        <f t="shared" si="11"/>
        <v>3.0612785424967062E-3</v>
      </c>
      <c r="M97" s="133">
        <f t="shared" si="13"/>
        <v>6605260112.272707</v>
      </c>
      <c r="N97" s="133">
        <f t="shared" si="14"/>
        <v>531856.43277388066</v>
      </c>
      <c r="O97" s="133">
        <f t="shared" si="15"/>
        <v>282871265082.95746</v>
      </c>
      <c r="P97"/>
    </row>
    <row r="98" spans="1:16" x14ac:dyDescent="0.2">
      <c r="A98" s="43">
        <v>44561</v>
      </c>
      <c r="B98" s="44">
        <f>Inputs!D119</f>
        <v>29127757</v>
      </c>
      <c r="C98" s="44">
        <v>652.5</v>
      </c>
      <c r="D98" s="44">
        <v>31</v>
      </c>
      <c r="E98" s="110">
        <v>0</v>
      </c>
      <c r="F98" s="132">
        <v>0</v>
      </c>
      <c r="G98" s="132">
        <v>96</v>
      </c>
      <c r="H98" s="141">
        <v>0</v>
      </c>
      <c r="I98" s="44">
        <f t="shared" si="12"/>
        <v>29595489.863243524</v>
      </c>
      <c r="J98" s="27">
        <f t="shared" si="9"/>
        <v>467732.86324352399</v>
      </c>
      <c r="K98" s="36">
        <f t="shared" si="10"/>
        <v>1.6057977387119921E-2</v>
      </c>
      <c r="L98" s="10">
        <f t="shared" si="11"/>
        <v>1.6057977387119921E-2</v>
      </c>
      <c r="M98" s="133">
        <f t="shared" si="13"/>
        <v>218774031357.98511</v>
      </c>
      <c r="N98" s="133">
        <f t="shared" si="14"/>
        <v>549005.61459520832</v>
      </c>
      <c r="O98" s="133">
        <f t="shared" si="15"/>
        <v>301407164857.06244</v>
      </c>
      <c r="P98"/>
    </row>
    <row r="99" spans="1:16" x14ac:dyDescent="0.2">
      <c r="A99" s="43">
        <v>44592</v>
      </c>
      <c r="B99" s="44">
        <f>Inputs!D120</f>
        <v>34795564</v>
      </c>
      <c r="C99" s="100">
        <v>974.5</v>
      </c>
      <c r="D99" s="44">
        <v>31</v>
      </c>
      <c r="E99" s="110">
        <v>0</v>
      </c>
      <c r="F99" s="132">
        <v>0</v>
      </c>
      <c r="G99" s="132">
        <v>97</v>
      </c>
      <c r="H99" s="141">
        <v>0</v>
      </c>
      <c r="I99" s="44">
        <f t="shared" si="12"/>
        <v>33549222.542318925</v>
      </c>
      <c r="J99" s="27">
        <f t="shared" ref="J99:J122" si="16">I99-B99</f>
        <v>-1246341.4576810747</v>
      </c>
      <c r="K99" s="36">
        <f t="shared" ref="K99:K122" si="17">J99/B99</f>
        <v>-3.5818975593586433E-2</v>
      </c>
      <c r="L99" s="10">
        <f t="shared" si="11"/>
        <v>3.5818975593586433E-2</v>
      </c>
      <c r="M99" s="133">
        <f t="shared" si="13"/>
        <v>1553367029134.5862</v>
      </c>
      <c r="N99" s="133">
        <f t="shared" si="14"/>
        <v>-1714074.3209245987</v>
      </c>
      <c r="O99" s="133">
        <f t="shared" si="15"/>
        <v>2938050777653.124</v>
      </c>
      <c r="P99"/>
    </row>
    <row r="100" spans="1:16" x14ac:dyDescent="0.2">
      <c r="A100" s="43">
        <v>44620</v>
      </c>
      <c r="B100" s="44">
        <f>Inputs!D121</f>
        <v>30039948</v>
      </c>
      <c r="C100" s="100">
        <v>783</v>
      </c>
      <c r="D100" s="44">
        <v>28</v>
      </c>
      <c r="E100" s="110">
        <v>0</v>
      </c>
      <c r="F100" s="132">
        <v>0</v>
      </c>
      <c r="G100" s="132">
        <v>98</v>
      </c>
      <c r="H100" s="141">
        <v>0</v>
      </c>
      <c r="I100" s="44">
        <f t="shared" si="12"/>
        <v>29617927.690940198</v>
      </c>
      <c r="J100" s="27">
        <f t="shared" si="16"/>
        <v>-422020.30905980244</v>
      </c>
      <c r="K100" s="36">
        <f t="shared" si="17"/>
        <v>-1.4048636471001961E-2</v>
      </c>
      <c r="L100" s="10">
        <f t="shared" si="11"/>
        <v>1.4048636471001961E-2</v>
      </c>
      <c r="M100" s="133">
        <f t="shared" si="13"/>
        <v>178101141258.93118</v>
      </c>
      <c r="N100" s="133">
        <f t="shared" si="14"/>
        <v>824321.1486212723</v>
      </c>
      <c r="O100" s="133">
        <f t="shared" si="15"/>
        <v>679505356064.2937</v>
      </c>
      <c r="P100"/>
    </row>
    <row r="101" spans="1:16" x14ac:dyDescent="0.2">
      <c r="A101" s="43">
        <v>44651</v>
      </c>
      <c r="B101" s="44">
        <f>Inputs!D122</f>
        <v>29938094</v>
      </c>
      <c r="C101" s="100">
        <v>643.59999999999991</v>
      </c>
      <c r="D101" s="44">
        <v>31</v>
      </c>
      <c r="E101" s="110">
        <v>1</v>
      </c>
      <c r="F101" s="132">
        <v>0</v>
      </c>
      <c r="G101" s="132">
        <v>99</v>
      </c>
      <c r="H101" s="141">
        <v>0</v>
      </c>
      <c r="I101" s="44">
        <f t="shared" si="12"/>
        <v>28520383.938655369</v>
      </c>
      <c r="J101" s="27">
        <f t="shared" si="16"/>
        <v>-1417710.061344631</v>
      </c>
      <c r="K101" s="36">
        <f t="shared" si="17"/>
        <v>-4.7354720088213731E-2</v>
      </c>
      <c r="L101" s="10">
        <f t="shared" si="11"/>
        <v>4.7354720088213731E-2</v>
      </c>
      <c r="M101" s="133">
        <f t="shared" si="13"/>
        <v>2009901818037.7974</v>
      </c>
      <c r="N101" s="133">
        <f t="shared" si="14"/>
        <v>-995689.75228482857</v>
      </c>
      <c r="O101" s="133">
        <f t="shared" si="15"/>
        <v>991398082805.02332</v>
      </c>
      <c r="P101"/>
    </row>
    <row r="102" spans="1:16" x14ac:dyDescent="0.2">
      <c r="A102" s="43">
        <v>44681</v>
      </c>
      <c r="B102" s="44">
        <f>Inputs!D123</f>
        <v>25592068</v>
      </c>
      <c r="C102" s="100">
        <v>421.8</v>
      </c>
      <c r="D102" s="44">
        <v>30</v>
      </c>
      <c r="E102" s="110">
        <v>1</v>
      </c>
      <c r="F102" s="132">
        <v>0</v>
      </c>
      <c r="G102" s="132">
        <v>100</v>
      </c>
      <c r="H102" s="141">
        <v>0</v>
      </c>
      <c r="I102" s="44">
        <f t="shared" si="12"/>
        <v>25280972.641899411</v>
      </c>
      <c r="J102" s="27">
        <f t="shared" si="16"/>
        <v>-311095.35810058936</v>
      </c>
      <c r="K102" s="36">
        <f t="shared" si="17"/>
        <v>-1.2155928864388347E-2</v>
      </c>
      <c r="L102" s="10">
        <f t="shared" si="11"/>
        <v>1.2155928864388347E-2</v>
      </c>
      <c r="M102" s="133">
        <f t="shared" si="13"/>
        <v>96780321831.733932</v>
      </c>
      <c r="N102" s="133">
        <f t="shared" si="14"/>
        <v>1106614.7032440417</v>
      </c>
      <c r="O102" s="133">
        <f t="shared" si="15"/>
        <v>1224596101435.8984</v>
      </c>
      <c r="P102"/>
    </row>
    <row r="103" spans="1:16" x14ac:dyDescent="0.2">
      <c r="A103" s="43">
        <v>44712</v>
      </c>
      <c r="B103" s="44">
        <f>Inputs!D124</f>
        <v>23761000</v>
      </c>
      <c r="C103" s="100">
        <v>148.1</v>
      </c>
      <c r="D103" s="44">
        <v>31</v>
      </c>
      <c r="E103" s="110">
        <v>1</v>
      </c>
      <c r="F103" s="132">
        <v>0</v>
      </c>
      <c r="G103" s="132">
        <v>101</v>
      </c>
      <c r="H103" s="141">
        <v>0</v>
      </c>
      <c r="I103" s="44">
        <f t="shared" si="12"/>
        <v>22468842.399563998</v>
      </c>
      <c r="J103" s="27">
        <f t="shared" si="16"/>
        <v>-1292157.600436002</v>
      </c>
      <c r="K103" s="36">
        <f t="shared" si="17"/>
        <v>-5.4381448610580446E-2</v>
      </c>
      <c r="L103" s="10">
        <f t="shared" si="11"/>
        <v>5.4381448610580446E-2</v>
      </c>
      <c r="M103" s="133">
        <f t="shared" si="13"/>
        <v>1669671264364.5266</v>
      </c>
      <c r="N103" s="133">
        <f t="shared" si="14"/>
        <v>-981062.24233541265</v>
      </c>
      <c r="O103" s="133">
        <f t="shared" si="15"/>
        <v>962483123336.18799</v>
      </c>
      <c r="P103"/>
    </row>
    <row r="104" spans="1:16" x14ac:dyDescent="0.2">
      <c r="A104" s="43">
        <v>44742</v>
      </c>
      <c r="B104" s="44">
        <f>Inputs!D125</f>
        <v>23802150</v>
      </c>
      <c r="C104" s="100">
        <v>97.399999999999991</v>
      </c>
      <c r="D104" s="44">
        <v>30</v>
      </c>
      <c r="E104" s="110">
        <v>0</v>
      </c>
      <c r="F104" s="132">
        <v>0</v>
      </c>
      <c r="G104" s="132">
        <v>102</v>
      </c>
      <c r="H104" s="141">
        <v>0</v>
      </c>
      <c r="I104" s="44">
        <f t="shared" si="12"/>
        <v>22319092.024689734</v>
      </c>
      <c r="J104" s="27">
        <f t="shared" si="16"/>
        <v>-1483057.975310266</v>
      </c>
      <c r="K104" s="36">
        <f t="shared" si="17"/>
        <v>-6.2307731667528607E-2</v>
      </c>
      <c r="L104" s="10">
        <f t="shared" si="11"/>
        <v>6.2307731667528607E-2</v>
      </c>
      <c r="M104" s="133">
        <f t="shared" si="13"/>
        <v>2199460958131.3857</v>
      </c>
      <c r="N104" s="133">
        <f t="shared" si="14"/>
        <v>-190900.374874264</v>
      </c>
      <c r="O104" s="133">
        <f t="shared" si="15"/>
        <v>36442953127.134529</v>
      </c>
      <c r="P104"/>
    </row>
    <row r="105" spans="1:16" x14ac:dyDescent="0.2">
      <c r="A105" s="43">
        <v>44773</v>
      </c>
      <c r="B105" s="44">
        <f>Inputs!D126</f>
        <v>25485797</v>
      </c>
      <c r="C105" s="100">
        <v>43.999999999999993</v>
      </c>
      <c r="D105" s="44">
        <v>31</v>
      </c>
      <c r="E105" s="110">
        <v>0</v>
      </c>
      <c r="F105" s="132">
        <v>1</v>
      </c>
      <c r="G105" s="132">
        <v>103</v>
      </c>
      <c r="H105" s="141">
        <v>0</v>
      </c>
      <c r="I105" s="44">
        <f t="shared" si="12"/>
        <v>25135245.451315939</v>
      </c>
      <c r="J105" s="27">
        <f t="shared" si="16"/>
        <v>-350551.54868406057</v>
      </c>
      <c r="K105" s="36">
        <f t="shared" si="17"/>
        <v>-1.3754780699385644E-2</v>
      </c>
      <c r="L105" s="10">
        <f t="shared" si="11"/>
        <v>1.3754780699385644E-2</v>
      </c>
      <c r="M105" s="133">
        <f t="shared" si="13"/>
        <v>122886388284.79329</v>
      </c>
      <c r="N105" s="133">
        <f t="shared" si="14"/>
        <v>1132506.4266262054</v>
      </c>
      <c r="O105" s="133">
        <f t="shared" si="15"/>
        <v>1282570806349.6567</v>
      </c>
      <c r="P105"/>
    </row>
    <row r="106" spans="1:16" x14ac:dyDescent="0.2">
      <c r="A106" s="43">
        <v>44804</v>
      </c>
      <c r="B106" s="44">
        <f>Inputs!D127</f>
        <v>26149673</v>
      </c>
      <c r="C106" s="100">
        <v>32.5</v>
      </c>
      <c r="D106" s="44">
        <v>31</v>
      </c>
      <c r="E106" s="110">
        <v>0</v>
      </c>
      <c r="F106" s="132">
        <v>1</v>
      </c>
      <c r="G106" s="132">
        <v>104</v>
      </c>
      <c r="H106" s="141">
        <v>0</v>
      </c>
      <c r="I106" s="44">
        <f t="shared" si="12"/>
        <v>25003564.527732044</v>
      </c>
      <c r="J106" s="27">
        <f t="shared" si="16"/>
        <v>-1146108.4722679555</v>
      </c>
      <c r="K106" s="36">
        <f t="shared" si="17"/>
        <v>-4.3828787926638912E-2</v>
      </c>
      <c r="L106" s="10">
        <f t="shared" si="11"/>
        <v>4.3828787926638912E-2</v>
      </c>
      <c r="M106" s="133">
        <f t="shared" si="13"/>
        <v>1313564630204.387</v>
      </c>
      <c r="N106" s="133">
        <f t="shared" si="14"/>
        <v>-795556.92358389497</v>
      </c>
      <c r="O106" s="133">
        <f t="shared" si="15"/>
        <v>632910818662.27124</v>
      </c>
      <c r="P106"/>
    </row>
    <row r="107" spans="1:16" x14ac:dyDescent="0.2">
      <c r="A107" s="43">
        <v>44834</v>
      </c>
      <c r="B107" s="44">
        <f>Inputs!D128</f>
        <v>23192024</v>
      </c>
      <c r="C107" s="100">
        <v>131.69999999999999</v>
      </c>
      <c r="D107" s="44">
        <v>30</v>
      </c>
      <c r="E107" s="110">
        <v>0</v>
      </c>
      <c r="F107" s="132">
        <v>0</v>
      </c>
      <c r="G107" s="132">
        <v>105</v>
      </c>
      <c r="H107" s="141">
        <v>0</v>
      </c>
      <c r="I107" s="44">
        <f t="shared" si="12"/>
        <v>22766857.217545126</v>
      </c>
      <c r="J107" s="27">
        <f t="shared" si="16"/>
        <v>-425166.78245487437</v>
      </c>
      <c r="K107" s="36">
        <f t="shared" si="17"/>
        <v>-1.8332456988440264E-2</v>
      </c>
      <c r="L107" s="10">
        <f t="shared" si="11"/>
        <v>1.8332456988440264E-2</v>
      </c>
      <c r="M107" s="133">
        <f t="shared" si="13"/>
        <v>180766792903.03046</v>
      </c>
      <c r="N107" s="133">
        <f t="shared" si="14"/>
        <v>720941.68981308118</v>
      </c>
      <c r="O107" s="133">
        <f t="shared" si="15"/>
        <v>519756920110.54095</v>
      </c>
      <c r="P107"/>
    </row>
    <row r="108" spans="1:16" x14ac:dyDescent="0.2">
      <c r="A108" s="43">
        <v>44865</v>
      </c>
      <c r="B108" s="44">
        <f>Inputs!D129</f>
        <v>24211097</v>
      </c>
      <c r="C108" s="100">
        <v>329.7000000000001</v>
      </c>
      <c r="D108" s="44">
        <v>31</v>
      </c>
      <c r="E108" s="110">
        <v>1</v>
      </c>
      <c r="F108" s="132">
        <v>0</v>
      </c>
      <c r="G108" s="132">
        <v>106</v>
      </c>
      <c r="H108" s="141">
        <v>0</v>
      </c>
      <c r="I108" s="44">
        <f t="shared" si="12"/>
        <v>24739440.457494114</v>
      </c>
      <c r="J108" s="27">
        <f t="shared" si="16"/>
        <v>528343.45749411359</v>
      </c>
      <c r="K108" s="36">
        <f t="shared" si="17"/>
        <v>2.1822367548819187E-2</v>
      </c>
      <c r="L108" s="10">
        <f t="shared" si="11"/>
        <v>2.1822367548819187E-2</v>
      </c>
      <c r="M108" s="133">
        <f t="shared" si="13"/>
        <v>279146809076.83423</v>
      </c>
      <c r="N108" s="133">
        <f t="shared" si="14"/>
        <v>953510.23994898796</v>
      </c>
      <c r="O108" s="133">
        <f t="shared" si="15"/>
        <v>909181777687.57654</v>
      </c>
      <c r="P108"/>
    </row>
    <row r="109" spans="1:16" x14ac:dyDescent="0.2">
      <c r="A109" s="43">
        <v>44895</v>
      </c>
      <c r="B109" s="44">
        <f>Inputs!D130</f>
        <v>26468247</v>
      </c>
      <c r="C109" s="100">
        <v>469.00000000000006</v>
      </c>
      <c r="D109" s="44">
        <v>30</v>
      </c>
      <c r="E109" s="110">
        <v>1</v>
      </c>
      <c r="F109" s="132">
        <v>0</v>
      </c>
      <c r="G109" s="132">
        <v>107</v>
      </c>
      <c r="H109" s="141">
        <v>0</v>
      </c>
      <c r="I109" s="44">
        <f t="shared" si="12"/>
        <v>25923545.958100285</v>
      </c>
      <c r="J109" s="27">
        <f t="shared" si="16"/>
        <v>-544701.04189971462</v>
      </c>
      <c r="K109" s="36">
        <f t="shared" si="17"/>
        <v>-2.057941509687871E-2</v>
      </c>
      <c r="L109" s="10">
        <f t="shared" si="11"/>
        <v>2.057941509687871E-2</v>
      </c>
      <c r="M109" s="133">
        <f t="shared" si="13"/>
        <v>296699225046.63464</v>
      </c>
      <c r="N109" s="133">
        <f t="shared" si="14"/>
        <v>-1073044.4993938282</v>
      </c>
      <c r="O109" s="133">
        <f t="shared" si="15"/>
        <v>1151424497679.3513</v>
      </c>
      <c r="P109"/>
    </row>
    <row r="110" spans="1:16" x14ac:dyDescent="0.2">
      <c r="A110" s="43">
        <v>44926</v>
      </c>
      <c r="B110" s="44">
        <f>Inputs!D131</f>
        <v>29238327</v>
      </c>
      <c r="C110" s="100">
        <v>637.1</v>
      </c>
      <c r="D110" s="44">
        <v>31</v>
      </c>
      <c r="E110" s="110">
        <v>0</v>
      </c>
      <c r="F110" s="132">
        <v>0</v>
      </c>
      <c r="G110" s="132">
        <v>108</v>
      </c>
      <c r="H110" s="141">
        <v>0</v>
      </c>
      <c r="I110" s="44">
        <f t="shared" si="12"/>
        <v>29517182.971199401</v>
      </c>
      <c r="J110" s="27">
        <f t="shared" si="16"/>
        <v>278855.97119940072</v>
      </c>
      <c r="K110" s="36">
        <f t="shared" si="17"/>
        <v>9.5373436106450521E-3</v>
      </c>
      <c r="L110" s="10">
        <f t="shared" si="11"/>
        <v>9.5373436106450521E-3</v>
      </c>
      <c r="M110" s="133">
        <f t="shared" si="13"/>
        <v>77760652673.561005</v>
      </c>
      <c r="N110" s="133">
        <f t="shared" si="14"/>
        <v>823557.01309911534</v>
      </c>
      <c r="O110" s="133">
        <f t="shared" si="15"/>
        <v>678246153824.73645</v>
      </c>
      <c r="P110"/>
    </row>
    <row r="111" spans="1:16" x14ac:dyDescent="0.2">
      <c r="A111" s="43">
        <v>44957</v>
      </c>
      <c r="B111" s="44">
        <f>Inputs!D132</f>
        <v>30877295</v>
      </c>
      <c r="C111" s="44">
        <v>712</v>
      </c>
      <c r="D111" s="44">
        <v>31</v>
      </c>
      <c r="E111" s="110">
        <v>0</v>
      </c>
      <c r="F111" s="132">
        <v>0</v>
      </c>
      <c r="G111" s="132">
        <v>109</v>
      </c>
      <c r="H111" s="141">
        <v>0</v>
      </c>
      <c r="I111" s="44">
        <f t="shared" si="12"/>
        <v>30443912.048424393</v>
      </c>
      <c r="J111" s="27">
        <f t="shared" si="16"/>
        <v>-433382.95157560706</v>
      </c>
      <c r="K111" s="36">
        <f t="shared" si="17"/>
        <v>-1.4035651490054653E-2</v>
      </c>
      <c r="L111" s="10">
        <f t="shared" si="11"/>
        <v>1.4035651490054653E-2</v>
      </c>
      <c r="M111" s="133">
        <f t="shared" si="13"/>
        <v>187820782716.38498</v>
      </c>
      <c r="N111" s="133">
        <f t="shared" si="14"/>
        <v>-712238.92277500778</v>
      </c>
      <c r="O111" s="133">
        <f t="shared" si="15"/>
        <v>507284283115.70349</v>
      </c>
      <c r="P111"/>
    </row>
    <row r="112" spans="1:16" x14ac:dyDescent="0.2">
      <c r="A112" s="43">
        <v>44985</v>
      </c>
      <c r="B112" s="44">
        <f>Inputs!D133</f>
        <v>28906608</v>
      </c>
      <c r="C112" s="44">
        <v>706.8</v>
      </c>
      <c r="D112" s="44">
        <v>28</v>
      </c>
      <c r="E112" s="110">
        <v>0</v>
      </c>
      <c r="F112" s="132">
        <v>0</v>
      </c>
      <c r="G112" s="132">
        <v>110</v>
      </c>
      <c r="H112" s="141">
        <v>0</v>
      </c>
      <c r="I112" s="44">
        <f t="shared" si="12"/>
        <v>28794813.761289816</v>
      </c>
      <c r="J112" s="27">
        <f t="shared" si="16"/>
        <v>-111794.23871018365</v>
      </c>
      <c r="K112" s="36">
        <f t="shared" si="17"/>
        <v>-3.867428468611179E-3</v>
      </c>
      <c r="L112" s="10">
        <f t="shared" si="11"/>
        <v>3.867428468611179E-3</v>
      </c>
      <c r="M112" s="133">
        <f t="shared" si="13"/>
        <v>12497951808.789524</v>
      </c>
      <c r="N112" s="133">
        <f t="shared" si="14"/>
        <v>321588.71286542341</v>
      </c>
      <c r="O112" s="133">
        <f t="shared" si="15"/>
        <v>103419300242.43974</v>
      </c>
      <c r="P112"/>
    </row>
    <row r="113" spans="1:16" x14ac:dyDescent="0.2">
      <c r="A113" s="43">
        <v>45016</v>
      </c>
      <c r="B113" s="44">
        <f>Inputs!D134</f>
        <v>29869663</v>
      </c>
      <c r="C113" s="44">
        <v>629.30000000000018</v>
      </c>
      <c r="D113" s="44">
        <v>31</v>
      </c>
      <c r="E113" s="110">
        <v>1</v>
      </c>
      <c r="F113" s="132">
        <v>0</v>
      </c>
      <c r="G113" s="132">
        <v>111</v>
      </c>
      <c r="H113" s="141">
        <v>0</v>
      </c>
      <c r="I113" s="44">
        <f t="shared" si="12"/>
        <v>28455552.173936363</v>
      </c>
      <c r="J113" s="27">
        <f t="shared" si="16"/>
        <v>-1414110.8260636367</v>
      </c>
      <c r="K113" s="36">
        <f t="shared" si="17"/>
        <v>-4.7342711100009288E-2</v>
      </c>
      <c r="L113" s="10">
        <f t="shared" si="11"/>
        <v>4.7342711100009288E-2</v>
      </c>
      <c r="M113" s="133">
        <f t="shared" si="13"/>
        <v>1999709428390.3809</v>
      </c>
      <c r="N113" s="133">
        <f t="shared" si="14"/>
        <v>-1302316.587353453</v>
      </c>
      <c r="O113" s="133">
        <f t="shared" si="15"/>
        <v>1696028493695.9441</v>
      </c>
      <c r="P113"/>
    </row>
    <row r="114" spans="1:16" x14ac:dyDescent="0.2">
      <c r="A114" s="43">
        <v>45046</v>
      </c>
      <c r="B114" s="44">
        <f>Inputs!D135</f>
        <v>25209778</v>
      </c>
      <c r="C114" s="44">
        <v>380.5</v>
      </c>
      <c r="D114" s="44">
        <v>30</v>
      </c>
      <c r="E114" s="110">
        <v>1</v>
      </c>
      <c r="F114" s="132">
        <v>0</v>
      </c>
      <c r="G114" s="132">
        <v>112</v>
      </c>
      <c r="H114" s="141">
        <v>0</v>
      </c>
      <c r="I114" s="44">
        <f t="shared" si="12"/>
        <v>24885387.751927625</v>
      </c>
      <c r="J114" s="27">
        <f t="shared" si="16"/>
        <v>-324390.24807237461</v>
      </c>
      <c r="K114" s="36">
        <f t="shared" si="17"/>
        <v>-1.2867636044727352E-2</v>
      </c>
      <c r="L114" s="10">
        <f t="shared" si="11"/>
        <v>1.2867636044727352E-2</v>
      </c>
      <c r="M114" s="133">
        <f t="shared" si="13"/>
        <v>105229033044.45674</v>
      </c>
      <c r="N114" s="133">
        <f t="shared" si="14"/>
        <v>1089720.5779912621</v>
      </c>
      <c r="O114" s="133">
        <f t="shared" si="15"/>
        <v>1187490938097.6104</v>
      </c>
      <c r="P114"/>
    </row>
    <row r="115" spans="1:16" x14ac:dyDescent="0.2">
      <c r="A115" s="43">
        <v>45077</v>
      </c>
      <c r="B115" s="44">
        <f>Inputs!D136</f>
        <v>23723123</v>
      </c>
      <c r="C115" s="44">
        <v>237.2</v>
      </c>
      <c r="D115" s="44">
        <v>31</v>
      </c>
      <c r="E115" s="110">
        <v>1</v>
      </c>
      <c r="F115" s="132">
        <v>0</v>
      </c>
      <c r="G115" s="132">
        <v>113</v>
      </c>
      <c r="H115" s="141">
        <v>0</v>
      </c>
      <c r="I115" s="44">
        <f t="shared" si="12"/>
        <v>23670672.603405617</v>
      </c>
      <c r="J115" s="27">
        <f t="shared" si="16"/>
        <v>-52450.396594382823</v>
      </c>
      <c r="K115" s="36">
        <f t="shared" si="17"/>
        <v>-2.2109397904476078E-3</v>
      </c>
      <c r="L115" s="10">
        <f t="shared" si="11"/>
        <v>2.2109397904476078E-3</v>
      </c>
      <c r="M115" s="133">
        <f t="shared" si="13"/>
        <v>2751044102.9080453</v>
      </c>
      <c r="N115" s="133">
        <f t="shared" si="14"/>
        <v>271939.85147799179</v>
      </c>
      <c r="O115" s="133">
        <f t="shared" si="15"/>
        <v>73951282821.872238</v>
      </c>
      <c r="P115"/>
    </row>
    <row r="116" spans="1:16" x14ac:dyDescent="0.2">
      <c r="A116" s="43">
        <v>45107</v>
      </c>
      <c r="B116" s="44">
        <f>Inputs!D137</f>
        <v>23955844</v>
      </c>
      <c r="C116" s="44">
        <v>69.000000000000014</v>
      </c>
      <c r="D116" s="44">
        <v>30</v>
      </c>
      <c r="E116" s="110">
        <v>0</v>
      </c>
      <c r="F116" s="132">
        <v>0</v>
      </c>
      <c r="G116" s="132">
        <v>114</v>
      </c>
      <c r="H116" s="141">
        <v>0</v>
      </c>
      <c r="I116" s="44">
        <f t="shared" si="12"/>
        <v>22081533.627894271</v>
      </c>
      <c r="J116" s="27">
        <f t="shared" si="16"/>
        <v>-1874310.3721057288</v>
      </c>
      <c r="K116" s="36">
        <f t="shared" si="17"/>
        <v>-7.8240214458974139E-2</v>
      </c>
      <c r="L116" s="10">
        <f t="shared" si="11"/>
        <v>7.8240214458974139E-2</v>
      </c>
      <c r="M116" s="133">
        <f t="shared" si="13"/>
        <v>3513039370983.1157</v>
      </c>
      <c r="N116" s="133">
        <f t="shared" si="14"/>
        <v>-1821859.975511346</v>
      </c>
      <c r="O116" s="133">
        <f t="shared" si="15"/>
        <v>3319173770370.2021</v>
      </c>
      <c r="P116"/>
    </row>
    <row r="117" spans="1:16" x14ac:dyDescent="0.2">
      <c r="A117" s="43">
        <v>45138</v>
      </c>
      <c r="B117" s="44">
        <f>Inputs!D138</f>
        <v>25445214</v>
      </c>
      <c r="C117" s="44">
        <v>27.000000000000004</v>
      </c>
      <c r="D117" s="44">
        <v>31</v>
      </c>
      <c r="E117" s="110">
        <v>0</v>
      </c>
      <c r="F117" s="132">
        <v>1</v>
      </c>
      <c r="G117" s="132">
        <v>115</v>
      </c>
      <c r="H117" s="141">
        <v>0</v>
      </c>
      <c r="I117" s="44">
        <f t="shared" si="12"/>
        <v>25037338.37407165</v>
      </c>
      <c r="J117" s="27">
        <f t="shared" si="16"/>
        <v>-407875.62592834979</v>
      </c>
      <c r="K117" s="36">
        <f t="shared" si="17"/>
        <v>-1.6029561627123663E-2</v>
      </c>
      <c r="L117" s="10">
        <f t="shared" si="11"/>
        <v>1.6029561627123663E-2</v>
      </c>
      <c r="M117" s="133">
        <f t="shared" si="13"/>
        <v>166362526226.44312</v>
      </c>
      <c r="N117" s="133">
        <f t="shared" si="14"/>
        <v>1466434.746177379</v>
      </c>
      <c r="O117" s="133">
        <f t="shared" si="15"/>
        <v>2150430864796.3142</v>
      </c>
      <c r="P117"/>
    </row>
    <row r="118" spans="1:16" x14ac:dyDescent="0.2">
      <c r="A118" s="43">
        <v>45169</v>
      </c>
      <c r="B118" s="44">
        <f>Inputs!D139</f>
        <v>24199133</v>
      </c>
      <c r="C118" s="44">
        <v>56.2</v>
      </c>
      <c r="D118" s="44">
        <v>31</v>
      </c>
      <c r="E118" s="110">
        <v>0</v>
      </c>
      <c r="F118" s="132">
        <v>1</v>
      </c>
      <c r="G118" s="132">
        <v>116</v>
      </c>
      <c r="H118" s="141">
        <v>0</v>
      </c>
      <c r="I118" s="44">
        <f t="shared" si="12"/>
        <v>25404237.161516938</v>
      </c>
      <c r="J118" s="27">
        <f t="shared" si="16"/>
        <v>1205104.1615169384</v>
      </c>
      <c r="K118" s="36">
        <f t="shared" si="17"/>
        <v>4.9799476762945945E-2</v>
      </c>
      <c r="L118" s="10">
        <f t="shared" si="11"/>
        <v>4.9799476762945945E-2</v>
      </c>
      <c r="M118" s="133">
        <f t="shared" si="13"/>
        <v>1452276040105.4431</v>
      </c>
      <c r="N118" s="133">
        <f t="shared" si="14"/>
        <v>1612979.7874452882</v>
      </c>
      <c r="O118" s="133">
        <f t="shared" si="15"/>
        <v>2601703794707.0469</v>
      </c>
      <c r="P118"/>
    </row>
    <row r="119" spans="1:16" x14ac:dyDescent="0.2">
      <c r="A119" s="43">
        <v>45199</v>
      </c>
      <c r="B119" s="44">
        <f>Inputs!D140</f>
        <v>22957346</v>
      </c>
      <c r="C119" s="44">
        <v>116.4</v>
      </c>
      <c r="D119" s="44">
        <v>30</v>
      </c>
      <c r="E119" s="110">
        <v>0</v>
      </c>
      <c r="F119" s="132">
        <v>0</v>
      </c>
      <c r="G119" s="132">
        <v>117</v>
      </c>
      <c r="H119" s="141">
        <v>0</v>
      </c>
      <c r="I119" s="44">
        <f t="shared" si="12"/>
        <v>22689775.337076012</v>
      </c>
      <c r="J119" s="27">
        <f t="shared" si="16"/>
        <v>-267570.66292398795</v>
      </c>
      <c r="K119" s="36">
        <f t="shared" si="17"/>
        <v>-1.1655121760328391E-2</v>
      </c>
      <c r="L119" s="10">
        <f t="shared" si="11"/>
        <v>1.1655121760328391E-2</v>
      </c>
      <c r="M119" s="133">
        <f t="shared" si="13"/>
        <v>71594059657.582382</v>
      </c>
      <c r="N119" s="133">
        <f t="shared" si="14"/>
        <v>-1472674.8244409263</v>
      </c>
      <c r="O119" s="133">
        <f t="shared" si="15"/>
        <v>2168771138542.113</v>
      </c>
      <c r="P119"/>
    </row>
    <row r="120" spans="1:16" x14ac:dyDescent="0.2">
      <c r="A120" s="43">
        <v>45230</v>
      </c>
      <c r="B120" s="44">
        <f>Inputs!D141</f>
        <v>24656330</v>
      </c>
      <c r="C120" s="44">
        <v>267.60000000000002</v>
      </c>
      <c r="D120" s="44">
        <v>31</v>
      </c>
      <c r="E120" s="110">
        <v>1</v>
      </c>
      <c r="F120" s="132">
        <v>0</v>
      </c>
      <c r="G120" s="132">
        <v>118</v>
      </c>
      <c r="H120" s="141">
        <v>0</v>
      </c>
      <c r="I120" s="44">
        <f t="shared" si="12"/>
        <v>24089053.159920186</v>
      </c>
      <c r="J120" s="27">
        <f t="shared" si="16"/>
        <v>-567276.8400798142</v>
      </c>
      <c r="K120" s="36">
        <f t="shared" si="17"/>
        <v>-2.3007351056698794E-2</v>
      </c>
      <c r="L120" s="10">
        <f t="shared" si="11"/>
        <v>2.3007351056698794E-2</v>
      </c>
      <c r="M120" s="133">
        <f t="shared" si="13"/>
        <v>321803013290.93909</v>
      </c>
      <c r="N120" s="133">
        <f t="shared" si="14"/>
        <v>-299706.17715582624</v>
      </c>
      <c r="O120" s="133">
        <f t="shared" si="15"/>
        <v>89823792625.359497</v>
      </c>
      <c r="P120"/>
    </row>
    <row r="121" spans="1:16" x14ac:dyDescent="0.2">
      <c r="A121" s="43">
        <v>45260</v>
      </c>
      <c r="B121" s="44">
        <f>Inputs!D142</f>
        <v>27066324</v>
      </c>
      <c r="C121" s="44">
        <v>536.40000000000009</v>
      </c>
      <c r="D121" s="44">
        <v>30</v>
      </c>
      <c r="E121" s="110">
        <v>1</v>
      </c>
      <c r="F121" s="132">
        <v>0</v>
      </c>
      <c r="G121" s="132">
        <v>119</v>
      </c>
      <c r="H121" s="141">
        <v>0</v>
      </c>
      <c r="I121" s="44">
        <f t="shared" si="12"/>
        <v>26859548.650164675</v>
      </c>
      <c r="J121" s="27">
        <f t="shared" si="16"/>
        <v>-206775.34983532503</v>
      </c>
      <c r="K121" s="36">
        <f t="shared" si="17"/>
        <v>-7.6395800861367444E-3</v>
      </c>
      <c r="L121" s="10">
        <f t="shared" si="11"/>
        <v>7.6395800861367444E-3</v>
      </c>
      <c r="M121" s="133">
        <f t="shared" si="13"/>
        <v>42756045299.521049</v>
      </c>
      <c r="N121" s="133">
        <f t="shared" si="14"/>
        <v>360501.49024448916</v>
      </c>
      <c r="O121" s="133">
        <f t="shared" si="15"/>
        <v>129961324468.49751</v>
      </c>
      <c r="P121"/>
    </row>
    <row r="122" spans="1:16" x14ac:dyDescent="0.2">
      <c r="A122" s="43">
        <v>45291</v>
      </c>
      <c r="B122" s="44">
        <f>Inputs!D143</f>
        <v>28270776</v>
      </c>
      <c r="C122" s="44">
        <v>589.70000000000005</v>
      </c>
      <c r="D122" s="44">
        <v>31</v>
      </c>
      <c r="E122" s="110">
        <v>0</v>
      </c>
      <c r="F122" s="132">
        <v>0</v>
      </c>
      <c r="G122" s="132">
        <v>120</v>
      </c>
      <c r="H122" s="141">
        <v>0</v>
      </c>
      <c r="I122" s="44">
        <f t="shared" si="12"/>
        <v>29046872.375151988</v>
      </c>
      <c r="J122" s="27">
        <f t="shared" si="16"/>
        <v>776096.37515198812</v>
      </c>
      <c r="K122" s="36">
        <f t="shared" si="17"/>
        <v>2.745224875157258E-2</v>
      </c>
      <c r="L122" s="10">
        <f t="shared" si="11"/>
        <v>2.745224875157258E-2</v>
      </c>
      <c r="M122" s="133">
        <f t="shared" si="13"/>
        <v>602325583524.05554</v>
      </c>
      <c r="N122" s="133">
        <f t="shared" si="14"/>
        <v>982871.72498731315</v>
      </c>
      <c r="O122" s="133">
        <f t="shared" si="15"/>
        <v>966036827779.5365</v>
      </c>
      <c r="P122"/>
    </row>
    <row r="123" spans="1:16" x14ac:dyDescent="0.2">
      <c r="A123" s="43">
        <v>45322</v>
      </c>
      <c r="B123" s="44"/>
      <c r="C123" s="51">
        <f t="shared" ref="C123:C134" si="18">(C3+C15+C27+C39+C51+C63+C75+C87+C99+C111)/10</f>
        <v>844.98000000000013</v>
      </c>
      <c r="D123" s="100">
        <v>31</v>
      </c>
      <c r="E123" s="110">
        <v>0</v>
      </c>
      <c r="F123" s="132">
        <v>0</v>
      </c>
      <c r="G123" s="132">
        <v>121</v>
      </c>
      <c r="H123" s="141">
        <v>0</v>
      </c>
      <c r="I123" s="44">
        <f t="shared" si="12"/>
        <v>32183277.331380527</v>
      </c>
      <c r="J123" s="27"/>
      <c r="K123" t="s">
        <v>51</v>
      </c>
      <c r="L123" s="4">
        <f>AVERAGE(L3:L122)</f>
        <v>2.9897901600192112E-2</v>
      </c>
      <c r="M123" s="5">
        <f>SUM(M3:M122)</f>
        <v>108689176992132.64</v>
      </c>
      <c r="N123" s="4"/>
      <c r="O123" s="5">
        <f>SUM(O3:O122)</f>
        <v>147007813553023.59</v>
      </c>
    </row>
    <row r="124" spans="1:16" x14ac:dyDescent="0.2">
      <c r="A124" s="43">
        <v>45351</v>
      </c>
      <c r="B124" s="44"/>
      <c r="C124" s="51">
        <f t="shared" si="18"/>
        <v>776.06999999999994</v>
      </c>
      <c r="D124" s="100">
        <v>29</v>
      </c>
      <c r="E124" s="110">
        <v>0</v>
      </c>
      <c r="F124" s="132">
        <v>0</v>
      </c>
      <c r="G124" s="132">
        <v>122</v>
      </c>
      <c r="H124" s="141">
        <v>0</v>
      </c>
      <c r="I124" s="44">
        <f t="shared" si="12"/>
        <v>30285255.200732339</v>
      </c>
      <c r="J124" s="27"/>
      <c r="P124"/>
    </row>
    <row r="125" spans="1:16" x14ac:dyDescent="0.2">
      <c r="A125" s="43">
        <v>45382</v>
      </c>
      <c r="B125" s="44"/>
      <c r="C125" s="51">
        <f t="shared" si="18"/>
        <v>675.53</v>
      </c>
      <c r="D125" s="100">
        <v>31</v>
      </c>
      <c r="E125" s="110">
        <v>1</v>
      </c>
      <c r="F125" s="132">
        <v>0</v>
      </c>
      <c r="G125" s="132">
        <v>123</v>
      </c>
      <c r="H125" s="141">
        <v>0</v>
      </c>
      <c r="I125" s="44">
        <f t="shared" si="12"/>
        <v>29132219.915571075</v>
      </c>
      <c r="J125" s="27"/>
      <c r="P125"/>
    </row>
    <row r="126" spans="1:16" x14ac:dyDescent="0.2">
      <c r="A126" s="43">
        <v>45412</v>
      </c>
      <c r="B126" s="44"/>
      <c r="C126" s="51">
        <f t="shared" si="18"/>
        <v>428.43999999999994</v>
      </c>
      <c r="D126" s="100">
        <v>30</v>
      </c>
      <c r="E126" s="110">
        <v>1</v>
      </c>
      <c r="F126" s="132">
        <v>0</v>
      </c>
      <c r="G126" s="132">
        <v>124</v>
      </c>
      <c r="H126" s="141">
        <v>0</v>
      </c>
      <c r="I126" s="44">
        <f t="shared" si="12"/>
        <v>25583003.191495012</v>
      </c>
      <c r="J126" s="27"/>
      <c r="P126"/>
    </row>
    <row r="127" spans="1:16" x14ac:dyDescent="0.2">
      <c r="A127" s="43">
        <v>45443</v>
      </c>
      <c r="B127" s="44"/>
      <c r="C127" s="51">
        <f t="shared" si="18"/>
        <v>217.82</v>
      </c>
      <c r="D127" s="100">
        <v>31</v>
      </c>
      <c r="E127" s="110">
        <v>1</v>
      </c>
      <c r="F127" s="132">
        <v>0</v>
      </c>
      <c r="G127" s="132">
        <v>125</v>
      </c>
      <c r="H127" s="141">
        <v>0</v>
      </c>
      <c r="I127" s="44">
        <f t="shared" si="12"/>
        <v>23543610.250676088</v>
      </c>
      <c r="J127" s="27"/>
      <c r="P127"/>
    </row>
    <row r="128" spans="1:16" x14ac:dyDescent="0.2">
      <c r="A128" s="43">
        <v>45473</v>
      </c>
      <c r="B128" s="44"/>
      <c r="C128" s="51">
        <f t="shared" si="18"/>
        <v>80.48</v>
      </c>
      <c r="D128" s="100">
        <v>30</v>
      </c>
      <c r="E128" s="110">
        <v>0</v>
      </c>
      <c r="F128" s="132">
        <v>0</v>
      </c>
      <c r="G128" s="132">
        <v>126</v>
      </c>
      <c r="H128" s="141">
        <v>0</v>
      </c>
      <c r="I128" s="44">
        <f t="shared" si="12"/>
        <v>22332509.847212914</v>
      </c>
      <c r="J128" s="27"/>
      <c r="P128"/>
    </row>
    <row r="129" spans="1:16" x14ac:dyDescent="0.2">
      <c r="A129" s="43">
        <v>45504</v>
      </c>
      <c r="B129" s="44"/>
      <c r="C129" s="51">
        <f t="shared" si="18"/>
        <v>28.439999999999998</v>
      </c>
      <c r="D129" s="100">
        <v>31</v>
      </c>
      <c r="E129" s="110">
        <v>0</v>
      </c>
      <c r="F129" s="132">
        <v>1</v>
      </c>
      <c r="G129" s="132">
        <v>127</v>
      </c>
      <c r="H129" s="141">
        <v>0</v>
      </c>
      <c r="I129" s="44">
        <f t="shared" si="12"/>
        <v>25165323.431259256</v>
      </c>
      <c r="J129" s="27"/>
      <c r="K129"/>
      <c r="L129"/>
      <c r="M129"/>
      <c r="N129"/>
      <c r="O129"/>
      <c r="P129"/>
    </row>
    <row r="130" spans="1:16" x14ac:dyDescent="0.2">
      <c r="A130" s="43">
        <v>45535</v>
      </c>
      <c r="B130" s="44"/>
      <c r="C130" s="51">
        <f t="shared" si="18"/>
        <v>40.599999999999994</v>
      </c>
      <c r="D130" s="100">
        <v>31</v>
      </c>
      <c r="E130" s="110">
        <v>0</v>
      </c>
      <c r="F130" s="132">
        <v>1</v>
      </c>
      <c r="G130" s="132">
        <v>128</v>
      </c>
      <c r="H130" s="141">
        <v>0</v>
      </c>
      <c r="I130" s="44">
        <f t="shared" si="12"/>
        <v>25323480.246322796</v>
      </c>
      <c r="J130" s="27"/>
      <c r="K130"/>
      <c r="L130"/>
      <c r="M130"/>
      <c r="N130"/>
      <c r="O130"/>
      <c r="P130"/>
    </row>
    <row r="131" spans="1:16" x14ac:dyDescent="0.2">
      <c r="A131" s="43">
        <v>45565</v>
      </c>
      <c r="B131" s="44"/>
      <c r="C131" s="51">
        <f t="shared" si="18"/>
        <v>128.69</v>
      </c>
      <c r="D131" s="100">
        <v>30</v>
      </c>
      <c r="E131" s="110">
        <v>0</v>
      </c>
      <c r="F131" s="132">
        <v>0</v>
      </c>
      <c r="G131" s="132">
        <v>129</v>
      </c>
      <c r="H131" s="141">
        <v>0</v>
      </c>
      <c r="I131" s="44">
        <f t="shared" si="12"/>
        <v>22950674.150152236</v>
      </c>
      <c r="J131" s="27"/>
      <c r="K131"/>
      <c r="L131"/>
      <c r="M131"/>
      <c r="N131"/>
      <c r="O131"/>
      <c r="P131"/>
    </row>
    <row r="132" spans="1:16" x14ac:dyDescent="0.2">
      <c r="A132" s="43">
        <v>45596</v>
      </c>
      <c r="B132" s="44"/>
      <c r="C132" s="51">
        <f t="shared" si="18"/>
        <v>312.38</v>
      </c>
      <c r="D132" s="100">
        <v>31</v>
      </c>
      <c r="E132" s="110">
        <v>1</v>
      </c>
      <c r="F132" s="132">
        <v>0</v>
      </c>
      <c r="G132" s="132">
        <v>130</v>
      </c>
      <c r="H132" s="141">
        <v>0</v>
      </c>
      <c r="I132" s="44">
        <f t="shared" ref="I132:I146" si="19">$R$18+$R$19*C132+$R$20*D132+$R$21*E132+$R$22*F132+$R$23*G132+$R$24*H132</f>
        <v>24747958.233717252</v>
      </c>
      <c r="J132" s="27"/>
      <c r="K132"/>
      <c r="L132"/>
      <c r="M132"/>
      <c r="N132"/>
      <c r="O132"/>
      <c r="P132"/>
    </row>
    <row r="133" spans="1:16" x14ac:dyDescent="0.2">
      <c r="A133" s="43">
        <v>45626</v>
      </c>
      <c r="B133" s="44"/>
      <c r="C133" s="51">
        <f t="shared" si="18"/>
        <v>501.11</v>
      </c>
      <c r="D133" s="100">
        <v>30</v>
      </c>
      <c r="E133" s="110">
        <v>1</v>
      </c>
      <c r="F133" s="132">
        <v>0</v>
      </c>
      <c r="G133" s="132">
        <v>131</v>
      </c>
      <c r="H133" s="141">
        <v>0</v>
      </c>
      <c r="I133" s="44">
        <f t="shared" si="19"/>
        <v>26537586.955851004</v>
      </c>
      <c r="J133" s="27"/>
      <c r="K133"/>
      <c r="L133"/>
      <c r="M133"/>
      <c r="N133"/>
      <c r="O133"/>
      <c r="P133"/>
    </row>
    <row r="134" spans="1:16" x14ac:dyDescent="0.2">
      <c r="A134" s="43">
        <v>45657</v>
      </c>
      <c r="B134" s="44"/>
      <c r="C134" s="51">
        <f t="shared" si="18"/>
        <v>678.26</v>
      </c>
      <c r="D134" s="100">
        <v>31</v>
      </c>
      <c r="E134" s="110">
        <v>0</v>
      </c>
      <c r="F134" s="132">
        <v>0</v>
      </c>
      <c r="G134" s="132">
        <v>132</v>
      </c>
      <c r="H134" s="141">
        <v>0</v>
      </c>
      <c r="I134" s="44">
        <f t="shared" si="19"/>
        <v>30242087.516488552</v>
      </c>
      <c r="J134" s="27"/>
      <c r="K134"/>
      <c r="L134"/>
      <c r="M134"/>
      <c r="N134"/>
      <c r="O134"/>
      <c r="P134"/>
    </row>
    <row r="135" spans="1:16" x14ac:dyDescent="0.2">
      <c r="A135" s="43">
        <v>45688</v>
      </c>
      <c r="B135" s="44"/>
      <c r="C135" s="51">
        <f t="shared" ref="C135:C146" si="20">C123</f>
        <v>844.98000000000013</v>
      </c>
      <c r="D135" s="100">
        <v>31</v>
      </c>
      <c r="E135" s="110">
        <v>0</v>
      </c>
      <c r="F135" s="132">
        <v>0</v>
      </c>
      <c r="G135" s="132">
        <v>133</v>
      </c>
      <c r="H135" s="141">
        <v>0</v>
      </c>
      <c r="I135" s="44">
        <f t="shared" si="19"/>
        <v>32293622.221887987</v>
      </c>
      <c r="J135" s="27"/>
      <c r="K135"/>
      <c r="L135"/>
      <c r="M135"/>
      <c r="N135"/>
      <c r="O135"/>
      <c r="P135"/>
    </row>
    <row r="136" spans="1:16" x14ac:dyDescent="0.2">
      <c r="A136" s="43">
        <v>45716</v>
      </c>
      <c r="B136" s="44"/>
      <c r="C136" s="51">
        <f t="shared" si="20"/>
        <v>776.06999999999994</v>
      </c>
      <c r="D136" s="100">
        <v>28</v>
      </c>
      <c r="E136" s="110">
        <v>0</v>
      </c>
      <c r="F136" s="132">
        <v>0</v>
      </c>
      <c r="G136" s="132">
        <v>134</v>
      </c>
      <c r="H136" s="141">
        <v>0</v>
      </c>
      <c r="I136" s="44">
        <f t="shared" si="19"/>
        <v>29864069.060314361</v>
      </c>
      <c r="J136" s="27"/>
      <c r="K136"/>
      <c r="L136"/>
      <c r="M136"/>
      <c r="N136"/>
      <c r="O136"/>
      <c r="P136"/>
    </row>
    <row r="137" spans="1:16" x14ac:dyDescent="0.2">
      <c r="A137" s="43">
        <v>45747</v>
      </c>
      <c r="B137" s="44"/>
      <c r="C137" s="51">
        <f t="shared" si="20"/>
        <v>675.53</v>
      </c>
      <c r="D137" s="100">
        <v>31</v>
      </c>
      <c r="E137" s="110">
        <v>1</v>
      </c>
      <c r="F137" s="132">
        <v>0</v>
      </c>
      <c r="G137" s="132">
        <v>135</v>
      </c>
      <c r="H137" s="141">
        <v>0</v>
      </c>
      <c r="I137" s="44">
        <f t="shared" si="19"/>
        <v>29242564.806078535</v>
      </c>
      <c r="J137" s="27"/>
      <c r="K137"/>
      <c r="L137"/>
      <c r="M137"/>
      <c r="N137"/>
      <c r="O137"/>
      <c r="P137"/>
    </row>
    <row r="138" spans="1:16" x14ac:dyDescent="0.2">
      <c r="A138" s="43">
        <v>45777</v>
      </c>
      <c r="B138" s="44"/>
      <c r="C138" s="51">
        <f t="shared" si="20"/>
        <v>428.43999999999994</v>
      </c>
      <c r="D138" s="100">
        <v>30</v>
      </c>
      <c r="E138" s="110">
        <v>1</v>
      </c>
      <c r="F138" s="132">
        <v>0</v>
      </c>
      <c r="G138" s="132">
        <v>136</v>
      </c>
      <c r="H138" s="141">
        <v>0</v>
      </c>
      <c r="I138" s="44">
        <f t="shared" si="19"/>
        <v>25693348.082002472</v>
      </c>
      <c r="J138" s="27"/>
      <c r="K138"/>
      <c r="L138"/>
      <c r="M138"/>
      <c r="N138"/>
      <c r="O138"/>
      <c r="P138"/>
    </row>
    <row r="139" spans="1:16" x14ac:dyDescent="0.2">
      <c r="A139" s="43">
        <v>45808</v>
      </c>
      <c r="B139" s="44"/>
      <c r="C139" s="51">
        <f t="shared" si="20"/>
        <v>217.82</v>
      </c>
      <c r="D139" s="100">
        <v>31</v>
      </c>
      <c r="E139" s="110">
        <v>1</v>
      </c>
      <c r="F139" s="132">
        <v>0</v>
      </c>
      <c r="G139" s="132">
        <v>137</v>
      </c>
      <c r="H139" s="141">
        <v>0</v>
      </c>
      <c r="I139" s="44">
        <f t="shared" si="19"/>
        <v>23653955.141183548</v>
      </c>
      <c r="J139" s="27"/>
      <c r="K139"/>
      <c r="L139"/>
      <c r="M139"/>
      <c r="N139"/>
      <c r="O139"/>
      <c r="P139"/>
    </row>
    <row r="140" spans="1:16" x14ac:dyDescent="0.2">
      <c r="A140" s="43">
        <v>45838</v>
      </c>
      <c r="B140" s="44"/>
      <c r="C140" s="51">
        <f t="shared" si="20"/>
        <v>80.48</v>
      </c>
      <c r="D140" s="100">
        <v>30</v>
      </c>
      <c r="E140" s="110">
        <v>0</v>
      </c>
      <c r="F140" s="132">
        <v>0</v>
      </c>
      <c r="G140" s="132">
        <v>138</v>
      </c>
      <c r="H140" s="141">
        <v>0</v>
      </c>
      <c r="I140" s="44">
        <f t="shared" si="19"/>
        <v>22442854.737720374</v>
      </c>
      <c r="J140" s="27"/>
      <c r="K140"/>
      <c r="L140"/>
      <c r="M140"/>
      <c r="N140"/>
      <c r="O140"/>
      <c r="P140"/>
    </row>
    <row r="141" spans="1:16" x14ac:dyDescent="0.2">
      <c r="A141" s="43">
        <v>45869</v>
      </c>
      <c r="B141" s="44"/>
      <c r="C141" s="51">
        <f t="shared" si="20"/>
        <v>28.439999999999998</v>
      </c>
      <c r="D141" s="100">
        <v>31</v>
      </c>
      <c r="E141" s="110">
        <v>0</v>
      </c>
      <c r="F141" s="132">
        <v>1</v>
      </c>
      <c r="G141" s="132">
        <v>139</v>
      </c>
      <c r="H141" s="141">
        <v>0</v>
      </c>
      <c r="I141" s="44">
        <f t="shared" si="19"/>
        <v>25275668.321766715</v>
      </c>
      <c r="J141" s="27"/>
      <c r="K141"/>
      <c r="L141"/>
      <c r="M141"/>
      <c r="N141"/>
      <c r="O141"/>
      <c r="P141"/>
    </row>
    <row r="142" spans="1:16" x14ac:dyDescent="0.2">
      <c r="A142" s="43">
        <v>45900</v>
      </c>
      <c r="B142" s="44"/>
      <c r="C142" s="51">
        <f t="shared" si="20"/>
        <v>40.599999999999994</v>
      </c>
      <c r="D142" s="100">
        <v>31</v>
      </c>
      <c r="E142" s="110">
        <v>0</v>
      </c>
      <c r="F142" s="132">
        <v>1</v>
      </c>
      <c r="G142" s="132">
        <v>140</v>
      </c>
      <c r="H142" s="141">
        <v>0</v>
      </c>
      <c r="I142" s="44">
        <f t="shared" si="19"/>
        <v>25433825.136830255</v>
      </c>
      <c r="J142" s="27"/>
      <c r="K142"/>
      <c r="L142"/>
      <c r="M142"/>
      <c r="N142"/>
      <c r="O142"/>
      <c r="P142"/>
    </row>
    <row r="143" spans="1:16" x14ac:dyDescent="0.2">
      <c r="A143" s="43">
        <v>45930</v>
      </c>
      <c r="B143" s="44"/>
      <c r="C143" s="51">
        <f t="shared" si="20"/>
        <v>128.69</v>
      </c>
      <c r="D143" s="100">
        <v>30</v>
      </c>
      <c r="E143" s="110">
        <v>0</v>
      </c>
      <c r="F143" s="132">
        <v>0</v>
      </c>
      <c r="G143" s="132">
        <v>141</v>
      </c>
      <c r="H143" s="141">
        <v>0</v>
      </c>
      <c r="I143" s="44">
        <f t="shared" si="19"/>
        <v>23061019.040659696</v>
      </c>
      <c r="J143" s="27"/>
      <c r="K143"/>
      <c r="L143"/>
      <c r="M143"/>
      <c r="N143"/>
      <c r="O143"/>
      <c r="P143"/>
    </row>
    <row r="144" spans="1:16" x14ac:dyDescent="0.2">
      <c r="A144" s="43">
        <v>45961</v>
      </c>
      <c r="B144" s="44"/>
      <c r="C144" s="51">
        <f t="shared" si="20"/>
        <v>312.38</v>
      </c>
      <c r="D144" s="100">
        <v>31</v>
      </c>
      <c r="E144" s="110">
        <v>1</v>
      </c>
      <c r="F144" s="132">
        <v>0</v>
      </c>
      <c r="G144" s="132">
        <v>142</v>
      </c>
      <c r="H144" s="141">
        <v>0</v>
      </c>
      <c r="I144" s="44">
        <f t="shared" si="19"/>
        <v>24858303.124224711</v>
      </c>
      <c r="J144" s="27"/>
      <c r="K144"/>
      <c r="L144"/>
      <c r="M144"/>
      <c r="N144"/>
      <c r="O144"/>
      <c r="P144"/>
    </row>
    <row r="145" spans="1:16" x14ac:dyDescent="0.2">
      <c r="A145" s="43">
        <v>45991</v>
      </c>
      <c r="B145" s="44"/>
      <c r="C145" s="51">
        <f t="shared" si="20"/>
        <v>501.11</v>
      </c>
      <c r="D145" s="100">
        <v>30</v>
      </c>
      <c r="E145" s="110">
        <v>1</v>
      </c>
      <c r="F145" s="132">
        <v>0</v>
      </c>
      <c r="G145" s="132">
        <v>143</v>
      </c>
      <c r="H145" s="141">
        <v>0</v>
      </c>
      <c r="I145" s="44">
        <f t="shared" si="19"/>
        <v>26647931.846358463</v>
      </c>
      <c r="J145" s="27"/>
      <c r="P145"/>
    </row>
    <row r="146" spans="1:16" x14ac:dyDescent="0.2">
      <c r="A146" s="43">
        <v>46022</v>
      </c>
      <c r="B146" s="44"/>
      <c r="C146" s="51">
        <f t="shared" si="20"/>
        <v>678.26</v>
      </c>
      <c r="D146" s="100">
        <v>31</v>
      </c>
      <c r="E146" s="110">
        <v>0</v>
      </c>
      <c r="F146" s="132">
        <v>0</v>
      </c>
      <c r="G146" s="132">
        <v>144</v>
      </c>
      <c r="H146" s="141">
        <v>0</v>
      </c>
      <c r="I146" s="44">
        <f t="shared" si="19"/>
        <v>30352432.406996012</v>
      </c>
      <c r="J146" s="27"/>
      <c r="P146"/>
    </row>
    <row r="147" spans="1:16" x14ac:dyDescent="0.2">
      <c r="A147" s="28"/>
      <c r="D147" s="8"/>
      <c r="E147" s="53"/>
      <c r="P147"/>
    </row>
    <row r="148" spans="1:16" x14ac:dyDescent="0.2">
      <c r="A148" s="28"/>
      <c r="D148" s="8"/>
      <c r="E148" s="53"/>
      <c r="P148"/>
    </row>
    <row r="149" spans="1:16" x14ac:dyDescent="0.2">
      <c r="A149" s="28"/>
      <c r="C149" s="102" t="s">
        <v>90</v>
      </c>
      <c r="D149" s="8"/>
      <c r="E149" s="53"/>
      <c r="P149"/>
    </row>
    <row r="150" spans="1:16" x14ac:dyDescent="0.2">
      <c r="A150" s="28"/>
      <c r="C150" s="103" t="s">
        <v>91</v>
      </c>
      <c r="D150" s="8"/>
      <c r="E150" s="53"/>
      <c r="I150" s="27">
        <f>SUM(I2:I146)</f>
        <v>3735817273.6668816</v>
      </c>
      <c r="P150"/>
    </row>
    <row r="151" spans="1:16" x14ac:dyDescent="0.2">
      <c r="A151" s="28"/>
      <c r="D151" s="8"/>
      <c r="E151" s="53"/>
      <c r="P151"/>
    </row>
    <row r="152" spans="1:16" x14ac:dyDescent="0.2">
      <c r="A152" s="22">
        <v>2014</v>
      </c>
      <c r="B152" s="5">
        <f>SUM(B3:B14)</f>
        <v>319149657</v>
      </c>
      <c r="I152" s="5">
        <f>SUM(I3:I14)</f>
        <v>309239865.48933029</v>
      </c>
      <c r="J152"/>
      <c r="K152"/>
      <c r="L152" s="4"/>
      <c r="M152" s="4"/>
      <c r="N152" s="4"/>
      <c r="O152" s="4"/>
      <c r="P152"/>
    </row>
    <row r="153" spans="1:16" x14ac:dyDescent="0.2">
      <c r="A153" s="22">
        <v>2015</v>
      </c>
      <c r="B153" s="5">
        <f>SUM(B15:B26)</f>
        <v>308961454</v>
      </c>
      <c r="G153" s="36"/>
      <c r="H153" s="36"/>
      <c r="I153" s="5">
        <f>SUM(I15:I26)</f>
        <v>307501475.23789406</v>
      </c>
      <c r="J153"/>
      <c r="K153"/>
      <c r="L153" s="4"/>
      <c r="M153" s="4"/>
      <c r="N153" s="4"/>
      <c r="O153" s="4"/>
      <c r="P153"/>
    </row>
    <row r="154" spans="1:16" x14ac:dyDescent="0.2">
      <c r="A154" s="22">
        <v>2016</v>
      </c>
      <c r="B154" s="5">
        <f>SUM(B27:B38)</f>
        <v>302232068</v>
      </c>
      <c r="G154" s="36"/>
      <c r="H154" s="36"/>
      <c r="I154" s="5">
        <f>SUM(I27:I38)</f>
        <v>304819702.0810709</v>
      </c>
      <c r="J154"/>
      <c r="K154"/>
      <c r="L154" s="4"/>
      <c r="M154" s="4"/>
      <c r="N154" s="4"/>
      <c r="O154" s="4"/>
      <c r="P154"/>
    </row>
    <row r="155" spans="1:16" x14ac:dyDescent="0.2">
      <c r="A155" s="22">
        <v>2017</v>
      </c>
      <c r="B155" s="5">
        <f>SUM(B39:B50)</f>
        <v>297287399</v>
      </c>
      <c r="G155" s="36"/>
      <c r="H155" s="36"/>
      <c r="I155" s="5">
        <f>SUM(I39:I50)</f>
        <v>306157439.88711458</v>
      </c>
      <c r="J155"/>
      <c r="K155"/>
      <c r="L155" s="4"/>
      <c r="M155" s="4"/>
      <c r="N155" s="4"/>
      <c r="O155" s="4"/>
      <c r="P155"/>
    </row>
    <row r="156" spans="1:16" x14ac:dyDescent="0.2">
      <c r="A156" s="22">
        <v>2018</v>
      </c>
      <c r="B156" s="5">
        <f>SUM(B51:B62)</f>
        <v>309247473</v>
      </c>
      <c r="G156" s="36"/>
      <c r="H156" s="36"/>
      <c r="I156" s="5">
        <f>SUM(I51:I62)</f>
        <v>311514316.67813802</v>
      </c>
      <c r="J156"/>
      <c r="K156"/>
      <c r="L156" s="4"/>
      <c r="M156" s="4"/>
      <c r="N156" s="4"/>
      <c r="O156" s="4"/>
      <c r="P156"/>
    </row>
    <row r="157" spans="1:16" x14ac:dyDescent="0.2">
      <c r="A157" s="22">
        <v>2019</v>
      </c>
      <c r="B157" s="5">
        <f>SUM(B63:B74)</f>
        <v>309952095.46999997</v>
      </c>
      <c r="G157" s="36"/>
      <c r="H157" s="36"/>
      <c r="I157" s="5">
        <f>SUM(I63:I74)</f>
        <v>315930384.57955354</v>
      </c>
      <c r="J157"/>
      <c r="K157"/>
      <c r="L157" s="4"/>
      <c r="M157" s="4"/>
      <c r="N157" s="4"/>
      <c r="O157" s="4"/>
      <c r="P157"/>
    </row>
    <row r="158" spans="1:16" x14ac:dyDescent="0.2">
      <c r="A158" s="22">
        <v>2020</v>
      </c>
      <c r="B158" s="5">
        <f>SUM(B75:B86)</f>
        <v>304387702</v>
      </c>
      <c r="G158" s="36"/>
      <c r="H158" s="36"/>
      <c r="I158" s="5">
        <f>SUM(I75:I86)</f>
        <v>307544604.13755459</v>
      </c>
      <c r="J158"/>
      <c r="K158"/>
      <c r="L158" s="4"/>
      <c r="M158" s="4"/>
      <c r="N158" s="4"/>
      <c r="O158" s="4"/>
      <c r="P158"/>
    </row>
    <row r="159" spans="1:16" x14ac:dyDescent="0.2">
      <c r="A159" s="22">
        <v>2021</v>
      </c>
      <c r="B159" s="5">
        <f>SUM(B87:B98)</f>
        <v>309941422</v>
      </c>
      <c r="G159" s="36"/>
      <c r="H159" s="36"/>
      <c r="I159" s="5">
        <f>SUM(I87:I98)</f>
        <v>309961930.5331102</v>
      </c>
      <c r="J159"/>
      <c r="K159"/>
      <c r="L159" s="4"/>
      <c r="M159" s="4"/>
      <c r="N159" s="4"/>
      <c r="O159" s="4"/>
      <c r="P159"/>
    </row>
    <row r="160" spans="1:16" x14ac:dyDescent="0.2">
      <c r="A160" s="22">
        <v>2022</v>
      </c>
      <c r="B160" s="5">
        <f>SUM(B99:B110)</f>
        <v>322673989</v>
      </c>
      <c r="G160" s="36"/>
      <c r="H160" s="36"/>
      <c r="I160" s="5">
        <f>SUM(I99:I110)</f>
        <v>314842277.82145452</v>
      </c>
      <c r="J160"/>
      <c r="K160"/>
      <c r="L160" s="4"/>
      <c r="M160" s="4"/>
      <c r="N160" s="4"/>
      <c r="O160" s="4"/>
      <c r="P160"/>
    </row>
    <row r="161" spans="1:18" x14ac:dyDescent="0.2">
      <c r="A161" s="22">
        <v>2023</v>
      </c>
      <c r="B161" s="5">
        <f>SUM(B111:B122)</f>
        <v>315137434</v>
      </c>
      <c r="G161" s="36"/>
      <c r="H161" s="36"/>
      <c r="I161" s="5">
        <f>SUM(I111:I122)</f>
        <v>311458697.02477956</v>
      </c>
      <c r="J161"/>
      <c r="K161"/>
      <c r="L161" s="4"/>
      <c r="M161" s="4"/>
      <c r="N161" s="4"/>
      <c r="O161" s="4"/>
      <c r="P161"/>
    </row>
    <row r="162" spans="1:18" x14ac:dyDescent="0.2">
      <c r="A162" s="22">
        <v>2024</v>
      </c>
      <c r="G162" s="36"/>
      <c r="H162" s="36"/>
      <c r="I162" s="13">
        <f>SUM(I123:I134)</f>
        <v>318026986.27085906</v>
      </c>
      <c r="J162"/>
      <c r="K162"/>
      <c r="L162" s="4"/>
      <c r="M162" s="4"/>
      <c r="N162" s="4"/>
      <c r="O162" s="4"/>
      <c r="P162"/>
    </row>
    <row r="163" spans="1:18" x14ac:dyDescent="0.2">
      <c r="A163" s="22">
        <v>2025</v>
      </c>
      <c r="G163" s="36"/>
      <c r="H163" s="36"/>
      <c r="I163" s="13">
        <f>SUM(I135:I146)</f>
        <v>318819593.92602313</v>
      </c>
      <c r="J163" s="21"/>
      <c r="K163" s="4"/>
      <c r="L163" s="4"/>
      <c r="M163" s="5"/>
      <c r="N163" s="4"/>
      <c r="O163" s="4"/>
      <c r="P163"/>
      <c r="Q163" s="5"/>
      <c r="R163" s="31"/>
    </row>
    <row r="164" spans="1:18" x14ac:dyDescent="0.2">
      <c r="I164" s="5"/>
      <c r="P164"/>
      <c r="Q164" s="5"/>
      <c r="R164" s="31"/>
    </row>
    <row r="165" spans="1:18" x14ac:dyDescent="0.2">
      <c r="A165" s="37" t="s">
        <v>5</v>
      </c>
      <c r="B165" s="5">
        <f>SUM(B152:B161)</f>
        <v>3098970693.4700003</v>
      </c>
      <c r="I165" s="5">
        <f>SUM(I152:I161)</f>
        <v>3098970693.4700003</v>
      </c>
      <c r="J165" s="27">
        <f>I165-B165</f>
        <v>0</v>
      </c>
      <c r="K165" s="1" t="s">
        <v>64</v>
      </c>
      <c r="P165" s="4"/>
      <c r="Q165" s="5"/>
      <c r="R165" s="31"/>
    </row>
    <row r="166" spans="1:18" x14ac:dyDescent="0.2">
      <c r="P166" s="4"/>
      <c r="Q166" s="5"/>
      <c r="R166" s="31"/>
    </row>
    <row r="167" spans="1:18" x14ac:dyDescent="0.2">
      <c r="I167" s="5">
        <f>SUM(I152:I163)</f>
        <v>3735817273.6668825</v>
      </c>
      <c r="J167" s="27">
        <f>I150-I167</f>
        <v>0</v>
      </c>
      <c r="P167" s="4"/>
      <c r="Q167" s="5"/>
      <c r="R167" s="31"/>
    </row>
    <row r="168" spans="1:18" x14ac:dyDescent="0.2">
      <c r="I168" s="163"/>
      <c r="J168" s="163"/>
      <c r="K168"/>
      <c r="L168"/>
      <c r="M168"/>
      <c r="N168"/>
      <c r="O168"/>
      <c r="P168" s="4"/>
      <c r="Q168" s="5"/>
      <c r="R168" s="31"/>
    </row>
    <row r="169" spans="1:18" x14ac:dyDescent="0.2">
      <c r="P169" s="5"/>
      <c r="Q169" s="5"/>
      <c r="R169" s="31"/>
    </row>
    <row r="170" spans="1:18" x14ac:dyDescent="0.2">
      <c r="P170" s="5"/>
      <c r="Q170" s="5"/>
      <c r="R170" s="31"/>
    </row>
    <row r="171" spans="1:18" x14ac:dyDescent="0.2">
      <c r="A171"/>
      <c r="B171"/>
      <c r="C171"/>
      <c r="D171"/>
      <c r="F171"/>
      <c r="G171"/>
      <c r="H171"/>
      <c r="I171"/>
      <c r="J171"/>
    </row>
    <row r="172" spans="1:18" x14ac:dyDescent="0.2">
      <c r="A172"/>
      <c r="B172" t="s">
        <v>103</v>
      </c>
      <c r="C172"/>
      <c r="D172"/>
      <c r="F172"/>
      <c r="G172"/>
      <c r="H172"/>
      <c r="I172"/>
      <c r="J172"/>
    </row>
    <row r="173" spans="1:18" x14ac:dyDescent="0.2">
      <c r="A173"/>
      <c r="B173"/>
      <c r="C173"/>
      <c r="D173"/>
      <c r="F173"/>
      <c r="G173"/>
      <c r="H173"/>
      <c r="I173"/>
      <c r="J173"/>
    </row>
    <row r="174" spans="1:18" x14ac:dyDescent="0.2">
      <c r="A174"/>
      <c r="B174"/>
      <c r="C174"/>
      <c r="D174"/>
      <c r="F174"/>
      <c r="G174"/>
      <c r="H174"/>
      <c r="I174"/>
      <c r="J174"/>
    </row>
    <row r="175" spans="1:18" x14ac:dyDescent="0.2">
      <c r="A175"/>
      <c r="B175"/>
      <c r="C175"/>
      <c r="D175"/>
      <c r="F175"/>
      <c r="G175"/>
      <c r="H175"/>
      <c r="I175"/>
      <c r="J175"/>
    </row>
    <row r="176" spans="1:18" x14ac:dyDescent="0.2">
      <c r="A176"/>
      <c r="B176"/>
      <c r="C176"/>
      <c r="D176" s="165"/>
      <c r="E176" s="164" t="s">
        <v>115</v>
      </c>
      <c r="F176" s="164"/>
      <c r="G176" s="135"/>
      <c r="H176" s="135"/>
      <c r="I176"/>
      <c r="J176"/>
    </row>
    <row r="177" spans="1:16" x14ac:dyDescent="0.2">
      <c r="A177"/>
      <c r="B177"/>
      <c r="C177"/>
      <c r="D177" s="165"/>
      <c r="E177" s="139" t="s">
        <v>126</v>
      </c>
      <c r="F177" s="138" t="s">
        <v>125</v>
      </c>
      <c r="G177"/>
      <c r="H177"/>
      <c r="I177"/>
      <c r="J177"/>
    </row>
    <row r="178" spans="1:16" x14ac:dyDescent="0.2">
      <c r="A178"/>
      <c r="B178"/>
      <c r="C178"/>
      <c r="D178" s="136">
        <v>44957</v>
      </c>
      <c r="E178" s="137">
        <f>C111</f>
        <v>712</v>
      </c>
      <c r="F178" s="137">
        <f>C123</f>
        <v>844.98000000000013</v>
      </c>
      <c r="G178"/>
      <c r="H178"/>
      <c r="I178"/>
      <c r="J178"/>
    </row>
    <row r="179" spans="1:16" x14ac:dyDescent="0.2">
      <c r="A179"/>
      <c r="B179"/>
      <c r="C179"/>
      <c r="D179" s="134">
        <v>44985</v>
      </c>
      <c r="E179" s="44">
        <f t="shared" ref="E179:E189" si="21">C112</f>
        <v>706.8</v>
      </c>
      <c r="F179" s="44">
        <f t="shared" ref="F179:F189" si="22">C124</f>
        <v>776.06999999999994</v>
      </c>
      <c r="G179"/>
      <c r="H179"/>
      <c r="I179"/>
      <c r="J179"/>
      <c r="K179"/>
      <c r="L179"/>
      <c r="M179"/>
      <c r="N179"/>
      <c r="O179"/>
      <c r="P179"/>
    </row>
    <row r="180" spans="1:16" x14ac:dyDescent="0.2">
      <c r="A180"/>
      <c r="B180"/>
      <c r="C180"/>
      <c r="D180" s="134">
        <v>45016</v>
      </c>
      <c r="E180" s="44">
        <f t="shared" si="21"/>
        <v>629.30000000000018</v>
      </c>
      <c r="F180" s="44">
        <f t="shared" si="22"/>
        <v>675.53</v>
      </c>
      <c r="G180"/>
      <c r="H180"/>
      <c r="I180"/>
      <c r="J180"/>
      <c r="K180"/>
      <c r="L180"/>
      <c r="M180"/>
      <c r="N180"/>
      <c r="O180"/>
      <c r="P180"/>
    </row>
    <row r="181" spans="1:16" x14ac:dyDescent="0.2">
      <c r="A181"/>
      <c r="B181"/>
      <c r="C181"/>
      <c r="D181" s="134">
        <v>45046</v>
      </c>
      <c r="E181" s="44">
        <f t="shared" si="21"/>
        <v>380.5</v>
      </c>
      <c r="F181" s="44">
        <f t="shared" si="22"/>
        <v>428.43999999999994</v>
      </c>
      <c r="G181"/>
      <c r="H181"/>
      <c r="I181"/>
      <c r="J181"/>
      <c r="K181"/>
      <c r="L181"/>
      <c r="M181"/>
      <c r="N181"/>
      <c r="O181"/>
      <c r="P181"/>
    </row>
    <row r="182" spans="1:16" x14ac:dyDescent="0.2">
      <c r="A182"/>
      <c r="B182"/>
      <c r="C182"/>
      <c r="D182" s="134">
        <v>45077</v>
      </c>
      <c r="E182" s="44">
        <f t="shared" si="21"/>
        <v>237.2</v>
      </c>
      <c r="F182" s="44">
        <f t="shared" si="22"/>
        <v>217.82</v>
      </c>
      <c r="G182"/>
      <c r="H182"/>
      <c r="I182"/>
      <c r="J182"/>
      <c r="K182"/>
      <c r="L182"/>
      <c r="M182"/>
      <c r="N182"/>
      <c r="O182"/>
      <c r="P182"/>
    </row>
    <row r="183" spans="1:16" x14ac:dyDescent="0.2">
      <c r="A183"/>
      <c r="B183"/>
      <c r="C183"/>
      <c r="D183" s="134">
        <v>45107</v>
      </c>
      <c r="E183" s="44">
        <f t="shared" si="21"/>
        <v>69.000000000000014</v>
      </c>
      <c r="F183" s="44">
        <f t="shared" si="22"/>
        <v>80.48</v>
      </c>
      <c r="G183"/>
      <c r="H183"/>
      <c r="I183"/>
      <c r="J183"/>
      <c r="K183"/>
      <c r="L183"/>
      <c r="M183"/>
      <c r="N183"/>
      <c r="O183"/>
      <c r="P183"/>
    </row>
    <row r="184" spans="1:16" x14ac:dyDescent="0.2">
      <c r="A184"/>
      <c r="D184" s="134">
        <v>45138</v>
      </c>
      <c r="E184" s="44">
        <f t="shared" si="21"/>
        <v>27.000000000000004</v>
      </c>
      <c r="F184" s="44">
        <f t="shared" si="22"/>
        <v>28.439999999999998</v>
      </c>
      <c r="K184"/>
      <c r="L184"/>
      <c r="M184"/>
      <c r="N184"/>
      <c r="O184"/>
      <c r="P184"/>
    </row>
    <row r="185" spans="1:16" x14ac:dyDescent="0.2">
      <c r="A185"/>
      <c r="D185" s="134">
        <v>45169</v>
      </c>
      <c r="E185" s="44">
        <f t="shared" si="21"/>
        <v>56.2</v>
      </c>
      <c r="F185" s="44">
        <f t="shared" si="22"/>
        <v>40.599999999999994</v>
      </c>
      <c r="K185"/>
      <c r="L185"/>
      <c r="M185"/>
      <c r="N185"/>
      <c r="O185"/>
      <c r="P185"/>
    </row>
    <row r="186" spans="1:16" x14ac:dyDescent="0.2">
      <c r="A186"/>
      <c r="D186" s="134">
        <v>45199</v>
      </c>
      <c r="E186" s="44">
        <f t="shared" si="21"/>
        <v>116.4</v>
      </c>
      <c r="F186" s="44">
        <f t="shared" si="22"/>
        <v>128.69</v>
      </c>
      <c r="K186"/>
      <c r="L186"/>
      <c r="M186"/>
      <c r="N186"/>
      <c r="O186"/>
      <c r="P186"/>
    </row>
    <row r="187" spans="1:16" x14ac:dyDescent="0.2">
      <c r="A187"/>
      <c r="D187" s="134">
        <v>45230</v>
      </c>
      <c r="E187" s="44">
        <f t="shared" si="21"/>
        <v>267.60000000000002</v>
      </c>
      <c r="F187" s="44">
        <f t="shared" si="22"/>
        <v>312.38</v>
      </c>
      <c r="K187"/>
      <c r="L187"/>
      <c r="M187"/>
      <c r="N187"/>
      <c r="O187"/>
      <c r="P187"/>
    </row>
    <row r="188" spans="1:16" x14ac:dyDescent="0.2">
      <c r="A188"/>
      <c r="D188" s="134">
        <v>45260</v>
      </c>
      <c r="E188" s="44">
        <f t="shared" si="21"/>
        <v>536.40000000000009</v>
      </c>
      <c r="F188" s="44">
        <f t="shared" si="22"/>
        <v>501.11</v>
      </c>
      <c r="K188"/>
      <c r="L188"/>
      <c r="M188"/>
      <c r="N188"/>
      <c r="O188"/>
      <c r="P188"/>
    </row>
    <row r="189" spans="1:16" x14ac:dyDescent="0.2">
      <c r="A189"/>
      <c r="D189" s="134">
        <v>45291</v>
      </c>
      <c r="E189" s="44">
        <f t="shared" si="21"/>
        <v>589.70000000000005</v>
      </c>
      <c r="F189" s="44">
        <f t="shared" si="22"/>
        <v>678.26</v>
      </c>
      <c r="K189"/>
      <c r="L189"/>
      <c r="M189"/>
      <c r="N189"/>
      <c r="O189"/>
      <c r="P189"/>
    </row>
    <row r="190" spans="1:16" x14ac:dyDescent="0.2">
      <c r="A190"/>
      <c r="D190" s="138" t="s">
        <v>5</v>
      </c>
      <c r="E190" s="44">
        <f>SUM(E178:E189)</f>
        <v>4328.1000000000004</v>
      </c>
      <c r="F190" s="44">
        <f>SUM(F178:F189)</f>
        <v>4712.8</v>
      </c>
      <c r="K190"/>
      <c r="L190"/>
      <c r="M190"/>
      <c r="N190"/>
      <c r="O190"/>
      <c r="P190"/>
    </row>
    <row r="191" spans="1:16" x14ac:dyDescent="0.2">
      <c r="A191"/>
      <c r="K191"/>
      <c r="L191"/>
      <c r="M191"/>
      <c r="N191"/>
      <c r="O191"/>
      <c r="P191"/>
    </row>
    <row r="192" spans="1:16" x14ac:dyDescent="0.2">
      <c r="A192"/>
      <c r="K192"/>
      <c r="L192"/>
      <c r="M192"/>
      <c r="N192"/>
      <c r="O192"/>
      <c r="P192"/>
    </row>
    <row r="193" spans="1:16" x14ac:dyDescent="0.2">
      <c r="A193"/>
      <c r="K193"/>
      <c r="L193"/>
      <c r="M193"/>
      <c r="N193"/>
      <c r="O193"/>
      <c r="P193"/>
    </row>
    <row r="194" spans="1:16" x14ac:dyDescent="0.2">
      <c r="A194"/>
      <c r="K194"/>
      <c r="L194"/>
      <c r="M194"/>
      <c r="N194"/>
      <c r="O194"/>
      <c r="P194"/>
    </row>
    <row r="195" spans="1:16" customFormat="1" x14ac:dyDescent="0.2">
      <c r="E195" s="52"/>
    </row>
    <row r="196" spans="1:16" customFormat="1" x14ac:dyDescent="0.2">
      <c r="E196" s="52"/>
    </row>
  </sheetData>
  <mergeCells count="3">
    <mergeCell ref="I168:J168"/>
    <mergeCell ref="E176:F176"/>
    <mergeCell ref="D176:D177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U6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5" customWidth="1"/>
    <col min="8" max="8" width="15" style="5" customWidth="1"/>
    <col min="9" max="10" width="14.140625" style="5" bestFit="1" customWidth="1"/>
    <col min="11" max="11" width="11.42578125" style="5" customWidth="1"/>
    <col min="12" max="12" width="12.42578125" style="5" customWidth="1"/>
    <col min="13" max="13" width="16.85546875" style="5" bestFit="1" customWidth="1"/>
    <col min="14" max="15" width="16.85546875" customWidth="1"/>
    <col min="16" max="16" width="14.42578125" customWidth="1"/>
    <col min="17" max="17" width="12.5703125" bestFit="1" customWidth="1"/>
    <col min="18" max="18" width="11.5703125" bestFit="1" customWidth="1"/>
    <col min="19" max="19" width="14" customWidth="1"/>
    <col min="20" max="20" width="10.140625" bestFit="1" customWidth="1"/>
    <col min="21" max="21" width="12.5703125" style="5" bestFit="1" customWidth="1"/>
  </cols>
  <sheetData>
    <row r="2" spans="1:21" s="126" customFormat="1" ht="38.25" x14ac:dyDescent="0.2">
      <c r="B2" s="127" t="s">
        <v>2</v>
      </c>
      <c r="C2" s="127" t="s">
        <v>3</v>
      </c>
      <c r="D2" s="127" t="s">
        <v>28</v>
      </c>
      <c r="E2" s="127" t="s">
        <v>4</v>
      </c>
      <c r="F2" s="127" t="s">
        <v>0</v>
      </c>
      <c r="G2" s="128" t="s">
        <v>1</v>
      </c>
      <c r="H2" s="129" t="str">
        <f>Inputs!B4</f>
        <v>Residential</v>
      </c>
      <c r="I2" s="129" t="str">
        <f>Inputs!C4</f>
        <v>General Service &lt; 50 kW</v>
      </c>
      <c r="J2" s="129" t="str">
        <f>Inputs!D4</f>
        <v>General Service &gt; 50 to 4999 kW</v>
      </c>
      <c r="K2" s="129" t="str">
        <f>Inputs!E4</f>
        <v>USL</v>
      </c>
      <c r="L2" s="129" t="str">
        <f>Inputs!F4</f>
        <v>Sentinel Lighting</v>
      </c>
      <c r="M2" s="129" t="str">
        <f>Inputs!G4</f>
        <v>Street Lighting</v>
      </c>
      <c r="U2" s="130"/>
    </row>
    <row r="3" spans="1:21" x14ac:dyDescent="0.2">
      <c r="A3">
        <v>2014</v>
      </c>
      <c r="B3" s="55">
        <f>+'Power Purchased Model'!B152</f>
        <v>319149657</v>
      </c>
      <c r="C3" s="55">
        <f>+'Power Purchased Model'!I152</f>
        <v>309239865.48933029</v>
      </c>
      <c r="D3" s="21">
        <f>C3-B3</f>
        <v>-9909791.5106697083</v>
      </c>
      <c r="E3" s="4">
        <f>D3/B3</f>
        <v>-3.1050609935857485E-2</v>
      </c>
      <c r="F3" s="15">
        <f>1 +(B3-G3)/G3</f>
        <v>1.0731384565559634</v>
      </c>
      <c r="G3" s="5">
        <f t="shared" ref="G3:G11" si="0">SUM(H3:M3)</f>
        <v>297398397.24340039</v>
      </c>
      <c r="H3" s="33">
        <f>SUMIF(Inputs!A$24:A$143,'Rate Class Energy Model'!A3,Inputs!F$24:F$143)</f>
        <v>114433382.22499122</v>
      </c>
      <c r="I3" s="33">
        <f>SUMIF(Inputs!A$24:A$143,'Rate Class Energy Model'!A3,Inputs!H$24:H$143)</f>
        <v>58443482.099599421</v>
      </c>
      <c r="J3" s="33">
        <f>SUMIF(Inputs!A$24:A$143,'Rate Class Energy Model'!A3,Inputs!J$24:J$143)</f>
        <v>121885729.22737581</v>
      </c>
      <c r="K3" s="33">
        <f>SUMIF(Inputs!A$24:A$143,'Rate Class Energy Model'!A3,Inputs!M$24:M$143)</f>
        <v>180165.06688870382</v>
      </c>
      <c r="L3" s="33">
        <f>SUMIF(Inputs!A$24:A$143,'Rate Class Energy Model'!A3,Inputs!O$24:O$143)</f>
        <v>50003.862623739478</v>
      </c>
      <c r="M3" s="33">
        <f>SUMIF(Inputs!A$24:A$143,'Rate Class Energy Model'!A3,Inputs!R$24:R$143)</f>
        <v>2405634.7619215469</v>
      </c>
    </row>
    <row r="4" spans="1:21" x14ac:dyDescent="0.2">
      <c r="A4">
        <v>2015</v>
      </c>
      <c r="B4" s="55">
        <f>+'Power Purchased Model'!B153</f>
        <v>308961454</v>
      </c>
      <c r="C4" s="55">
        <f>+'Power Purchased Model'!I153</f>
        <v>307501475.23789406</v>
      </c>
      <c r="D4" s="21">
        <f t="shared" ref="D4:D11" si="1">C4-B4</f>
        <v>-1459978.7621059418</v>
      </c>
      <c r="E4" s="4">
        <f t="shared" ref="E4:E11" si="2">D4/B4</f>
        <v>-4.7254398346595746E-3</v>
      </c>
      <c r="F4" s="15">
        <f>1 +(B4-G4)/G4</f>
        <v>1.0699880223556937</v>
      </c>
      <c r="G4" s="5">
        <f t="shared" si="0"/>
        <v>288752254.73999995</v>
      </c>
      <c r="H4" s="33">
        <f>SUMIF(Inputs!A$24:A$143,'Rate Class Energy Model'!A4,Inputs!F$24:F$143)</f>
        <v>108243956.44</v>
      </c>
      <c r="I4" s="33">
        <f>SUMIF(Inputs!A$24:A$143,'Rate Class Energy Model'!A4,Inputs!H$24:H$143)</f>
        <v>58492111.439999998</v>
      </c>
      <c r="J4" s="33">
        <f>SUMIF(Inputs!A$24:A$143,'Rate Class Energy Model'!A4,Inputs!J$24:J$143)</f>
        <v>119763837.52000001</v>
      </c>
      <c r="K4" s="33">
        <f>SUMIF(Inputs!A$24:A$143,'Rate Class Energy Model'!A4,Inputs!M$24:M$143)</f>
        <v>173556</v>
      </c>
      <c r="L4" s="33">
        <f>SUMIF(Inputs!A$24:A$143,'Rate Class Energy Model'!A4,Inputs!O$24:O$143)</f>
        <v>49108.439999999988</v>
      </c>
      <c r="M4" s="33">
        <f>SUMIF(Inputs!A$24:A$143,'Rate Class Energy Model'!A4,Inputs!R$24:R$143)</f>
        <v>2029684.9000000004</v>
      </c>
    </row>
    <row r="5" spans="1:21" x14ac:dyDescent="0.2">
      <c r="A5">
        <v>2016</v>
      </c>
      <c r="B5" s="55">
        <f>+'Power Purchased Model'!B154</f>
        <v>302232068</v>
      </c>
      <c r="C5" s="55">
        <f>+'Power Purchased Model'!I154</f>
        <v>304819702.0810709</v>
      </c>
      <c r="D5" s="21">
        <f t="shared" si="1"/>
        <v>2587634.0810709</v>
      </c>
      <c r="E5" s="4">
        <f t="shared" si="2"/>
        <v>8.5617456089103691E-3</v>
      </c>
      <c r="F5" s="15">
        <f>1 +(B5-G5)/G5</f>
        <v>1.0774567014787861</v>
      </c>
      <c r="G5" s="5">
        <f t="shared" si="0"/>
        <v>280505070.49164295</v>
      </c>
      <c r="H5" s="33">
        <f>SUMIF(Inputs!A$24:A$143,'Rate Class Energy Model'!A5,Inputs!F$24:F$143)</f>
        <v>104348161.31</v>
      </c>
      <c r="I5" s="33">
        <f>SUMIF(Inputs!A$24:A$143,'Rate Class Energy Model'!A5,Inputs!H$24:H$143)</f>
        <v>58168701.330000006</v>
      </c>
      <c r="J5" s="33">
        <f>SUMIF(Inputs!A$24:A$143,'Rate Class Energy Model'!A5,Inputs!J$24:J$143)</f>
        <v>116637108.60000002</v>
      </c>
      <c r="K5" s="33">
        <f>SUMIF(Inputs!A$24:A$143,'Rate Class Energy Model'!A5,Inputs!M$24:M$143)</f>
        <v>166068</v>
      </c>
      <c r="L5" s="33">
        <f>SUMIF(Inputs!A$24:A$143,'Rate Class Energy Model'!A5,Inputs!O$24:O$143)</f>
        <v>48745.789999999994</v>
      </c>
      <c r="M5" s="33">
        <f>SUMIF(Inputs!A$24:A$143,'Rate Class Energy Model'!A5,Inputs!R$24:R$143)</f>
        <v>1136285.4616429303</v>
      </c>
    </row>
    <row r="6" spans="1:21" x14ac:dyDescent="0.2">
      <c r="A6">
        <v>2017</v>
      </c>
      <c r="B6" s="55">
        <f>+'Power Purchased Model'!B155</f>
        <v>297287399</v>
      </c>
      <c r="C6" s="55">
        <f>+'Power Purchased Model'!I155</f>
        <v>306157439.88711458</v>
      </c>
      <c r="D6" s="21">
        <f t="shared" si="1"/>
        <v>8870040.8871145844</v>
      </c>
      <c r="E6" s="4">
        <f t="shared" si="2"/>
        <v>2.9836585462253595E-2</v>
      </c>
      <c r="F6" s="15">
        <f t="shared" ref="F6:F11" si="3">1 +(B6-G6)/G6</f>
        <v>1.0633970234257246</v>
      </c>
      <c r="G6" s="5">
        <f t="shared" si="0"/>
        <v>279563881.0820545</v>
      </c>
      <c r="H6" s="33">
        <f>SUMIF(Inputs!A$24:A$143,'Rate Class Energy Model'!A6,Inputs!F$24:F$143)</f>
        <v>103129632.00000001</v>
      </c>
      <c r="I6" s="33">
        <f>SUMIF(Inputs!A$24:A$143,'Rate Class Energy Model'!A6,Inputs!H$24:H$143)</f>
        <v>57585352</v>
      </c>
      <c r="J6" s="33">
        <f>SUMIF(Inputs!A$24:A$143,'Rate Class Energy Model'!A6,Inputs!J$24:J$143)</f>
        <v>117484141.48363943</v>
      </c>
      <c r="K6" s="33">
        <f>SUMIF(Inputs!A$24:A$143,'Rate Class Energy Model'!A6,Inputs!M$24:M$143)</f>
        <v>166068</v>
      </c>
      <c r="L6" s="33">
        <f>SUMIF(Inputs!A$24:A$143,'Rate Class Energy Model'!A6,Inputs!O$24:O$143)</f>
        <v>44233.600000000006</v>
      </c>
      <c r="M6" s="33">
        <f>SUMIF(Inputs!A$24:A$143,'Rate Class Energy Model'!A6,Inputs!R$24:R$143)</f>
        <v>1154453.9984150699</v>
      </c>
    </row>
    <row r="7" spans="1:21" x14ac:dyDescent="0.2">
      <c r="A7">
        <v>2018</v>
      </c>
      <c r="B7" s="55">
        <f>+'Power Purchased Model'!B156</f>
        <v>309247473</v>
      </c>
      <c r="C7" s="55">
        <f>+'Power Purchased Model'!I156</f>
        <v>311514316.67813802</v>
      </c>
      <c r="D7" s="21">
        <f t="shared" si="1"/>
        <v>2266843.6781380177</v>
      </c>
      <c r="E7" s="4">
        <f t="shared" si="2"/>
        <v>7.3301930526624469E-3</v>
      </c>
      <c r="F7" s="15">
        <f t="shared" si="3"/>
        <v>1.0677676409663948</v>
      </c>
      <c r="G7" s="5">
        <f t="shared" si="0"/>
        <v>289620570.18333334</v>
      </c>
      <c r="H7" s="33">
        <f>SUMIF(Inputs!A$24:A$143,'Rate Class Energy Model'!A7,Inputs!F$24:F$143)</f>
        <v>109427085.33333334</v>
      </c>
      <c r="I7" s="33">
        <f>SUMIF(Inputs!A$24:A$143,'Rate Class Energy Model'!A7,Inputs!H$24:H$143)</f>
        <v>59779468</v>
      </c>
      <c r="J7" s="33">
        <f>SUMIF(Inputs!A$24:A$143,'Rate Class Energy Model'!A7,Inputs!J$24:J$143)</f>
        <v>119092478.54999998</v>
      </c>
      <c r="K7" s="33">
        <f>SUMIF(Inputs!A$24:A$143,'Rate Class Energy Model'!A7,Inputs!M$24:M$143)</f>
        <v>166686</v>
      </c>
      <c r="L7" s="33">
        <f>SUMIF(Inputs!A$24:A$143,'Rate Class Energy Model'!A7,Inputs!O$24:O$143)</f>
        <v>40821.300000000003</v>
      </c>
      <c r="M7" s="33">
        <f>SUMIF(Inputs!A$24:A$143,'Rate Class Energy Model'!A7,Inputs!R$24:R$143)</f>
        <v>1114031</v>
      </c>
    </row>
    <row r="8" spans="1:21" x14ac:dyDescent="0.2">
      <c r="A8">
        <v>2019</v>
      </c>
      <c r="B8" s="55">
        <f>+'Power Purchased Model'!B157</f>
        <v>309952095.46999997</v>
      </c>
      <c r="C8" s="55">
        <f>+'Power Purchased Model'!I157</f>
        <v>315930384.57955354</v>
      </c>
      <c r="D8" s="21">
        <f t="shared" si="1"/>
        <v>5978289.1095535755</v>
      </c>
      <c r="E8" s="4">
        <f t="shared" si="2"/>
        <v>1.9287784134797727E-2</v>
      </c>
      <c r="F8" s="15">
        <f t="shared" si="3"/>
        <v>1.0693142324087659</v>
      </c>
      <c r="G8" s="5">
        <f t="shared" si="0"/>
        <v>289860628.5</v>
      </c>
      <c r="H8" s="33">
        <f>SUMIF(Inputs!A$24:A$143,'Rate Class Energy Model'!A8,Inputs!F$24:F$143)</f>
        <v>110765686</v>
      </c>
      <c r="I8" s="33">
        <f>SUMIF(Inputs!A$24:A$143,'Rate Class Energy Model'!A8,Inputs!H$24:H$143)</f>
        <v>59276659</v>
      </c>
      <c r="J8" s="33">
        <f>SUMIF(Inputs!A$24:A$143,'Rate Class Energy Model'!A8,Inputs!J$24:J$143)</f>
        <v>118495415</v>
      </c>
      <c r="K8" s="33">
        <f>SUMIF(Inputs!A$24:A$143,'Rate Class Energy Model'!A8,Inputs!M$24:M$143)</f>
        <v>172797</v>
      </c>
      <c r="L8" s="33">
        <f>SUMIF(Inputs!A$24:A$143,'Rate Class Energy Model'!A8,Inputs!O$24:O$143)</f>
        <v>39113.5</v>
      </c>
      <c r="M8" s="33">
        <f>SUMIF(Inputs!A$24:A$143,'Rate Class Energy Model'!A8,Inputs!R$24:R$143)</f>
        <v>1110958</v>
      </c>
    </row>
    <row r="9" spans="1:21" x14ac:dyDescent="0.2">
      <c r="A9">
        <v>2020</v>
      </c>
      <c r="B9" s="55">
        <f>+'Power Purchased Model'!B158</f>
        <v>304387702</v>
      </c>
      <c r="C9" s="55">
        <f>+'Power Purchased Model'!I158</f>
        <v>307544604.13755459</v>
      </c>
      <c r="D9" s="21">
        <f t="shared" si="1"/>
        <v>3156902.1375545859</v>
      </c>
      <c r="E9" s="4">
        <f t="shared" si="2"/>
        <v>1.0371319592782318E-2</v>
      </c>
      <c r="F9" s="15">
        <f t="shared" si="3"/>
        <v>1.0634349594212424</v>
      </c>
      <c r="G9" s="5">
        <f t="shared" si="0"/>
        <v>286230671</v>
      </c>
      <c r="H9" s="33">
        <f>SUMIF(Inputs!A$24:A$143,'Rate Class Energy Model'!A9,Inputs!F$24:F$143)</f>
        <v>112437412</v>
      </c>
      <c r="I9" s="33">
        <f>SUMIF(Inputs!A$24:A$143,'Rate Class Energy Model'!A9,Inputs!H$24:H$143)</f>
        <v>54635310</v>
      </c>
      <c r="J9" s="33">
        <f>SUMIF(Inputs!A$24:A$143,'Rate Class Energy Model'!A9,Inputs!J$24:J$143)</f>
        <v>117859877</v>
      </c>
      <c r="K9" s="33">
        <f>SUMIF(Inputs!A$24:A$143,'Rate Class Energy Model'!A9,Inputs!M$24:M$143)</f>
        <v>173568</v>
      </c>
      <c r="L9" s="33">
        <f>SUMIF(Inputs!A$24:A$143,'Rate Class Energy Model'!A9,Inputs!O$24:O$143)</f>
        <v>37289</v>
      </c>
      <c r="M9" s="33">
        <f>SUMIF(Inputs!A$24:A$143,'Rate Class Energy Model'!A9,Inputs!R$24:R$143)</f>
        <v>1087215</v>
      </c>
    </row>
    <row r="10" spans="1:21" x14ac:dyDescent="0.2">
      <c r="A10">
        <v>2021</v>
      </c>
      <c r="B10" s="55">
        <f>+'Power Purchased Model'!B159</f>
        <v>309941422</v>
      </c>
      <c r="C10" s="55">
        <f>+'Power Purchased Model'!I159</f>
        <v>309961930.5331102</v>
      </c>
      <c r="D10" s="21">
        <f t="shared" si="1"/>
        <v>20508.533110201359</v>
      </c>
      <c r="E10" s="4">
        <f t="shared" si="2"/>
        <v>6.6169061811303684E-5</v>
      </c>
      <c r="F10" s="15">
        <f t="shared" si="3"/>
        <v>1.0678786872223791</v>
      </c>
      <c r="G10" s="5">
        <f t="shared" si="0"/>
        <v>290240292</v>
      </c>
      <c r="H10" s="33">
        <f>SUMIF(Inputs!A$24:A$143,'Rate Class Energy Model'!A10,Inputs!F$24:F$143)</f>
        <v>112958103</v>
      </c>
      <c r="I10" s="33">
        <f>SUMIF(Inputs!A$24:A$143,'Rate Class Energy Model'!A10,Inputs!H$24:H$143)</f>
        <v>56374252</v>
      </c>
      <c r="J10" s="33">
        <f>SUMIF(Inputs!A$24:A$143,'Rate Class Energy Model'!A10,Inputs!J$24:J$143)</f>
        <v>119633612</v>
      </c>
      <c r="K10" s="33">
        <f>SUMIF(Inputs!A$24:A$143,'Rate Class Energy Model'!A10,Inputs!M$24:M$143)</f>
        <v>178362</v>
      </c>
      <c r="L10" s="33">
        <f>SUMIF(Inputs!A$24:A$143,'Rate Class Energy Model'!A10,Inputs!O$24:O$143)</f>
        <v>37046</v>
      </c>
      <c r="M10" s="33">
        <f>SUMIF(Inputs!A$24:A$143,'Rate Class Energy Model'!A10,Inputs!R$24:R$143)</f>
        <v>1058917</v>
      </c>
    </row>
    <row r="11" spans="1:21" x14ac:dyDescent="0.2">
      <c r="A11">
        <v>2022</v>
      </c>
      <c r="B11" s="55">
        <f>+'Power Purchased Model'!B160</f>
        <v>322673989</v>
      </c>
      <c r="C11" s="55">
        <f>+'Power Purchased Model'!I160</f>
        <v>314842277.82145452</v>
      </c>
      <c r="D11" s="21">
        <f t="shared" si="1"/>
        <v>-7831711.178545475</v>
      </c>
      <c r="E11" s="4">
        <f t="shared" si="2"/>
        <v>-2.427128137231252E-2</v>
      </c>
      <c r="F11" s="15">
        <f t="shared" si="3"/>
        <v>1.0645713130027064</v>
      </c>
      <c r="G11" s="5">
        <f t="shared" si="0"/>
        <v>303102277</v>
      </c>
      <c r="H11" s="33">
        <f>SUMIF(Inputs!A$24:A$143,'Rate Class Energy Model'!A11,Inputs!F$24:F$143)</f>
        <v>116633398</v>
      </c>
      <c r="I11" s="33">
        <f>SUMIF(Inputs!A$24:A$143,'Rate Class Energy Model'!A11,Inputs!H$24:H$143)</f>
        <v>59995612</v>
      </c>
      <c r="J11" s="33">
        <f>SUMIF(Inputs!A$24:A$143,'Rate Class Energy Model'!A11,Inputs!J$24:J$143)</f>
        <v>125207062</v>
      </c>
      <c r="K11" s="33">
        <f>SUMIF(Inputs!A$24:A$143,'Rate Class Energy Model'!A11,Inputs!M$24:M$143)</f>
        <v>172344</v>
      </c>
      <c r="L11" s="33">
        <f>SUMIF(Inputs!A$24:A$143,'Rate Class Energy Model'!A11,Inputs!O$24:O$143)</f>
        <v>34937</v>
      </c>
      <c r="M11" s="33">
        <f>SUMIF(Inputs!A$24:A$143,'Rate Class Energy Model'!A11,Inputs!R$24:R$143)</f>
        <v>1058924</v>
      </c>
    </row>
    <row r="12" spans="1:21" x14ac:dyDescent="0.2">
      <c r="A12">
        <v>2023</v>
      </c>
      <c r="B12" s="55">
        <f>+'Power Purchased Model'!B161</f>
        <v>315137434</v>
      </c>
      <c r="C12" s="55">
        <f>+'Power Purchased Model'!I161</f>
        <v>311458697.02477956</v>
      </c>
      <c r="D12" s="21">
        <f>C12-B12</f>
        <v>-3678736.9752204418</v>
      </c>
      <c r="E12" s="4">
        <f>D12/B12</f>
        <v>-1.167343697804064E-2</v>
      </c>
      <c r="F12" s="15">
        <f>1 +(B12-G12)/G12</f>
        <v>1.0611485482680045</v>
      </c>
      <c r="G12" s="5">
        <f>SUM(H12:M12)</f>
        <v>296977680</v>
      </c>
      <c r="H12" s="33">
        <f>SUMIF(Inputs!A$24:A$143,'Rate Class Energy Model'!A12,Inputs!F$24:F$143)</f>
        <v>113498414</v>
      </c>
      <c r="I12" s="33">
        <f>SUMIF(Inputs!A$24:A$143,'Rate Class Energy Model'!A12,Inputs!H$24:H$143)</f>
        <v>59565733</v>
      </c>
      <c r="J12" s="33">
        <f>SUMIF(Inputs!A$24:A$143,'Rate Class Energy Model'!A12,Inputs!J$24:J$143)</f>
        <v>122653645</v>
      </c>
      <c r="K12" s="33">
        <f>SUMIF(Inputs!A$24:A$143,'Rate Class Energy Model'!A12,Inputs!M$24:M$143)</f>
        <v>169785</v>
      </c>
      <c r="L12" s="33">
        <f>SUMIF(Inputs!A$24:A$143,'Rate Class Energy Model'!A12,Inputs!O$24:O$143)</f>
        <v>31176</v>
      </c>
      <c r="M12" s="33">
        <f>SUMIF(Inputs!A$24:A$143,'Rate Class Energy Model'!A12,Inputs!R$24:R$143)</f>
        <v>1058927</v>
      </c>
    </row>
    <row r="13" spans="1:21" x14ac:dyDescent="0.2">
      <c r="A13" s="41">
        <v>2024</v>
      </c>
      <c r="B13" s="5"/>
      <c r="C13" s="124">
        <f>+'Power Purchased Model'!I162</f>
        <v>318026986.27085906</v>
      </c>
      <c r="G13" s="13">
        <f>C13/$F$16</f>
        <v>297831185.09864157</v>
      </c>
      <c r="H13"/>
      <c r="I13"/>
      <c r="J13"/>
      <c r="K13"/>
      <c r="L13"/>
      <c r="M13"/>
    </row>
    <row r="14" spans="1:21" x14ac:dyDescent="0.2">
      <c r="A14" s="41">
        <v>2025</v>
      </c>
      <c r="B14" s="5"/>
      <c r="C14" s="13">
        <f>+'Power Purchased Model'!I163</f>
        <v>318819593.92602313</v>
      </c>
      <c r="G14" s="13">
        <f>C14/$F$16</f>
        <v>298573459.45725441</v>
      </c>
      <c r="H14"/>
      <c r="I14"/>
      <c r="J14"/>
      <c r="K14"/>
      <c r="L14"/>
      <c r="M14"/>
    </row>
    <row r="15" spans="1:21" x14ac:dyDescent="0.2">
      <c r="H15" s="29"/>
      <c r="I15" s="29"/>
      <c r="J15" s="29"/>
      <c r="K15" s="29"/>
      <c r="L15" s="29"/>
      <c r="M15" s="29"/>
    </row>
    <row r="16" spans="1:21" x14ac:dyDescent="0.2">
      <c r="A16" s="12" t="s">
        <v>7</v>
      </c>
      <c r="C16" s="30"/>
      <c r="D16" s="32"/>
      <c r="E16" s="47" t="s">
        <v>65</v>
      </c>
      <c r="F16" s="15">
        <f>AVERAGE(F3:F12)</f>
        <v>1.0678095585105658</v>
      </c>
      <c r="H16" s="54"/>
      <c r="I16" s="54"/>
      <c r="J16" s="54"/>
      <c r="K16" s="54"/>
      <c r="L16" s="54"/>
      <c r="M16" s="54"/>
    </row>
    <row r="17" spans="1:16" x14ac:dyDescent="0.2">
      <c r="C17" s="30"/>
      <c r="D17" s="32"/>
      <c r="E17" s="47"/>
      <c r="F17" s="15"/>
    </row>
    <row r="18" spans="1:16" x14ac:dyDescent="0.2">
      <c r="C18" s="122">
        <f>C13/1000000</f>
        <v>318.02698627085908</v>
      </c>
      <c r="D18" s="32"/>
      <c r="G18" s="122">
        <f>G13/1000000</f>
        <v>297.83118509864158</v>
      </c>
    </row>
    <row r="19" spans="1:16" x14ac:dyDescent="0.2">
      <c r="A19" s="14" t="s">
        <v>9</v>
      </c>
      <c r="B19" s="9"/>
      <c r="C19" s="122">
        <f>C14/1000000</f>
        <v>318.81959392602312</v>
      </c>
      <c r="G19" s="122">
        <f>G14/1000000</f>
        <v>298.57345945725439</v>
      </c>
    </row>
    <row r="21" spans="1:16" x14ac:dyDescent="0.2">
      <c r="A21">
        <v>2023</v>
      </c>
      <c r="H21" s="5">
        <f>H12/'Rate Class Customer Model'!B12</f>
        <v>9360.5009381249874</v>
      </c>
      <c r="I21" s="5">
        <f>I12/'Rate Class Customer Model'!C12</f>
        <v>26996.593118555731</v>
      </c>
      <c r="J21" s="5">
        <f>J12/'Rate Class Customer Model'!D12</f>
        <v>942885.16335682245</v>
      </c>
      <c r="K21" s="5">
        <f>K12/'Rate Class Customer Model'!E12</f>
        <v>2680.8157894736842</v>
      </c>
      <c r="L21" s="5">
        <f>L12/'Rate Class Customer Model'!F12</f>
        <v>959.26153846153841</v>
      </c>
      <c r="M21" s="5">
        <f>M12/'Rate Class Customer Model'!G12</f>
        <v>371.42300947036125</v>
      </c>
    </row>
    <row r="22" spans="1:16" x14ac:dyDescent="0.2">
      <c r="A22">
        <v>2024</v>
      </c>
      <c r="H22" s="13">
        <f t="shared" ref="H22:M22" si="4">H21</f>
        <v>9360.5009381249874</v>
      </c>
      <c r="I22" s="13">
        <f t="shared" si="4"/>
        <v>26996.593118555731</v>
      </c>
      <c r="J22" s="13">
        <f t="shared" si="4"/>
        <v>942885.16335682245</v>
      </c>
      <c r="K22" s="13">
        <f t="shared" si="4"/>
        <v>2680.8157894736842</v>
      </c>
      <c r="L22" s="13">
        <f t="shared" si="4"/>
        <v>959.26153846153841</v>
      </c>
      <c r="M22" s="13">
        <f t="shared" si="4"/>
        <v>371.42300947036125</v>
      </c>
    </row>
    <row r="23" spans="1:16" x14ac:dyDescent="0.2">
      <c r="A23">
        <f>A22+1</f>
        <v>2025</v>
      </c>
      <c r="H23" s="13">
        <f t="shared" ref="H23:M23" si="5">H22</f>
        <v>9360.5009381249874</v>
      </c>
      <c r="I23" s="13">
        <f t="shared" si="5"/>
        <v>26996.593118555731</v>
      </c>
      <c r="J23" s="13">
        <f t="shared" si="5"/>
        <v>942885.16335682245</v>
      </c>
      <c r="K23" s="13">
        <f t="shared" si="5"/>
        <v>2680.8157894736842</v>
      </c>
      <c r="L23" s="13">
        <f t="shared" si="5"/>
        <v>959.26153846153841</v>
      </c>
      <c r="M23" s="13">
        <f t="shared" si="5"/>
        <v>371.42300947036125</v>
      </c>
    </row>
    <row r="24" spans="1:16" x14ac:dyDescent="0.2">
      <c r="H24"/>
      <c r="I24"/>
      <c r="J24"/>
      <c r="K24"/>
      <c r="L24"/>
      <c r="M24"/>
    </row>
    <row r="25" spans="1:16" x14ac:dyDescent="0.2">
      <c r="D25" s="5"/>
      <c r="H25" s="16"/>
      <c r="I25" s="16"/>
      <c r="J25" s="16"/>
      <c r="K25" s="16"/>
      <c r="L25" s="16"/>
      <c r="M25" s="16"/>
    </row>
    <row r="26" spans="1:16" x14ac:dyDescent="0.2">
      <c r="A26" s="12" t="s">
        <v>31</v>
      </c>
    </row>
    <row r="27" spans="1:16" x14ac:dyDescent="0.2">
      <c r="A27" s="38">
        <f>A22</f>
        <v>2024</v>
      </c>
      <c r="G27" s="5">
        <f>SUM(H27:M27)</f>
        <v>294816425.83352453</v>
      </c>
      <c r="H27" s="5">
        <f>H22*'Rate Class Customer Model'!B13</f>
        <v>114775023.39122374</v>
      </c>
      <c r="I27" s="5">
        <f>I22*'Rate Class Customer Model'!C13</f>
        <v>59874813.709600516</v>
      </c>
      <c r="J27" s="5">
        <f>J22*'Rate Class Customer Model'!D13</f>
        <v>118905495.4394716</v>
      </c>
      <c r="K27" s="5">
        <f>K22*'Rate Class Customer Model'!E13</f>
        <v>172554.74223135581</v>
      </c>
      <c r="L27" s="5">
        <f>L22*'Rate Class Customer Model'!F13</f>
        <v>29308.4767688428</v>
      </c>
      <c r="M27" s="5">
        <f>M22*'Rate Class Customer Model'!G13</f>
        <v>1059230.0742284779</v>
      </c>
    </row>
    <row r="28" spans="1:16" x14ac:dyDescent="0.2">
      <c r="A28" s="38">
        <f>A23</f>
        <v>2025</v>
      </c>
      <c r="G28" s="5">
        <f>SUM(H28:M28)</f>
        <v>292785830.65900117</v>
      </c>
      <c r="H28" s="5">
        <f>H23*'Rate Class Customer Model'!B14</f>
        <v>116065991.85126901</v>
      </c>
      <c r="I28" s="5">
        <f>I23*'Rate Class Customer Model'!C14</f>
        <v>60185498.208497919</v>
      </c>
      <c r="J28" s="5">
        <f>J23*'Rate Class Customer Model'!D14</f>
        <v>115271884.87310103</v>
      </c>
      <c r="K28" s="5">
        <f>K23*'Rate Class Customer Model'!E14</f>
        <v>175369.66791253438</v>
      </c>
      <c r="L28" s="5">
        <f>L23*'Rate Class Customer Model'!F14</f>
        <v>27552.823021227807</v>
      </c>
      <c r="M28" s="5">
        <f>M23*'Rate Class Customer Model'!G14</f>
        <v>1059533.2351994677</v>
      </c>
    </row>
    <row r="30" spans="1:16" x14ac:dyDescent="0.2">
      <c r="A30" s="12" t="s">
        <v>30</v>
      </c>
      <c r="O30" s="5"/>
    </row>
    <row r="31" spans="1:16" x14ac:dyDescent="0.2">
      <c r="A31" s="38">
        <f>A27</f>
        <v>2024</v>
      </c>
      <c r="G31" s="13">
        <f>G13</f>
        <v>297831185.09864157</v>
      </c>
      <c r="H31" s="5">
        <f t="shared" ref="H31:M32" si="6">H27+H39</f>
        <v>116110827.00989887</v>
      </c>
      <c r="I31" s="5">
        <f t="shared" si="6"/>
        <v>60571663.86443045</v>
      </c>
      <c r="J31" s="5">
        <f t="shared" si="6"/>
        <v>119887600.9310836</v>
      </c>
      <c r="K31" s="5">
        <f t="shared" si="6"/>
        <v>172554.74223135581</v>
      </c>
      <c r="L31" s="5">
        <f t="shared" si="6"/>
        <v>29308.4767688428</v>
      </c>
      <c r="M31" s="5">
        <f t="shared" si="6"/>
        <v>1059230.0742284779</v>
      </c>
      <c r="N31" s="5">
        <f>SUM(H31:M31)</f>
        <v>297831185.09864163</v>
      </c>
      <c r="O31" s="5"/>
      <c r="P31" s="5"/>
    </row>
    <row r="32" spans="1:16" x14ac:dyDescent="0.2">
      <c r="A32" s="38">
        <f>A28</f>
        <v>2025</v>
      </c>
      <c r="G32" s="13">
        <f>G14</f>
        <v>298573459.45725441</v>
      </c>
      <c r="H32" s="5">
        <f t="shared" si="6"/>
        <v>118669083.3461228</v>
      </c>
      <c r="I32" s="5">
        <f t="shared" si="6"/>
        <v>61535319.59890864</v>
      </c>
      <c r="J32" s="5">
        <f t="shared" si="6"/>
        <v>117106600.78608973</v>
      </c>
      <c r="K32" s="5">
        <f t="shared" si="6"/>
        <v>175369.66791253438</v>
      </c>
      <c r="L32" s="5">
        <f t="shared" si="6"/>
        <v>27552.823021227807</v>
      </c>
      <c r="M32" s="5">
        <f t="shared" si="6"/>
        <v>1059533.2351994677</v>
      </c>
      <c r="N32" s="5">
        <f>SUM(H32:M32)</f>
        <v>298573459.45725441</v>
      </c>
      <c r="O32" s="5">
        <f>N32-G32</f>
        <v>0</v>
      </c>
      <c r="P32" s="5" t="e">
        <f>O32-#REF!</f>
        <v>#REF!</v>
      </c>
    </row>
    <row r="33" spans="1:21" x14ac:dyDescent="0.2">
      <c r="O33" s="5"/>
    </row>
    <row r="34" spans="1:21" x14ac:dyDescent="0.2">
      <c r="A34" t="s">
        <v>32</v>
      </c>
      <c r="H34" s="56">
        <f>(100%+J34)/2</f>
        <v>0.77500000000000002</v>
      </c>
      <c r="I34" s="56">
        <f>H34</f>
        <v>0.77500000000000002</v>
      </c>
      <c r="J34" s="56">
        <v>0.55000000000000004</v>
      </c>
      <c r="K34" s="46">
        <v>0</v>
      </c>
      <c r="L34" s="46">
        <v>0</v>
      </c>
      <c r="M34" s="46">
        <v>0</v>
      </c>
    </row>
    <row r="35" spans="1:21" x14ac:dyDescent="0.2">
      <c r="A35" s="38">
        <f>+A31</f>
        <v>2024</v>
      </c>
      <c r="G35" s="5">
        <f>G31-G27</f>
        <v>3014759.2651170492</v>
      </c>
      <c r="H35" s="5">
        <f t="shared" ref="H35:M36" si="7">H27*H$34</f>
        <v>88950643.1281984</v>
      </c>
      <c r="I35" s="5">
        <f t="shared" si="7"/>
        <v>46402980.624940403</v>
      </c>
      <c r="J35" s="5">
        <f t="shared" si="7"/>
        <v>65398022.491709389</v>
      </c>
      <c r="K35" s="5">
        <f t="shared" si="7"/>
        <v>0</v>
      </c>
      <c r="L35" s="5">
        <f t="shared" si="7"/>
        <v>0</v>
      </c>
      <c r="M35" s="5">
        <f t="shared" si="7"/>
        <v>0</v>
      </c>
      <c r="N35" s="5">
        <f>SUM(H35:M35)</f>
        <v>200751646.24484819</v>
      </c>
    </row>
    <row r="36" spans="1:21" x14ac:dyDescent="0.2">
      <c r="A36" s="38">
        <f>+A32</f>
        <v>2025</v>
      </c>
      <c r="G36" s="5">
        <f>G32-G28</f>
        <v>5787628.7982532382</v>
      </c>
      <c r="H36" s="5">
        <f t="shared" si="7"/>
        <v>89951143.68473348</v>
      </c>
      <c r="I36" s="5">
        <f t="shared" si="7"/>
        <v>46643761.111585885</v>
      </c>
      <c r="J36" s="5">
        <f t="shared" si="7"/>
        <v>63399536.680205569</v>
      </c>
      <c r="K36" s="5">
        <f t="shared" si="7"/>
        <v>0</v>
      </c>
      <c r="L36" s="5">
        <f t="shared" si="7"/>
        <v>0</v>
      </c>
      <c r="M36" s="5">
        <f t="shared" si="7"/>
        <v>0</v>
      </c>
      <c r="N36" s="5">
        <f>SUM(H36:M36)</f>
        <v>199994441.47652495</v>
      </c>
    </row>
    <row r="37" spans="1:21" ht="12" customHeight="1" x14ac:dyDescent="0.2"/>
    <row r="38" spans="1:21" x14ac:dyDescent="0.2">
      <c r="A38" t="s">
        <v>33</v>
      </c>
    </row>
    <row r="39" spans="1:21" x14ac:dyDescent="0.2">
      <c r="A39" s="38">
        <f>+A35</f>
        <v>2024</v>
      </c>
      <c r="G39" s="5">
        <f>SUM(H39:M39)</f>
        <v>3014759.2651170492</v>
      </c>
      <c r="H39" s="5">
        <f>H35/$N35*$G35</f>
        <v>1335803.6186751227</v>
      </c>
      <c r="I39" s="5">
        <f t="shared" ref="H39:M40" si="8">I35/$N35*$G35</f>
        <v>696850.1548299311</v>
      </c>
      <c r="J39" s="5">
        <f t="shared" si="8"/>
        <v>982105.4916119955</v>
      </c>
      <c r="K39" s="5">
        <f t="shared" si="8"/>
        <v>0</v>
      </c>
      <c r="L39" s="5">
        <f t="shared" si="8"/>
        <v>0</v>
      </c>
      <c r="M39" s="5">
        <f t="shared" si="8"/>
        <v>0</v>
      </c>
    </row>
    <row r="40" spans="1:21" x14ac:dyDescent="0.2">
      <c r="A40" s="38">
        <f>+A36</f>
        <v>2025</v>
      </c>
      <c r="G40" s="5">
        <f>SUM(H40:M40)</f>
        <v>5787628.7982532373</v>
      </c>
      <c r="H40" s="5">
        <f t="shared" si="8"/>
        <v>2603091.4948538011</v>
      </c>
      <c r="I40" s="5">
        <f t="shared" si="8"/>
        <v>1349821.3904107234</v>
      </c>
      <c r="J40" s="5">
        <f t="shared" si="8"/>
        <v>1834715.9129887132</v>
      </c>
      <c r="K40" s="5">
        <f t="shared" si="8"/>
        <v>0</v>
      </c>
      <c r="L40" s="5">
        <f t="shared" si="8"/>
        <v>0</v>
      </c>
      <c r="M40" s="5">
        <f t="shared" si="8"/>
        <v>0</v>
      </c>
    </row>
    <row r="41" spans="1:21" x14ac:dyDescent="0.2">
      <c r="A41" s="38"/>
      <c r="G41" s="17"/>
    </row>
    <row r="42" spans="1:21" x14ac:dyDescent="0.2">
      <c r="A42" s="12"/>
    </row>
    <row r="43" spans="1:21" x14ac:dyDescent="0.2">
      <c r="A43" s="12"/>
    </row>
    <row r="44" spans="1:21" x14ac:dyDescent="0.2">
      <c r="A44" s="12"/>
    </row>
    <row r="45" spans="1:21" x14ac:dyDescent="0.2">
      <c r="C45" s="1">
        <f>296910135-296977680</f>
        <v>-67545</v>
      </c>
    </row>
    <row r="46" spans="1:21" x14ac:dyDescent="0.2">
      <c r="B46"/>
      <c r="C46"/>
      <c r="D46"/>
      <c r="E46"/>
      <c r="F46"/>
      <c r="G46"/>
      <c r="H46"/>
      <c r="I46"/>
      <c r="J46"/>
      <c r="K46"/>
      <c r="L46"/>
      <c r="M46"/>
      <c r="U46"/>
    </row>
    <row r="47" spans="1:21" x14ac:dyDescent="0.2">
      <c r="B47"/>
      <c r="C47"/>
      <c r="D47"/>
      <c r="E47"/>
      <c r="F47"/>
      <c r="G47"/>
      <c r="H47"/>
      <c r="I47"/>
      <c r="J47"/>
      <c r="K47"/>
      <c r="L47"/>
      <c r="M47"/>
      <c r="U47"/>
    </row>
    <row r="48" spans="1:21" x14ac:dyDescent="0.2">
      <c r="B48"/>
      <c r="C48"/>
      <c r="D48"/>
      <c r="E48"/>
      <c r="F48"/>
      <c r="G48"/>
      <c r="H48"/>
      <c r="I48"/>
      <c r="J48"/>
      <c r="K48"/>
      <c r="L48"/>
      <c r="M48"/>
      <c r="U48"/>
    </row>
    <row r="49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J82"/>
  <sheetViews>
    <sheetView workbookViewId="0">
      <selection sqref="A1:H33"/>
    </sheetView>
  </sheetViews>
  <sheetFormatPr defaultRowHeight="12.75" x14ac:dyDescent="0.2"/>
  <cols>
    <col min="1" max="1" width="11" customWidth="1"/>
    <col min="2" max="2" width="15" style="5" customWidth="1"/>
    <col min="3" max="3" width="14.140625" style="5" bestFit="1" customWidth="1"/>
    <col min="4" max="4" width="17.85546875" style="5" bestFit="1" customWidth="1"/>
    <col min="5" max="5" width="12.5703125" style="5" customWidth="1"/>
    <col min="6" max="7" width="11.42578125" style="5" customWidth="1"/>
    <col min="8" max="8" width="11.5703125" customWidth="1"/>
    <col min="9" max="9" width="12.5703125" bestFit="1" customWidth="1"/>
    <col min="10" max="10" width="9.140625" customWidth="1"/>
  </cols>
  <sheetData>
    <row r="1" spans="1:10" x14ac:dyDescent="0.2">
      <c r="B1" s="166" t="s">
        <v>52</v>
      </c>
      <c r="C1" s="167"/>
      <c r="D1" s="167"/>
      <c r="E1" s="167"/>
      <c r="F1" s="167"/>
      <c r="G1" s="167"/>
    </row>
    <row r="2" spans="1:10" ht="25.5" x14ac:dyDescent="0.2">
      <c r="B2" s="7" t="str">
        <f>Inputs!B4</f>
        <v>Residential</v>
      </c>
      <c r="C2" s="7" t="str">
        <f>Inputs!C4</f>
        <v>General Service &lt; 50 kW</v>
      </c>
      <c r="D2" s="7" t="str">
        <f>Inputs!D4</f>
        <v>General Service &gt; 50 to 4999 kW</v>
      </c>
      <c r="E2" s="7" t="str">
        <f>Inputs!E4</f>
        <v>USL</v>
      </c>
      <c r="F2" s="7" t="str">
        <f>Inputs!F4</f>
        <v>Sentinel Lighting</v>
      </c>
      <c r="G2" s="7" t="str">
        <f>Inputs!G4</f>
        <v>Street Lighting</v>
      </c>
      <c r="H2" s="1" t="s">
        <v>5</v>
      </c>
    </row>
    <row r="3" spans="1:10" x14ac:dyDescent="0.2">
      <c r="A3" s="3">
        <v>2014</v>
      </c>
      <c r="B3" s="34">
        <f>Inputs!B5</f>
        <v>10964.083333333334</v>
      </c>
      <c r="C3" s="34">
        <f>Inputs!C5</f>
        <v>2106</v>
      </c>
      <c r="D3" s="34">
        <f>Inputs!D5</f>
        <v>172</v>
      </c>
      <c r="E3" s="34">
        <f>Inputs!E5</f>
        <v>54.75</v>
      </c>
      <c r="F3" s="34">
        <f>Inputs!F5</f>
        <v>56.666666666666664</v>
      </c>
      <c r="G3" s="34">
        <f>Inputs!G5</f>
        <v>2843.6666666666665</v>
      </c>
      <c r="H3" s="45">
        <f>SUM(B3:G3)</f>
        <v>16197.166666666666</v>
      </c>
    </row>
    <row r="4" spans="1:10" x14ac:dyDescent="0.2">
      <c r="A4" s="3">
        <v>2015</v>
      </c>
      <c r="B4" s="34">
        <f>Inputs!B6</f>
        <v>11020.916666666666</v>
      </c>
      <c r="C4" s="34">
        <f>Inputs!C6</f>
        <v>2132.5833333333335</v>
      </c>
      <c r="D4" s="34">
        <f>Inputs!D6</f>
        <v>155.83333333333334</v>
      </c>
      <c r="E4" s="34">
        <f>Inputs!E6</f>
        <v>52.166666666666664</v>
      </c>
      <c r="F4" s="34">
        <f>Inputs!F6</f>
        <v>53</v>
      </c>
      <c r="G4" s="34">
        <f>Inputs!G6</f>
        <v>2766.0833333333335</v>
      </c>
      <c r="H4" s="45">
        <f t="shared" ref="H4:H14" si="0">SUM(B4:G4)</f>
        <v>16180.583333333334</v>
      </c>
    </row>
    <row r="5" spans="1:10" x14ac:dyDescent="0.2">
      <c r="A5" s="3">
        <v>2016</v>
      </c>
      <c r="B5" s="34">
        <f>Inputs!B7</f>
        <v>11078.416666666666</v>
      </c>
      <c r="C5" s="34">
        <f>Inputs!C7</f>
        <v>2137.6666666666665</v>
      </c>
      <c r="D5" s="34">
        <f>Inputs!D7</f>
        <v>149.33333333333334</v>
      </c>
      <c r="E5" s="34">
        <f>Inputs!E7</f>
        <v>51</v>
      </c>
      <c r="F5" s="34">
        <f>Inputs!F7</f>
        <v>52.333333333333336</v>
      </c>
      <c r="G5" s="34">
        <f>Inputs!G7</f>
        <v>2679.1666666666665</v>
      </c>
      <c r="H5" s="45">
        <f t="shared" si="0"/>
        <v>16147.916666666666</v>
      </c>
    </row>
    <row r="6" spans="1:10" x14ac:dyDescent="0.2">
      <c r="A6" s="3">
        <v>2017</v>
      </c>
      <c r="B6" s="34">
        <f>Inputs!B8</f>
        <v>11168.75</v>
      </c>
      <c r="C6" s="34">
        <f>Inputs!C8</f>
        <v>2144.4166666666665</v>
      </c>
      <c r="D6" s="34">
        <f>Inputs!D8</f>
        <v>137.91666666666666</v>
      </c>
      <c r="E6" s="34">
        <f>Inputs!E8</f>
        <v>51</v>
      </c>
      <c r="F6" s="34">
        <f>Inputs!F8</f>
        <v>45.5</v>
      </c>
      <c r="G6" s="34">
        <f>Inputs!G8</f>
        <v>2848.3333333333335</v>
      </c>
      <c r="H6" s="45">
        <f t="shared" si="0"/>
        <v>16395.916666666664</v>
      </c>
    </row>
    <row r="7" spans="1:10" x14ac:dyDescent="0.2">
      <c r="A7" s="3">
        <v>2018</v>
      </c>
      <c r="B7" s="34">
        <f>Inputs!B9</f>
        <v>11288.666666666666</v>
      </c>
      <c r="C7" s="34">
        <f>Inputs!C9</f>
        <v>2158.8333333333335</v>
      </c>
      <c r="D7" s="34">
        <f>Inputs!D9</f>
        <v>137.5</v>
      </c>
      <c r="E7" s="34">
        <f>Inputs!E9</f>
        <v>51</v>
      </c>
      <c r="F7" s="34">
        <f>Inputs!F9</f>
        <v>44</v>
      </c>
      <c r="G7" s="34">
        <f>Inputs!G9</f>
        <v>2849</v>
      </c>
      <c r="H7" s="45">
        <f t="shared" si="0"/>
        <v>16529</v>
      </c>
    </row>
    <row r="8" spans="1:10" x14ac:dyDescent="0.2">
      <c r="A8" s="3">
        <v>2019</v>
      </c>
      <c r="B8" s="34">
        <f>Inputs!B10</f>
        <v>11429.75</v>
      </c>
      <c r="C8" s="34">
        <f>Inputs!C10</f>
        <v>2154.3333333333335</v>
      </c>
      <c r="D8" s="34">
        <f>Inputs!D10</f>
        <v>136.66666666666666</v>
      </c>
      <c r="E8" s="34">
        <f>Inputs!E10</f>
        <v>54.583333333333336</v>
      </c>
      <c r="F8" s="34">
        <f>Inputs!F10</f>
        <v>41.25</v>
      </c>
      <c r="G8" s="34">
        <f>Inputs!G10</f>
        <v>2849.1666666666665</v>
      </c>
      <c r="H8" s="45">
        <f t="shared" si="0"/>
        <v>16665.75</v>
      </c>
    </row>
    <row r="9" spans="1:10" x14ac:dyDescent="0.2">
      <c r="A9" s="3">
        <v>2020</v>
      </c>
      <c r="B9" s="34">
        <f>Inputs!B11</f>
        <v>11566</v>
      </c>
      <c r="C9" s="34">
        <f>Inputs!C11</f>
        <v>2155.3333333333335</v>
      </c>
      <c r="D9" s="34">
        <f>Inputs!D11</f>
        <v>135.83333333333334</v>
      </c>
      <c r="E9" s="34">
        <f>Inputs!E11</f>
        <v>56</v>
      </c>
      <c r="F9" s="34">
        <f>Inputs!F11</f>
        <v>40</v>
      </c>
      <c r="G9" s="34">
        <f>Inputs!G11</f>
        <v>2851</v>
      </c>
      <c r="H9" s="45">
        <f t="shared" si="0"/>
        <v>16804.166666666668</v>
      </c>
    </row>
    <row r="10" spans="1:10" x14ac:dyDescent="0.2">
      <c r="A10" s="3">
        <v>2021</v>
      </c>
      <c r="B10" s="34">
        <f>Inputs!B12</f>
        <v>11725.916666666666</v>
      </c>
      <c r="C10" s="34">
        <f>Inputs!C12</f>
        <v>2190.8333333333335</v>
      </c>
      <c r="D10" s="34">
        <f>Inputs!D12</f>
        <v>130.75</v>
      </c>
      <c r="E10" s="34">
        <f>Inputs!E12</f>
        <v>64.5</v>
      </c>
      <c r="F10" s="34">
        <f>Inputs!F12</f>
        <v>40</v>
      </c>
      <c r="G10" s="34">
        <f>Inputs!G12</f>
        <v>2851</v>
      </c>
      <c r="H10" s="45">
        <f t="shared" si="0"/>
        <v>17003</v>
      </c>
    </row>
    <row r="11" spans="1:10" x14ac:dyDescent="0.2">
      <c r="A11" s="3">
        <v>2022</v>
      </c>
      <c r="B11" s="34">
        <f>Inputs!B13</f>
        <v>11911.916666666666</v>
      </c>
      <c r="C11" s="34">
        <f>Inputs!C13</f>
        <v>2205.1666666666665</v>
      </c>
      <c r="D11" s="34">
        <f>Inputs!D13</f>
        <v>129.08333333333334</v>
      </c>
      <c r="E11" s="34">
        <f>Inputs!E13</f>
        <v>64.25</v>
      </c>
      <c r="F11" s="34">
        <f>Inputs!F13</f>
        <v>37.583333333333336</v>
      </c>
      <c r="G11" s="34">
        <f>Inputs!G13</f>
        <v>2851</v>
      </c>
      <c r="H11" s="45">
        <f t="shared" si="0"/>
        <v>17199</v>
      </c>
    </row>
    <row r="12" spans="1:10" x14ac:dyDescent="0.2">
      <c r="A12" s="3">
        <v>2023</v>
      </c>
      <c r="B12" s="34">
        <f>Inputs!B14</f>
        <v>12125.25</v>
      </c>
      <c r="C12" s="34">
        <f>Inputs!C14</f>
        <v>2206.4166666666665</v>
      </c>
      <c r="D12" s="34">
        <f>Inputs!D14</f>
        <v>130.08333333333334</v>
      </c>
      <c r="E12" s="34">
        <f>Inputs!E14</f>
        <v>63.333333333333336</v>
      </c>
      <c r="F12" s="34">
        <f>Inputs!F14</f>
        <v>32.5</v>
      </c>
      <c r="G12" s="34">
        <f>Inputs!G14</f>
        <v>2851</v>
      </c>
      <c r="H12" s="45">
        <f t="shared" si="0"/>
        <v>17408.583333333336</v>
      </c>
      <c r="I12" s="31">
        <f>B12+C12+D12</f>
        <v>14461.75</v>
      </c>
    </row>
    <row r="13" spans="1:10" x14ac:dyDescent="0.2">
      <c r="A13" s="3">
        <v>2024</v>
      </c>
      <c r="B13" s="49">
        <f t="shared" ref="B13:G13" si="1">B12*B31</f>
        <v>12261.632593160602</v>
      </c>
      <c r="C13" s="49">
        <f t="shared" si="1"/>
        <v>2217.8655449841335</v>
      </c>
      <c r="D13" s="49">
        <f t="shared" si="1"/>
        <v>126.10814133096439</v>
      </c>
      <c r="E13" s="49">
        <f t="shared" si="1"/>
        <v>64.366504744152124</v>
      </c>
      <c r="F13" s="49">
        <f t="shared" si="1"/>
        <v>30.553165736059501</v>
      </c>
      <c r="G13" s="49">
        <f t="shared" si="1"/>
        <v>2851.8159812955855</v>
      </c>
      <c r="H13" s="45">
        <f t="shared" si="0"/>
        <v>17552.341931251496</v>
      </c>
      <c r="I13" s="31">
        <f t="shared" ref="I13:I14" si="2">B13+C13+D13</f>
        <v>14605.6062794757</v>
      </c>
      <c r="J13" s="31">
        <f>I13-I12</f>
        <v>143.85627947569992</v>
      </c>
    </row>
    <row r="14" spans="1:10" x14ac:dyDescent="0.2">
      <c r="A14" s="3">
        <v>2025</v>
      </c>
      <c r="B14" s="49">
        <f t="shared" ref="B14:G14" si="3">B13*B31</f>
        <v>12399.549192771976</v>
      </c>
      <c r="C14" s="49">
        <f t="shared" si="3"/>
        <v>2229.373830401224</v>
      </c>
      <c r="D14" s="49">
        <f t="shared" si="3"/>
        <v>122.25442646983078</v>
      </c>
      <c r="E14" s="49">
        <f t="shared" si="3"/>
        <v>65.416530520720386</v>
      </c>
      <c r="F14" s="49">
        <f t="shared" si="3"/>
        <v>28.72295189215755</v>
      </c>
      <c r="G14" s="49">
        <f t="shared" si="3"/>
        <v>2852.6321961322005</v>
      </c>
      <c r="H14" s="45">
        <f t="shared" si="0"/>
        <v>17697.949128188109</v>
      </c>
      <c r="I14" s="31">
        <f t="shared" si="2"/>
        <v>14751.17744964303</v>
      </c>
      <c r="J14" s="31">
        <f>I14-I13</f>
        <v>145.57117016732991</v>
      </c>
    </row>
    <row r="15" spans="1:10" x14ac:dyDescent="0.2">
      <c r="A15" s="12"/>
    </row>
    <row r="16" spans="1:10" x14ac:dyDescent="0.2">
      <c r="A16" s="12" t="s">
        <v>29</v>
      </c>
      <c r="B16" s="4"/>
      <c r="C16" s="4"/>
      <c r="D16" s="4"/>
      <c r="E16" s="4"/>
      <c r="F16" s="15"/>
      <c r="G16" s="15"/>
    </row>
    <row r="17" spans="1:8" x14ac:dyDescent="0.2">
      <c r="A17" s="3"/>
      <c r="B17" s="15"/>
      <c r="C17" s="15"/>
      <c r="D17" s="15"/>
      <c r="E17" s="15"/>
      <c r="F17" s="15"/>
      <c r="G17" s="15"/>
    </row>
    <row r="18" spans="1:8" x14ac:dyDescent="0.2">
      <c r="A18" s="3">
        <f>+A4</f>
        <v>2015</v>
      </c>
      <c r="B18" s="15">
        <f t="shared" ref="B18:G18" si="4">B4/B3</f>
        <v>1.005183591879546</v>
      </c>
      <c r="C18" s="15">
        <f t="shared" si="4"/>
        <v>1.0126226654004433</v>
      </c>
      <c r="D18" s="15">
        <f t="shared" si="4"/>
        <v>0.90600775193798455</v>
      </c>
      <c r="E18" s="15">
        <f t="shared" si="4"/>
        <v>0.95281582952815824</v>
      </c>
      <c r="F18" s="15">
        <f t="shared" si="4"/>
        <v>0.93529411764705883</v>
      </c>
      <c r="G18" s="15">
        <f t="shared" si="4"/>
        <v>0.97271714922049013</v>
      </c>
    </row>
    <row r="19" spans="1:8" x14ac:dyDescent="0.2">
      <c r="A19" s="3">
        <f t="shared" ref="A19:A26" si="5">+A5</f>
        <v>2016</v>
      </c>
      <c r="B19" s="15">
        <f t="shared" ref="B19:B26" si="6">B5/B4</f>
        <v>1.0052173518536722</v>
      </c>
      <c r="C19" s="15">
        <f t="shared" ref="C19:G26" si="7">C5/C4</f>
        <v>1.0023836505021295</v>
      </c>
      <c r="D19" s="15">
        <f t="shared" si="7"/>
        <v>0.9582887700534759</v>
      </c>
      <c r="E19" s="15">
        <f t="shared" si="7"/>
        <v>0.97763578274760388</v>
      </c>
      <c r="F19" s="15">
        <f t="shared" si="7"/>
        <v>0.98742138364779874</v>
      </c>
      <c r="G19" s="15">
        <f t="shared" si="7"/>
        <v>0.96857771216822808</v>
      </c>
    </row>
    <row r="20" spans="1:8" x14ac:dyDescent="0.2">
      <c r="A20" s="3">
        <f t="shared" si="5"/>
        <v>2017</v>
      </c>
      <c r="B20" s="15">
        <f t="shared" si="6"/>
        <v>1.0081539931247696</v>
      </c>
      <c r="C20" s="15">
        <f t="shared" si="7"/>
        <v>1.0031576485264306</v>
      </c>
      <c r="D20" s="15">
        <f t="shared" si="7"/>
        <v>0.92354910714285698</v>
      </c>
      <c r="E20" s="15">
        <f t="shared" si="7"/>
        <v>1</v>
      </c>
      <c r="F20" s="15">
        <f t="shared" si="7"/>
        <v>0.86942675159235661</v>
      </c>
      <c r="G20" s="15">
        <f t="shared" si="7"/>
        <v>1.0631415241057545</v>
      </c>
    </row>
    <row r="21" spans="1:8" x14ac:dyDescent="0.2">
      <c r="A21" s="3">
        <f t="shared" si="5"/>
        <v>2018</v>
      </c>
      <c r="B21" s="15">
        <f t="shared" si="6"/>
        <v>1.0107368028352919</v>
      </c>
      <c r="C21" s="15">
        <f t="shared" si="7"/>
        <v>1.006722885011464</v>
      </c>
      <c r="D21" s="15">
        <f t="shared" si="7"/>
        <v>0.99697885196374625</v>
      </c>
      <c r="E21" s="15">
        <f t="shared" si="7"/>
        <v>1</v>
      </c>
      <c r="F21" s="15">
        <f t="shared" si="7"/>
        <v>0.96703296703296704</v>
      </c>
      <c r="G21" s="15">
        <f t="shared" si="7"/>
        <v>1.0002340550029256</v>
      </c>
    </row>
    <row r="22" spans="1:8" x14ac:dyDescent="0.2">
      <c r="A22" s="3">
        <f t="shared" si="5"/>
        <v>2019</v>
      </c>
      <c r="B22" s="15">
        <f t="shared" si="6"/>
        <v>1.0124977853894763</v>
      </c>
      <c r="C22" s="15">
        <f t="shared" si="7"/>
        <v>0.9979155408013588</v>
      </c>
      <c r="D22" s="15">
        <f t="shared" si="7"/>
        <v>0.9939393939393939</v>
      </c>
      <c r="E22" s="15">
        <f t="shared" si="7"/>
        <v>1.0702614379084967</v>
      </c>
      <c r="F22" s="15">
        <f t="shared" si="7"/>
        <v>0.9375</v>
      </c>
      <c r="G22" s="15">
        <f t="shared" si="7"/>
        <v>1.0000585000585001</v>
      </c>
    </row>
    <row r="23" spans="1:8" x14ac:dyDescent="0.2">
      <c r="A23" s="3">
        <f t="shared" si="5"/>
        <v>2020</v>
      </c>
      <c r="B23" s="15">
        <f t="shared" si="6"/>
        <v>1.011920645683414</v>
      </c>
      <c r="C23" s="15">
        <f t="shared" si="7"/>
        <v>1.0004641807210275</v>
      </c>
      <c r="D23" s="15">
        <f t="shared" si="7"/>
        <v>0.99390243902439035</v>
      </c>
      <c r="E23" s="15">
        <f t="shared" si="7"/>
        <v>1.0259541984732825</v>
      </c>
      <c r="F23" s="15">
        <f t="shared" si="7"/>
        <v>0.96969696969696972</v>
      </c>
      <c r="G23" s="15">
        <f t="shared" si="7"/>
        <v>1.0006434630008776</v>
      </c>
    </row>
    <row r="24" spans="1:8" x14ac:dyDescent="0.2">
      <c r="A24" s="3">
        <f t="shared" si="5"/>
        <v>2021</v>
      </c>
      <c r="B24" s="15">
        <f t="shared" si="6"/>
        <v>1.013826445328261</v>
      </c>
      <c r="C24" s="15">
        <f t="shared" si="7"/>
        <v>1.0164707701824931</v>
      </c>
      <c r="D24" s="15">
        <f t="shared" si="7"/>
        <v>0.9625766871165643</v>
      </c>
      <c r="E24" s="15">
        <f t="shared" si="7"/>
        <v>1.1517857142857142</v>
      </c>
      <c r="F24" s="15">
        <f t="shared" si="7"/>
        <v>1</v>
      </c>
      <c r="G24" s="15">
        <f t="shared" si="7"/>
        <v>1</v>
      </c>
    </row>
    <row r="25" spans="1:8" x14ac:dyDescent="0.2">
      <c r="A25" s="3">
        <f t="shared" si="5"/>
        <v>2022</v>
      </c>
      <c r="B25" s="15">
        <f t="shared" si="6"/>
        <v>1.0158622993227253</v>
      </c>
      <c r="C25" s="15">
        <f t="shared" si="7"/>
        <v>1.0065424115633319</v>
      </c>
      <c r="D25" s="15">
        <f t="shared" si="7"/>
        <v>0.98725302740599119</v>
      </c>
      <c r="E25" s="15">
        <f t="shared" si="7"/>
        <v>0.99612403100775193</v>
      </c>
      <c r="F25" s="15">
        <f t="shared" si="7"/>
        <v>0.93958333333333344</v>
      </c>
      <c r="G25" s="15">
        <f t="shared" si="7"/>
        <v>1</v>
      </c>
    </row>
    <row r="26" spans="1:8" x14ac:dyDescent="0.2">
      <c r="A26" s="3">
        <f t="shared" si="5"/>
        <v>2023</v>
      </c>
      <c r="B26" s="15">
        <f t="shared" si="6"/>
        <v>1.0179092365488343</v>
      </c>
      <c r="C26" s="15">
        <f t="shared" si="7"/>
        <v>1.0005668505781875</v>
      </c>
      <c r="D26" s="15">
        <f t="shared" si="7"/>
        <v>1.0077469335054874</v>
      </c>
      <c r="E26" s="15">
        <f t="shared" si="7"/>
        <v>0.9857328145265889</v>
      </c>
      <c r="F26" s="15">
        <f t="shared" si="7"/>
        <v>0.8647450110864745</v>
      </c>
      <c r="G26" s="15">
        <f t="shared" si="7"/>
        <v>1</v>
      </c>
    </row>
    <row r="27" spans="1:8" x14ac:dyDescent="0.2">
      <c r="A27" s="3"/>
      <c r="B27" s="15"/>
      <c r="C27" s="15"/>
      <c r="D27" s="15"/>
      <c r="E27" s="15"/>
      <c r="F27" s="15"/>
      <c r="G27" s="15"/>
    </row>
    <row r="28" spans="1:8" x14ac:dyDescent="0.2">
      <c r="A28" s="3"/>
      <c r="B28" s="15"/>
      <c r="C28" s="15"/>
      <c r="D28" s="15"/>
      <c r="E28" s="15"/>
      <c r="F28" s="15"/>
      <c r="G28" s="15"/>
    </row>
    <row r="29" spans="1:8" x14ac:dyDescent="0.2">
      <c r="A29" s="3"/>
      <c r="B29" s="15"/>
      <c r="C29" s="15"/>
      <c r="D29" s="15"/>
      <c r="E29" s="15"/>
      <c r="F29" s="15"/>
      <c r="G29" s="15"/>
    </row>
    <row r="31" spans="1:8" x14ac:dyDescent="0.2">
      <c r="A31" t="s">
        <v>43</v>
      </c>
      <c r="B31" s="50">
        <f>B33</f>
        <v>1.0112478170067094</v>
      </c>
      <c r="C31" s="50">
        <f>C33</f>
        <v>1.0051889013033803</v>
      </c>
      <c r="D31" s="50">
        <f>D33</f>
        <v>0.96944118896321108</v>
      </c>
      <c r="E31" s="50">
        <f>E33</f>
        <v>1.0163132328024018</v>
      </c>
      <c r="F31" s="50">
        <f>+F33</f>
        <v>0.94009740726336932</v>
      </c>
      <c r="G31" s="50">
        <f>+G33</f>
        <v>1.0002862088023801</v>
      </c>
      <c r="H31" s="38" t="s">
        <v>56</v>
      </c>
    </row>
    <row r="32" spans="1:8" x14ac:dyDescent="0.2">
      <c r="B32" s="16"/>
      <c r="C32" s="16"/>
      <c r="D32" s="16"/>
      <c r="E32" s="16"/>
      <c r="F32" s="16"/>
      <c r="G32" s="16"/>
    </row>
    <row r="33" spans="1:7" x14ac:dyDescent="0.2">
      <c r="A33" t="s">
        <v>8</v>
      </c>
      <c r="B33" s="16">
        <f t="shared" ref="B33:G33" si="8">IF(B11="",0,GEOMEAN(B18:B26))</f>
        <v>1.0112478170067094</v>
      </c>
      <c r="C33" s="16">
        <f t="shared" si="8"/>
        <v>1.0051889013033803</v>
      </c>
      <c r="D33" s="16">
        <f t="shared" si="8"/>
        <v>0.96944118896321108</v>
      </c>
      <c r="E33" s="16">
        <f t="shared" si="8"/>
        <v>1.0163132328024018</v>
      </c>
      <c r="F33" s="16">
        <f t="shared" si="8"/>
        <v>0.94009740726336932</v>
      </c>
      <c r="G33" s="16">
        <f t="shared" si="8"/>
        <v>1.0002862088023801</v>
      </c>
    </row>
    <row r="34" spans="1:7" x14ac:dyDescent="0.2">
      <c r="A34" s="3"/>
      <c r="B34" s="16"/>
      <c r="C34" s="16"/>
      <c r="D34" s="16"/>
      <c r="E34" s="16"/>
      <c r="F34" s="16"/>
      <c r="G34" s="16"/>
    </row>
    <row r="35" spans="1:7" x14ac:dyDescent="0.2">
      <c r="A35" s="2"/>
      <c r="B35"/>
      <c r="C35"/>
      <c r="D35"/>
      <c r="E35"/>
      <c r="F35"/>
      <c r="G35"/>
    </row>
    <row r="36" spans="1:7" x14ac:dyDescent="0.2">
      <c r="A36" s="2"/>
      <c r="B36"/>
      <c r="C36"/>
      <c r="D36"/>
      <c r="E36"/>
      <c r="F36"/>
      <c r="G36"/>
    </row>
    <row r="37" spans="1:7" x14ac:dyDescent="0.2">
      <c r="A37" s="2"/>
      <c r="B37"/>
      <c r="C37"/>
      <c r="D37"/>
      <c r="E37"/>
      <c r="F37"/>
      <c r="G37"/>
    </row>
    <row r="38" spans="1:7" x14ac:dyDescent="0.2">
      <c r="A38" s="2"/>
      <c r="B38"/>
      <c r="C38"/>
      <c r="D38"/>
      <c r="E38"/>
      <c r="F38"/>
      <c r="G38"/>
    </row>
    <row r="39" spans="1:7" x14ac:dyDescent="0.2">
      <c r="A39" s="2"/>
      <c r="B39"/>
      <c r="C39"/>
      <c r="D39"/>
      <c r="E39"/>
      <c r="F39"/>
      <c r="G39"/>
    </row>
    <row r="40" spans="1:7" x14ac:dyDescent="0.2">
      <c r="A40" s="2"/>
      <c r="B40"/>
      <c r="C40"/>
      <c r="D40"/>
      <c r="E40"/>
      <c r="F40"/>
      <c r="G40"/>
    </row>
    <row r="41" spans="1:7" x14ac:dyDescent="0.2">
      <c r="A41" s="2"/>
      <c r="B41"/>
      <c r="C41"/>
      <c r="D41"/>
      <c r="E41"/>
      <c r="F41"/>
      <c r="G41"/>
    </row>
    <row r="42" spans="1:7" x14ac:dyDescent="0.2">
      <c r="A42" s="2"/>
      <c r="B42"/>
      <c r="C42"/>
      <c r="D42"/>
      <c r="E42"/>
      <c r="F42"/>
      <c r="G42"/>
    </row>
    <row r="43" spans="1:7" x14ac:dyDescent="0.2">
      <c r="A43" s="2"/>
      <c r="B43"/>
      <c r="C43"/>
      <c r="D43"/>
      <c r="E43"/>
      <c r="F43"/>
      <c r="G43"/>
    </row>
    <row r="44" spans="1:7" x14ac:dyDescent="0.2">
      <c r="A44" s="2"/>
      <c r="B44"/>
      <c r="C44"/>
      <c r="D44"/>
      <c r="E44"/>
      <c r="F44"/>
      <c r="G44"/>
    </row>
    <row r="45" spans="1:7" x14ac:dyDescent="0.2">
      <c r="A45" s="2"/>
      <c r="B45"/>
      <c r="C45"/>
      <c r="D45"/>
      <c r="E45"/>
      <c r="F45"/>
      <c r="G45"/>
    </row>
    <row r="46" spans="1:7" x14ac:dyDescent="0.2">
      <c r="A46" s="2"/>
      <c r="B46"/>
      <c r="C46"/>
      <c r="D46"/>
      <c r="E46"/>
      <c r="F46"/>
      <c r="G46"/>
    </row>
    <row r="47" spans="1:7" x14ac:dyDescent="0.2">
      <c r="A47" s="2"/>
      <c r="B47"/>
      <c r="C47"/>
      <c r="D47"/>
      <c r="E47"/>
      <c r="F47"/>
      <c r="G47"/>
    </row>
    <row r="48" spans="1:7" x14ac:dyDescent="0.2">
      <c r="A48" s="2"/>
      <c r="B48"/>
      <c r="C48"/>
      <c r="D48"/>
      <c r="E48"/>
      <c r="F48"/>
      <c r="G48"/>
    </row>
    <row r="49" spans="1:7" x14ac:dyDescent="0.2">
      <c r="A49" s="2"/>
      <c r="B49"/>
      <c r="C49"/>
      <c r="D49"/>
      <c r="E49"/>
      <c r="F49"/>
      <c r="G49"/>
    </row>
    <row r="50" spans="1:7" x14ac:dyDescent="0.2">
      <c r="A50" s="2"/>
      <c r="B50"/>
      <c r="C50"/>
      <c r="D50"/>
      <c r="E50"/>
      <c r="F50"/>
      <c r="G50"/>
    </row>
    <row r="51" spans="1:7" x14ac:dyDescent="0.2">
      <c r="A51" s="2"/>
      <c r="B51"/>
      <c r="C51"/>
      <c r="D51"/>
      <c r="E51"/>
      <c r="F51"/>
      <c r="G51"/>
    </row>
    <row r="52" spans="1:7" x14ac:dyDescent="0.2">
      <c r="A52" s="2"/>
      <c r="B52"/>
      <c r="C52"/>
      <c r="D52"/>
      <c r="E52"/>
      <c r="F52"/>
      <c r="G52"/>
    </row>
    <row r="53" spans="1:7" x14ac:dyDescent="0.2">
      <c r="A53" s="2"/>
      <c r="B53"/>
      <c r="C53"/>
      <c r="D53"/>
      <c r="E53"/>
      <c r="F53"/>
      <c r="G53"/>
    </row>
    <row r="54" spans="1:7" x14ac:dyDescent="0.2">
      <c r="A54" s="2"/>
      <c r="B54"/>
      <c r="C54"/>
      <c r="D54"/>
      <c r="E54"/>
      <c r="F54"/>
      <c r="G54"/>
    </row>
    <row r="55" spans="1:7" x14ac:dyDescent="0.2">
      <c r="A55" s="2"/>
      <c r="B55"/>
      <c r="C55"/>
      <c r="D55"/>
      <c r="E55"/>
      <c r="F55"/>
      <c r="G55"/>
    </row>
    <row r="56" spans="1:7" x14ac:dyDescent="0.2">
      <c r="A56" s="2"/>
      <c r="B56"/>
      <c r="C56"/>
      <c r="D56"/>
      <c r="E56"/>
      <c r="F56"/>
      <c r="G56"/>
    </row>
    <row r="57" spans="1:7" x14ac:dyDescent="0.2">
      <c r="A57" s="2"/>
      <c r="B57"/>
      <c r="C57"/>
      <c r="D57"/>
      <c r="E57"/>
      <c r="F57"/>
      <c r="G57"/>
    </row>
    <row r="58" spans="1:7" x14ac:dyDescent="0.2">
      <c r="A58" s="2"/>
      <c r="B58"/>
      <c r="C58"/>
      <c r="D58"/>
      <c r="E58"/>
      <c r="F58"/>
      <c r="G58"/>
    </row>
    <row r="59" spans="1:7" x14ac:dyDescent="0.2">
      <c r="B59"/>
      <c r="C59"/>
      <c r="D59"/>
      <c r="E59"/>
      <c r="F59"/>
      <c r="G59"/>
    </row>
    <row r="60" spans="1:7" x14ac:dyDescent="0.2">
      <c r="B60"/>
      <c r="C60"/>
      <c r="D60"/>
      <c r="E60"/>
      <c r="F60"/>
      <c r="G60"/>
    </row>
    <row r="61" spans="1:7" x14ac:dyDescent="0.2">
      <c r="B61"/>
      <c r="C61"/>
      <c r="D61"/>
      <c r="E61"/>
      <c r="F61"/>
      <c r="G61"/>
    </row>
    <row r="62" spans="1:7" x14ac:dyDescent="0.2">
      <c r="B62"/>
      <c r="C62"/>
      <c r="D62"/>
      <c r="E62"/>
      <c r="F62"/>
      <c r="G62"/>
    </row>
    <row r="63" spans="1:7" x14ac:dyDescent="0.2">
      <c r="B63"/>
      <c r="C63"/>
      <c r="D63"/>
      <c r="E63"/>
      <c r="F63"/>
      <c r="G63"/>
    </row>
    <row r="64" spans="1:7" x14ac:dyDescent="0.2">
      <c r="B64"/>
      <c r="C64"/>
      <c r="D64"/>
      <c r="E64"/>
      <c r="F64"/>
      <c r="G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</sheetData>
  <mergeCells count="1">
    <mergeCell ref="B1:G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55"/>
  <sheetViews>
    <sheetView workbookViewId="0">
      <selection sqref="A1:F29"/>
    </sheetView>
  </sheetViews>
  <sheetFormatPr defaultRowHeight="12.75" x14ac:dyDescent="0.2"/>
  <cols>
    <col min="1" max="1" width="11" customWidth="1"/>
    <col min="2" max="2" width="14.140625" style="5" bestFit="1" customWidth="1"/>
    <col min="3" max="4" width="12.5703125" style="5" customWidth="1"/>
    <col min="5" max="5" width="13.42578125" customWidth="1"/>
    <col min="6" max="6" width="13" customWidth="1"/>
    <col min="7" max="7" width="13.42578125" customWidth="1"/>
    <col min="8" max="8" width="12.5703125" bestFit="1" customWidth="1"/>
    <col min="10" max="10" width="12.42578125" style="5" bestFit="1" customWidth="1"/>
    <col min="11" max="11" width="13.42578125" bestFit="1" customWidth="1"/>
    <col min="12" max="13" width="9.140625" style="5" customWidth="1"/>
  </cols>
  <sheetData>
    <row r="1" spans="1:10" ht="38.25" x14ac:dyDescent="0.2">
      <c r="B1" s="6" t="str">
        <f>'Rate Class Customer Model'!D2</f>
        <v>General Service &gt; 50 to 4999 kW</v>
      </c>
      <c r="C1" s="6" t="str">
        <f>'Rate Class Customer Model'!F2</f>
        <v>Sentinel Lighting</v>
      </c>
      <c r="D1" s="101" t="str">
        <f>'Rate Class Energy Model'!M2</f>
        <v>Street Lighting</v>
      </c>
      <c r="E1" s="47" t="s">
        <v>5</v>
      </c>
      <c r="J1" s="6"/>
    </row>
    <row r="2" spans="1:10" x14ac:dyDescent="0.2">
      <c r="A2" s="20">
        <f>+'Rate Class Customer Model'!A3</f>
        <v>2014</v>
      </c>
      <c r="B2" s="34">
        <f>SUMIF(Inputs!$A$24:$A$143,'Rate Class Load Model'!$A2,Inputs!$K$24:$K$143)</f>
        <v>288260.7</v>
      </c>
      <c r="C2" s="34">
        <f>SUMIF(Inputs!$A$24:$A$143,'Rate Class Load Model'!$A2,Inputs!$P$24:$P$143)</f>
        <v>138.89961839927633</v>
      </c>
      <c r="D2" s="34">
        <f>SUMIF(Inputs!$A$24:$A$143,'Rate Class Load Model'!$A2,Inputs!$S$24:$S$143)</f>
        <v>6610.2200000000012</v>
      </c>
      <c r="E2" s="45">
        <f t="shared" ref="E2:E13" si="0">SUM(B2:D2)</f>
        <v>295009.81961839925</v>
      </c>
      <c r="F2" s="38" t="s">
        <v>66</v>
      </c>
    </row>
    <row r="3" spans="1:10" x14ac:dyDescent="0.2">
      <c r="A3" s="20">
        <f>+'Rate Class Customer Model'!A4</f>
        <v>2015</v>
      </c>
      <c r="B3" s="34">
        <f>SUMIF(Inputs!$A$24:$A$143,'Rate Class Load Model'!$A3,Inputs!$K$24:$K$143)</f>
        <v>288082.36</v>
      </c>
      <c r="C3" s="34">
        <f>SUMIF(Inputs!$A$24:$A$143,'Rate Class Load Model'!$A3,Inputs!$P$24:$P$143)</f>
        <v>136.41233333333329</v>
      </c>
      <c r="D3" s="34">
        <f>SUMIF(Inputs!$A$24:$A$143,'Rate Class Load Model'!$A3,Inputs!$S$24:$S$143)</f>
        <v>5922.15</v>
      </c>
      <c r="E3" s="45">
        <f t="shared" si="0"/>
        <v>294140.92233333335</v>
      </c>
    </row>
    <row r="4" spans="1:10" x14ac:dyDescent="0.2">
      <c r="A4" s="20">
        <f>+'Rate Class Customer Model'!A5</f>
        <v>2016</v>
      </c>
      <c r="B4" s="34">
        <f>SUMIF(Inputs!$A$24:$A$143,'Rate Class Load Model'!$A4,Inputs!$K$24:$K$143)</f>
        <v>283796.43000000005</v>
      </c>
      <c r="C4" s="34">
        <f>SUMIF(Inputs!$A$24:$A$143,'Rate Class Load Model'!$A4,Inputs!$P$24:$P$143)</f>
        <v>135.40497222222223</v>
      </c>
      <c r="D4" s="34">
        <f>SUMIF(Inputs!$A$24:$A$143,'Rate Class Load Model'!$A4,Inputs!$S$24:$S$143)</f>
        <v>3094.04</v>
      </c>
      <c r="E4" s="45">
        <f t="shared" si="0"/>
        <v>287025.87497222226</v>
      </c>
      <c r="J4" s="35"/>
    </row>
    <row r="5" spans="1:10" x14ac:dyDescent="0.2">
      <c r="A5" s="20">
        <f>+'Rate Class Customer Model'!A6</f>
        <v>2017</v>
      </c>
      <c r="B5" s="34">
        <f>SUMIF(Inputs!$A$24:$A$143,'Rate Class Load Model'!$A5,Inputs!$K$24:$K$143)</f>
        <v>281771.10000000003</v>
      </c>
      <c r="C5" s="34">
        <f>SUMIF(Inputs!$A$24:$A$143,'Rate Class Load Model'!$A5,Inputs!$P$24:$P$143)</f>
        <v>122.87111111111111</v>
      </c>
      <c r="D5" s="34">
        <f>SUMIF(Inputs!$A$24:$A$143,'Rate Class Load Model'!$A5,Inputs!$S$24:$S$143)</f>
        <v>3196.5600000000009</v>
      </c>
      <c r="E5" s="45">
        <f t="shared" si="0"/>
        <v>285090.53111111117</v>
      </c>
      <c r="J5" s="35"/>
    </row>
    <row r="6" spans="1:10" x14ac:dyDescent="0.2">
      <c r="A6" s="20">
        <f>+'Rate Class Customer Model'!A7</f>
        <v>2018</v>
      </c>
      <c r="B6" s="34">
        <f>SUMIF(Inputs!$A$24:$A$143,'Rate Class Load Model'!$A6,Inputs!$K$24:$K$143)</f>
        <v>288024.30000000005</v>
      </c>
      <c r="C6" s="34">
        <f>SUMIF(Inputs!$A$24:$A$143,'Rate Class Load Model'!$A6,Inputs!$P$24:$P$143)</f>
        <v>113.39249999999998</v>
      </c>
      <c r="D6" s="34">
        <f>SUMIF(Inputs!$A$24:$A$143,'Rate Class Load Model'!$A6,Inputs!$S$24:$S$143)</f>
        <v>3087.5699999999993</v>
      </c>
      <c r="E6" s="45">
        <f t="shared" si="0"/>
        <v>291225.26250000007</v>
      </c>
      <c r="J6" s="35"/>
    </row>
    <row r="7" spans="1:10" x14ac:dyDescent="0.2">
      <c r="A7" s="20">
        <f>+'Rate Class Customer Model'!A8</f>
        <v>2019</v>
      </c>
      <c r="B7" s="34">
        <f>SUMIF(Inputs!$A$24:$A$143,'Rate Class Load Model'!$A7,Inputs!$K$24:$K$143)</f>
        <v>289524.01999999996</v>
      </c>
      <c r="C7" s="34">
        <f>SUMIF(Inputs!$A$24:$A$143,'Rate Class Load Model'!$A7,Inputs!$P$24:$P$143)</f>
        <v>108.64861111111111</v>
      </c>
      <c r="D7" s="34">
        <f>SUMIF(Inputs!$A$24:$A$143,'Rate Class Load Model'!$A7,Inputs!$S$24:$S$143)</f>
        <v>3074.1600000000003</v>
      </c>
      <c r="E7" s="45">
        <f t="shared" si="0"/>
        <v>292706.82861111104</v>
      </c>
      <c r="J7" s="35"/>
    </row>
    <row r="8" spans="1:10" x14ac:dyDescent="0.2">
      <c r="A8" s="20">
        <f>+'Rate Class Customer Model'!A9</f>
        <v>2020</v>
      </c>
      <c r="B8" s="34">
        <f>SUMIF(Inputs!$A$24:$A$143,'Rate Class Load Model'!$A8,Inputs!$K$24:$K$143)</f>
        <v>290762.68</v>
      </c>
      <c r="C8" s="34">
        <f>SUMIF(Inputs!$A$24:$A$143,'Rate Class Load Model'!$A8,Inputs!$P$24:$P$143)</f>
        <v>103.58055555555556</v>
      </c>
      <c r="D8" s="34">
        <f>SUMIF(Inputs!$A$24:$A$143,'Rate Class Load Model'!$A8,Inputs!$S$24:$S$143)</f>
        <v>3080.420000000001</v>
      </c>
      <c r="E8" s="45">
        <f t="shared" si="0"/>
        <v>293946.6805555555</v>
      </c>
      <c r="J8" s="35"/>
    </row>
    <row r="9" spans="1:10" x14ac:dyDescent="0.2">
      <c r="A9" s="20">
        <f>+'Rate Class Customer Model'!A10</f>
        <v>2021</v>
      </c>
      <c r="B9" s="34">
        <f>SUMIF(Inputs!$A$24:$A$143,'Rate Class Load Model'!$A9,Inputs!$K$24:$K$143)</f>
        <v>285432.01</v>
      </c>
      <c r="C9" s="34">
        <f>SUMIF(Inputs!$A$24:$A$143,'Rate Class Load Model'!$A9,Inputs!$P$24:$P$143)</f>
        <v>102.90555555555558</v>
      </c>
      <c r="D9" s="34">
        <f>SUMIF(Inputs!$A$24:$A$143,'Rate Class Load Model'!$A9,Inputs!$S$24:$S$143)</f>
        <v>3082.3200000000011</v>
      </c>
      <c r="E9" s="45">
        <f t="shared" si="0"/>
        <v>288617.23555555556</v>
      </c>
    </row>
    <row r="10" spans="1:10" x14ac:dyDescent="0.2">
      <c r="A10" s="20">
        <f>+'Rate Class Customer Model'!A11</f>
        <v>2022</v>
      </c>
      <c r="B10" s="34">
        <f>SUMIF(Inputs!$A$24:$A$143,'Rate Class Load Model'!$A10,Inputs!$K$24:$K$143)</f>
        <v>308240.81</v>
      </c>
      <c r="C10" s="34">
        <f>SUMIF(Inputs!$A$24:$A$143,'Rate Class Load Model'!$A10,Inputs!$P$24:$P$143)</f>
        <v>97.047222222222217</v>
      </c>
      <c r="D10" s="34">
        <f>SUMIF(Inputs!$A$24:$A$143,'Rate Class Load Model'!$A10,Inputs!$S$24:$S$143)</f>
        <v>3082.3200000000011</v>
      </c>
      <c r="E10" s="45">
        <f t="shared" si="0"/>
        <v>311420.17722222221</v>
      </c>
    </row>
    <row r="11" spans="1:10" x14ac:dyDescent="0.2">
      <c r="A11" s="20">
        <f>+'Rate Class Customer Model'!A12</f>
        <v>2023</v>
      </c>
      <c r="B11" s="34">
        <f>SUMIF(Inputs!$A$24:$A$143,'Rate Class Load Model'!$A11,Inputs!$K$24:$K$143)</f>
        <v>316960.86</v>
      </c>
      <c r="C11" s="34">
        <f>SUMIF(Inputs!$A$24:$A$143,'Rate Class Load Model'!$A11,Inputs!$P$24:$P$143)</f>
        <v>86.600000000000009</v>
      </c>
      <c r="D11" s="34">
        <f>SUMIF(Inputs!$A$24:$A$143,'Rate Class Load Model'!$A11,Inputs!$S$24:$S$143)</f>
        <v>3082.7400000000007</v>
      </c>
      <c r="E11" s="45">
        <f t="shared" si="0"/>
        <v>320130.19999999995</v>
      </c>
    </row>
    <row r="12" spans="1:10" x14ac:dyDescent="0.2">
      <c r="A12" s="20">
        <f>+'Rate Class Customer Model'!A13</f>
        <v>2024</v>
      </c>
      <c r="B12" s="125">
        <f>B$27*'Rate Class Energy Model'!J31</f>
        <v>292079.00377313059</v>
      </c>
      <c r="C12" s="125">
        <f>C$27*'Rate Class Energy Model'!L31</f>
        <v>81.412435469007775</v>
      </c>
      <c r="D12" s="125">
        <f>D$27*'Rate Class Energy Model'!M31</f>
        <v>2993.6169754839661</v>
      </c>
      <c r="E12" s="45">
        <f t="shared" si="0"/>
        <v>295154.03318408353</v>
      </c>
    </row>
    <row r="13" spans="1:10" x14ac:dyDescent="0.2">
      <c r="A13" s="20">
        <f>+'Rate Class Customer Model'!A14</f>
        <v>2025</v>
      </c>
      <c r="B13" s="125">
        <f>B$27*'Rate Class Energy Model'!J32</f>
        <v>285303.72638385603</v>
      </c>
      <c r="C13" s="125">
        <f>C$27*'Rate Class Energy Model'!L32</f>
        <v>76.535619503410558</v>
      </c>
      <c r="D13" s="125">
        <f>D$27*'Rate Class Energy Model'!M32</f>
        <v>2994.4737750133036</v>
      </c>
      <c r="E13" s="45">
        <f t="shared" si="0"/>
        <v>288374.73577837273</v>
      </c>
    </row>
    <row r="14" spans="1:10" x14ac:dyDescent="0.2">
      <c r="A14" s="12"/>
      <c r="E14" s="31"/>
    </row>
    <row r="15" spans="1:10" x14ac:dyDescent="0.2">
      <c r="A15" s="12" t="s">
        <v>44</v>
      </c>
      <c r="B15" s="4"/>
      <c r="C15" s="4"/>
      <c r="D15" s="4"/>
    </row>
    <row r="16" spans="1:10" x14ac:dyDescent="0.2">
      <c r="A16" s="20">
        <f>+A2</f>
        <v>2014</v>
      </c>
      <c r="B16" s="48">
        <f>B2/'Rate Class Energy Model'!J3</f>
        <v>2.3650077972807992E-3</v>
      </c>
      <c r="C16" s="48">
        <f>C2/'Rate Class Energy Model'!L3</f>
        <v>2.7777777777777779E-3</v>
      </c>
      <c r="D16" s="48">
        <f>D2/'Rate Class Energy Model'!M3</f>
        <v>2.7478069840992658E-3</v>
      </c>
      <c r="J16" s="18"/>
    </row>
    <row r="17" spans="1:10" x14ac:dyDescent="0.2">
      <c r="A17" s="20">
        <f t="shared" ref="A17:A25" si="1">+A3</f>
        <v>2015</v>
      </c>
      <c r="B17" s="48">
        <f>B3/'Rate Class Energy Model'!J4</f>
        <v>2.4054202500975435E-3</v>
      </c>
      <c r="C17" s="48">
        <f>C3/'Rate Class Energy Model'!L4</f>
        <v>2.7777777777777775E-3</v>
      </c>
      <c r="D17" s="48">
        <f>D3/'Rate Class Energy Model'!M4</f>
        <v>2.9177681717984889E-3</v>
      </c>
      <c r="J17" s="18"/>
    </row>
    <row r="18" spans="1:10" x14ac:dyDescent="0.2">
      <c r="A18" s="20">
        <f t="shared" si="1"/>
        <v>2016</v>
      </c>
      <c r="B18" s="48">
        <f>B4/'Rate Class Energy Model'!J5</f>
        <v>2.4331572807867081E-3</v>
      </c>
      <c r="C18" s="48">
        <f>C4/'Rate Class Energy Model'!L5</f>
        <v>2.7777777777777783E-3</v>
      </c>
      <c r="D18" s="48">
        <f>D4/'Rate Class Energy Model'!M5</f>
        <v>2.7229425214385788E-3</v>
      </c>
      <c r="J18" s="18"/>
    </row>
    <row r="19" spans="1:10" x14ac:dyDescent="0.2">
      <c r="A19" s="20">
        <f t="shared" si="1"/>
        <v>2017</v>
      </c>
      <c r="B19" s="48">
        <f>B5/'Rate Class Energy Model'!J6</f>
        <v>2.3983756142886641E-3</v>
      </c>
      <c r="C19" s="48">
        <f>C5/'Rate Class Energy Model'!L6</f>
        <v>2.7777777777777775E-3</v>
      </c>
      <c r="D19" s="48">
        <f>D5/'Rate Class Energy Model'!M6</f>
        <v>2.7688933507861754E-3</v>
      </c>
      <c r="J19" s="18"/>
    </row>
    <row r="20" spans="1:10" x14ac:dyDescent="0.2">
      <c r="A20" s="20">
        <f t="shared" si="1"/>
        <v>2018</v>
      </c>
      <c r="B20" s="48">
        <f>B6/'Rate Class Energy Model'!J7</f>
        <v>2.4184927839844684E-3</v>
      </c>
      <c r="C20" s="48">
        <f>C6/'Rate Class Energy Model'!L7</f>
        <v>2.777777777777777E-3</v>
      </c>
      <c r="D20" s="48">
        <f>D6/'Rate Class Energy Model'!M7</f>
        <v>2.7715296971089665E-3</v>
      </c>
      <c r="J20" s="18"/>
    </row>
    <row r="21" spans="1:10" x14ac:dyDescent="0.2">
      <c r="A21" s="20">
        <f t="shared" si="1"/>
        <v>2019</v>
      </c>
      <c r="B21" s="48">
        <f>B7/'Rate Class Energy Model'!J8</f>
        <v>2.4433352125902926E-3</v>
      </c>
      <c r="C21" s="48">
        <f>C7/'Rate Class Energy Model'!L8</f>
        <v>2.7777777777777779E-3</v>
      </c>
      <c r="D21" s="48">
        <f>D7/'Rate Class Energy Model'!M8</f>
        <v>2.7671253098677001E-3</v>
      </c>
      <c r="J21" s="18"/>
    </row>
    <row r="22" spans="1:10" x14ac:dyDescent="0.2">
      <c r="A22" s="20">
        <f t="shared" si="1"/>
        <v>2020</v>
      </c>
      <c r="B22" s="48">
        <f>B8/'Rate Class Energy Model'!J9</f>
        <v>2.4670200529735833E-3</v>
      </c>
      <c r="C22" s="48">
        <f>C8/'Rate Class Energy Model'!L9</f>
        <v>2.7777777777777779E-3</v>
      </c>
      <c r="D22" s="48">
        <f>D8/'Rate Class Energy Model'!M9</f>
        <v>2.8333126382546238E-3</v>
      </c>
      <c r="J22" s="18"/>
    </row>
    <row r="23" spans="1:10" x14ac:dyDescent="0.2">
      <c r="A23" s="20">
        <f t="shared" si="1"/>
        <v>2021</v>
      </c>
      <c r="B23" s="48">
        <f>B9/'Rate Class Energy Model'!J10</f>
        <v>2.3858847461698308E-3</v>
      </c>
      <c r="C23" s="48">
        <f>C9/'Rate Class Energy Model'!L10</f>
        <v>2.7777777777777783E-3</v>
      </c>
      <c r="D23" s="48">
        <f>D9/'Rate Class Energy Model'!M10</f>
        <v>2.9108230390106128E-3</v>
      </c>
      <c r="J23" s="18"/>
    </row>
    <row r="24" spans="1:10" x14ac:dyDescent="0.2">
      <c r="A24" s="20">
        <f t="shared" si="1"/>
        <v>2022</v>
      </c>
      <c r="B24" s="48">
        <f>B10/'Rate Class Energy Model'!J11</f>
        <v>2.461848437909996E-3</v>
      </c>
      <c r="C24" s="48">
        <f>C10/'Rate Class Energy Model'!L11</f>
        <v>2.7777777777777775E-3</v>
      </c>
      <c r="D24" s="48">
        <f>D10/'Rate Class Energy Model'!M11</f>
        <v>2.9108037970619243E-3</v>
      </c>
      <c r="J24" s="18"/>
    </row>
    <row r="25" spans="1:10" x14ac:dyDescent="0.2">
      <c r="A25" s="20">
        <f t="shared" si="1"/>
        <v>2023</v>
      </c>
      <c r="B25" s="48">
        <f>B11/'Rate Class Energy Model'!J12</f>
        <v>2.5841943792212613E-3</v>
      </c>
      <c r="C25" s="48">
        <f>C11/'Rate Class Energy Model'!L12</f>
        <v>2.7777777777777779E-3</v>
      </c>
      <c r="D25" s="48">
        <f>D11/'Rate Class Energy Model'!M12</f>
        <v>2.9111921784976684E-3</v>
      </c>
      <c r="J25" s="18"/>
    </row>
    <row r="27" spans="1:10" x14ac:dyDescent="0.2">
      <c r="A27" s="38" t="s">
        <v>43</v>
      </c>
      <c r="B27" s="18">
        <f>B29</f>
        <v>2.4362736555303146E-3</v>
      </c>
      <c r="C27" s="18">
        <f>C29</f>
        <v>2.7777777777777775E-3</v>
      </c>
      <c r="D27" s="18">
        <f>D29</f>
        <v>2.8262197687924004E-3</v>
      </c>
    </row>
    <row r="29" spans="1:10" x14ac:dyDescent="0.2">
      <c r="A29" t="s">
        <v>7</v>
      </c>
      <c r="B29" s="18">
        <f>AVERAGE(B16:B25)</f>
        <v>2.4362736555303146E-3</v>
      </c>
      <c r="C29" s="18">
        <f>AVERAGE(C16:C25)</f>
        <v>2.7777777777777775E-3</v>
      </c>
      <c r="D29" s="18">
        <f>AVERAGE(D16:D25)</f>
        <v>2.8262197687924004E-3</v>
      </c>
      <c r="I29" s="18"/>
      <c r="J29" s="18"/>
    </row>
    <row r="34" spans="2:4" x14ac:dyDescent="0.2">
      <c r="B34" s="17"/>
      <c r="C34" s="17"/>
      <c r="D34" s="17"/>
    </row>
    <row r="35" spans="2:4" x14ac:dyDescent="0.2">
      <c r="B35" s="17"/>
      <c r="C35" s="17"/>
      <c r="D35" s="17"/>
    </row>
    <row r="54" spans="2:4" x14ac:dyDescent="0.2">
      <c r="B54" s="11"/>
      <c r="C54" s="11"/>
      <c r="D54" s="11"/>
    </row>
    <row r="55" spans="2:4" x14ac:dyDescent="0.2">
      <c r="B55" s="11"/>
      <c r="C55" s="11"/>
      <c r="D55" s="11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Inputs</vt:lpstr>
      <vt:lpstr>Load Forecast Summary</vt:lpstr>
      <vt:lpstr>Power Purchased Model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'Rate Class Customer Model'!Print_Area</vt:lpstr>
      <vt:lpstr>'Rate Class Load Model'!Print_Area</vt:lpstr>
      <vt:lpstr>'Power Purchased Model'!Print_Titles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2025-02-13T21:39:59Z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