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9783DA96-488A-47F9-B5E6-58A9FCD94CCE}" xr6:coauthVersionLast="47" xr6:coauthVersionMax="47" xr10:uidLastSave="{00000000-0000-0000-0000-000000000000}"/>
  <bookViews>
    <workbookView xWindow="28680" yWindow="-120" windowWidth="29040" windowHeight="17520" tabRatio="857" activeTab="1" xr2:uid="{00000000-000D-0000-FFFF-FFFF00000000}"/>
  </bookViews>
  <sheets>
    <sheet name="Inputs" sheetId="73" r:id="rId1"/>
    <sheet name="Load Forecast Summary" sheetId="11" r:id="rId2"/>
    <sheet name="Power Purchased Model" sheetId="72" r:id="rId3"/>
    <sheet name="Power Purchased Model WN" sheetId="79" r:id="rId4"/>
    <sheet name="Rate Class Energy Model" sheetId="9" r:id="rId5"/>
    <sheet name="Rate Class Customer Model" sheetId="17" r:id="rId6"/>
    <sheet name="Rate Class Load Model" sheetId="18" r:id="rId7"/>
  </sheets>
  <definedNames>
    <definedName name="__CAP1000" localSheetId="2">#REF!</definedName>
    <definedName name="__CAP1000" localSheetId="3">#REF!</definedName>
    <definedName name="__CAP1000">#REF!</definedName>
    <definedName name="__OP1000" localSheetId="2">#REF!</definedName>
    <definedName name="__OP1000" localSheetId="3">#REF!</definedName>
    <definedName name="__OP1000">#REF!</definedName>
    <definedName name="_110" localSheetId="2">#REF!</definedName>
    <definedName name="_110" localSheetId="3">#REF!</definedName>
    <definedName name="_110">#REF!</definedName>
    <definedName name="_110INPT" localSheetId="2">#REF!</definedName>
    <definedName name="_110INPT" localSheetId="3">#REF!</definedName>
    <definedName name="_110INPT">#REF!</definedName>
    <definedName name="_115" localSheetId="2">#REF!</definedName>
    <definedName name="_115" localSheetId="3">#REF!</definedName>
    <definedName name="_115">#REF!</definedName>
    <definedName name="_115INPT" localSheetId="2">#REF!</definedName>
    <definedName name="_115INPT" localSheetId="3">#REF!</definedName>
    <definedName name="_115INPT">#REF!</definedName>
    <definedName name="_120" localSheetId="2">#REF!</definedName>
    <definedName name="_120" localSheetId="3">#REF!</definedName>
    <definedName name="_120">#REF!</definedName>
    <definedName name="_140" localSheetId="2">#REF!</definedName>
    <definedName name="_140" localSheetId="3">#REF!</definedName>
    <definedName name="_140">#REF!</definedName>
    <definedName name="_140INPT" localSheetId="2">#REF!</definedName>
    <definedName name="_140INPT" localSheetId="3">#REF!</definedName>
    <definedName name="_140INPT">#REF!</definedName>
    <definedName name="_CAP1000" localSheetId="2">#REF!</definedName>
    <definedName name="_CAP1000" localSheetId="3">#REF!</definedName>
    <definedName name="_CAP1000">#REF!</definedName>
    <definedName name="_Fill" hidden="1">#REF!</definedName>
    <definedName name="_OP1000" localSheetId="2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hidden="1">#REF!</definedName>
    <definedName name="ALL" localSheetId="2">#REF!</definedName>
    <definedName name="ALL" localSheetId="3">#REF!</definedName>
    <definedName name="ALL">#REF!</definedName>
    <definedName name="ApprovedYr">#REF!</definedName>
    <definedName name="CAfile">#REF!</definedName>
    <definedName name="CAPCOSTS" localSheetId="2">#REF!</definedName>
    <definedName name="CAPCOSTS" localSheetId="3">#REF!</definedName>
    <definedName name="CAPCOSTS">#REF!</definedName>
    <definedName name="CAPITAL" localSheetId="2">#REF!</definedName>
    <definedName name="CAPITAL" localSheetId="3">#REF!</definedName>
    <definedName name="CAPITAL">#REF!</definedName>
    <definedName name="CapitalExpListing" localSheetId="2">#REF!</definedName>
    <definedName name="CapitalExpListing" localSheetId="3">#REF!</definedName>
    <definedName name="CapitalExpListing">#REF!</definedName>
    <definedName name="CArevReq">#REF!</definedName>
    <definedName name="CASENUMBER">#REF!</definedName>
    <definedName name="CASHFLOW" localSheetId="2">#REF!</definedName>
    <definedName name="CASHFLOW" localSheetId="3">#REF!</definedName>
    <definedName name="CASHFLOW">#REF!</definedName>
    <definedName name="cc" localSheetId="2">#REF!</definedName>
    <definedName name="cc" localSheetId="3">#REF!</definedName>
    <definedName name="cc">#REF!</definedName>
    <definedName name="ClassRange1">#REF!</definedName>
    <definedName name="ClassRange2">#REF!</definedName>
    <definedName name="contactf" localSheetId="2">#REF!</definedName>
    <definedName name="contactf" localSheetId="3">#REF!</definedName>
    <definedName name="contactf">#REF!</definedName>
    <definedName name="_xlnm.Criteria" localSheetId="2">#REF!</definedName>
    <definedName name="_xlnm.Criteria" localSheetId="3">#REF!</definedName>
    <definedName name="_xlnm.Criteria">#REF!</definedName>
    <definedName name="CRLF">#REF!</definedName>
    <definedName name="_xlnm.Database" localSheetId="2">#REF!</definedName>
    <definedName name="_xlnm.Database" localSheetId="3">#REF!</definedName>
    <definedName name="_xlnm.Database">#REF!</definedName>
    <definedName name="DaysInPreviousYear">#REF!</definedName>
    <definedName name="DaysInYear">#REF!</definedName>
    <definedName name="DEBTREPAY" localSheetId="2">#REF!</definedName>
    <definedName name="DEBTREPAY" localSheetId="3">#REF!</definedName>
    <definedName name="DEBTREPAY">#REF!</definedName>
    <definedName name="DeptDiv" localSheetId="2">#REF!</definedName>
    <definedName name="DeptDiv" localSheetId="3">#REF!</definedName>
    <definedName name="DeptDiv">#REF!</definedName>
    <definedName name="EBNUMBER">#REF!</definedName>
    <definedName name="ExpenseAccountListing" localSheetId="2">#REF!</definedName>
    <definedName name="ExpenseAccountListing" localSheetId="3">#REF!</definedName>
    <definedName name="ExpenseAccountListing">#REF!</definedName>
    <definedName name="_xlnm.Extract" localSheetId="2">#REF!</definedName>
    <definedName name="_xlnm.Extract" localSheetId="3">#REF!</definedName>
    <definedName name="_xlnm.Extract">#REF!</definedName>
    <definedName name="FakeBlank">#REF!</definedName>
    <definedName name="FolderPath">#REF!</definedName>
    <definedName name="histdate">#REF!</definedName>
    <definedName name="Incr2000" localSheetId="2">#REF!</definedName>
    <definedName name="Incr2000" localSheetId="3">#REF!</definedName>
    <definedName name="Incr2000">#REF!</definedName>
    <definedName name="INTERIM" localSheetId="2">#REF!</definedName>
    <definedName name="INTERIM" localSheetId="3">#REF!</definedName>
    <definedName name="INTERIM">#REF!</definedName>
    <definedName name="LIMIT" localSheetId="2">#REF!</definedName>
    <definedName name="LIMIT" localSheetId="3">#REF!</definedName>
    <definedName name="LIMIT">#REF!</definedName>
    <definedName name="man_beg_bud" localSheetId="2">#REF!</definedName>
    <definedName name="man_beg_bud" localSheetId="3">#REF!</definedName>
    <definedName name="man_beg_bud">#REF!</definedName>
    <definedName name="man_end_bud" localSheetId="2">#REF!</definedName>
    <definedName name="man_end_bud" localSheetId="3">#REF!</definedName>
    <definedName name="man_end_bud">#REF!</definedName>
    <definedName name="man12ACT" localSheetId="2">#REF!</definedName>
    <definedName name="man12ACT" localSheetId="3">#REF!</definedName>
    <definedName name="man12ACT">#REF!</definedName>
    <definedName name="MANBUD" localSheetId="2">#REF!</definedName>
    <definedName name="MANBUD" localSheetId="3">#REF!</definedName>
    <definedName name="MANBUD">#REF!</definedName>
    <definedName name="manCYACT" localSheetId="2">#REF!</definedName>
    <definedName name="manCYACT" localSheetId="3">#REF!</definedName>
    <definedName name="manCYACT">#REF!</definedName>
    <definedName name="manCYBUD" localSheetId="2">#REF!</definedName>
    <definedName name="manCYBUD" localSheetId="3">#REF!</definedName>
    <definedName name="manCYBUD">#REF!</definedName>
    <definedName name="manCYF" localSheetId="2">#REF!</definedName>
    <definedName name="manCYF" localSheetId="3">#REF!</definedName>
    <definedName name="manCYF">#REF!</definedName>
    <definedName name="MANEND" localSheetId="2">#REF!</definedName>
    <definedName name="MANEND" localSheetId="3">#REF!</definedName>
    <definedName name="MANEND">#REF!</definedName>
    <definedName name="manNYbud" localSheetId="2">#REF!</definedName>
    <definedName name="manNYbud" localSheetId="3">#REF!</definedName>
    <definedName name="manNYbud">#REF!</definedName>
    <definedName name="manpower_costs" localSheetId="2">#REF!</definedName>
    <definedName name="manpower_costs" localSheetId="3">#REF!</definedName>
    <definedName name="manpower_costs">#REF!</definedName>
    <definedName name="manPYACT" localSheetId="2">#REF!</definedName>
    <definedName name="manPYACT" localSheetId="3">#REF!</definedName>
    <definedName name="manPYACT">#REF!</definedName>
    <definedName name="MANSTART" localSheetId="2">#REF!</definedName>
    <definedName name="MANSTART" localSheetId="3">#REF!</definedName>
    <definedName name="MANSTART">#REF!</definedName>
    <definedName name="mat_beg_bud" localSheetId="2">#REF!</definedName>
    <definedName name="mat_beg_bud" localSheetId="3">#REF!</definedName>
    <definedName name="mat_beg_bud">#REF!</definedName>
    <definedName name="mat_end_bud" localSheetId="2">#REF!</definedName>
    <definedName name="mat_end_bud" localSheetId="3">#REF!</definedName>
    <definedName name="mat_end_bud">#REF!</definedName>
    <definedName name="mat12ACT" localSheetId="2">#REF!</definedName>
    <definedName name="mat12ACT" localSheetId="3">#REF!</definedName>
    <definedName name="mat12ACT">#REF!</definedName>
    <definedName name="MATBUD" localSheetId="2">#REF!</definedName>
    <definedName name="MATBUD" localSheetId="3">#REF!</definedName>
    <definedName name="MATBUD">#REF!</definedName>
    <definedName name="matCYACT" localSheetId="2">#REF!</definedName>
    <definedName name="matCYACT" localSheetId="3">#REF!</definedName>
    <definedName name="matCYACT">#REF!</definedName>
    <definedName name="matCYBUD" localSheetId="2">#REF!</definedName>
    <definedName name="matCYBUD" localSheetId="3">#REF!</definedName>
    <definedName name="matCYBUD">#REF!</definedName>
    <definedName name="matCYF" localSheetId="2">#REF!</definedName>
    <definedName name="matCYF" localSheetId="3">#REF!</definedName>
    <definedName name="matCYF">#REF!</definedName>
    <definedName name="MATEND" localSheetId="2">#REF!</definedName>
    <definedName name="MATEND" localSheetId="3">#REF!</definedName>
    <definedName name="MATEND">#REF!</definedName>
    <definedName name="material_costs" localSheetId="2">#REF!</definedName>
    <definedName name="material_costs" localSheetId="3">#REF!</definedName>
    <definedName name="material_costs">#REF!</definedName>
    <definedName name="matNYbud" localSheetId="2">#REF!</definedName>
    <definedName name="matNYbud" localSheetId="3">#REF!</definedName>
    <definedName name="matNYbud">#REF!</definedName>
    <definedName name="matPYACT" localSheetId="2">#REF!</definedName>
    <definedName name="matPYACT" localSheetId="3">#REF!</definedName>
    <definedName name="matPYACT">#REF!</definedName>
    <definedName name="MATSTART" localSheetId="2">#REF!</definedName>
    <definedName name="MATSTART" localSheetId="3">#REF!</definedName>
    <definedName name="MATSTART">#REF!</definedName>
    <definedName name="mea" localSheetId="2">#REF!</definedName>
    <definedName name="mea" localSheetId="3">#REF!</definedName>
    <definedName name="mea">#REF!</definedName>
    <definedName name="MEABAL" localSheetId="2">#REF!</definedName>
    <definedName name="MEABAL" localSheetId="3">#REF!</definedName>
    <definedName name="MEABAL">#REF!</definedName>
    <definedName name="MEACASH" localSheetId="2">#REF!</definedName>
    <definedName name="MEACASH" localSheetId="3">#REF!</definedName>
    <definedName name="MEACASH">#REF!</definedName>
    <definedName name="MEAEQITY" localSheetId="2">#REF!</definedName>
    <definedName name="MEAEQITY" localSheetId="3">#REF!</definedName>
    <definedName name="MEAEQITY">#REF!</definedName>
    <definedName name="MEAOP" localSheetId="2">#REF!</definedName>
    <definedName name="MEAOP" localSheetId="3">#REF!</definedName>
    <definedName name="MEAOP">#REF!</definedName>
    <definedName name="MofF" localSheetId="2">#REF!</definedName>
    <definedName name="MofF" localSheetId="3">#REF!</definedName>
    <definedName name="MofF">#REF!</definedName>
    <definedName name="NewRevReq">#REF!</definedName>
    <definedName name="NOTES" localSheetId="2">#REF!</definedName>
    <definedName name="NOTES" localSheetId="3">#REF!</definedName>
    <definedName name="NOTES">#REF!</definedName>
    <definedName name="OPERATING" localSheetId="2">#REF!</definedName>
    <definedName name="OPERATING" localSheetId="3">#REF!</definedName>
    <definedName name="OPERATING">#REF!</definedName>
    <definedName name="oth_beg_bud" localSheetId="2">#REF!</definedName>
    <definedName name="oth_beg_bud" localSheetId="3">#REF!</definedName>
    <definedName name="oth_beg_bud">#REF!</definedName>
    <definedName name="oth_end_bud" localSheetId="2">#REF!</definedName>
    <definedName name="oth_end_bud" localSheetId="3">#REF!</definedName>
    <definedName name="oth_end_bud">#REF!</definedName>
    <definedName name="oth12ACT" localSheetId="2">#REF!</definedName>
    <definedName name="oth12ACT" localSheetId="3">#REF!</definedName>
    <definedName name="oth12ACT">#REF!</definedName>
    <definedName name="othCYACT" localSheetId="2">#REF!</definedName>
    <definedName name="othCYACT" localSheetId="3">#REF!</definedName>
    <definedName name="othCYACT">#REF!</definedName>
    <definedName name="othCYBUD" localSheetId="2">#REF!</definedName>
    <definedName name="othCYBUD" localSheetId="3">#REF!</definedName>
    <definedName name="othCYBUD">#REF!</definedName>
    <definedName name="othCYF" localSheetId="2">#REF!</definedName>
    <definedName name="othCYF" localSheetId="3">#REF!</definedName>
    <definedName name="othCYF">#REF!</definedName>
    <definedName name="OTHEND" localSheetId="2">#REF!</definedName>
    <definedName name="OTHEND" localSheetId="3">#REF!</definedName>
    <definedName name="OTHEND">#REF!</definedName>
    <definedName name="other_costs" localSheetId="2">#REF!</definedName>
    <definedName name="other_costs" localSheetId="3">#REF!</definedName>
    <definedName name="other_costs">#REF!</definedName>
    <definedName name="OTHERBUD" localSheetId="2">#REF!</definedName>
    <definedName name="OTHERBUD" localSheetId="3">#REF!</definedName>
    <definedName name="OTHERBUD">#REF!</definedName>
    <definedName name="othNYbud" localSheetId="2">#REF!</definedName>
    <definedName name="othNYbud" localSheetId="3">#REF!</definedName>
    <definedName name="othNYbud">#REF!</definedName>
    <definedName name="othPYACT" localSheetId="2">#REF!</definedName>
    <definedName name="othPYACT" localSheetId="3">#REF!</definedName>
    <definedName name="othPYACT">#REF!</definedName>
    <definedName name="OTHSTART" localSheetId="2">#REF!</definedName>
    <definedName name="OTHSTART" localSheetId="3">#REF!</definedName>
    <definedName name="OTHSTART">#REF!</definedName>
    <definedName name="PAGE11" localSheetId="2">#REF!</definedName>
    <definedName name="PAGE11" localSheetId="3">#REF!</definedName>
    <definedName name="PAGE11">#REF!</definedName>
    <definedName name="PAGE2">#REF!</definedName>
    <definedName name="PAGE3" localSheetId="2">#REF!</definedName>
    <definedName name="PAGE3" localSheetId="3">#REF!</definedName>
    <definedName name="PAGE3">#REF!</definedName>
    <definedName name="PAGE4" localSheetId="2">#REF!</definedName>
    <definedName name="PAGE4" localSheetId="3">#REF!</definedName>
    <definedName name="PAGE4">#REF!</definedName>
    <definedName name="PAGE7" localSheetId="2">#REF!</definedName>
    <definedName name="PAGE7" localSheetId="3">#REF!</definedName>
    <definedName name="PAGE7">#REF!</definedName>
    <definedName name="PAGE9" localSheetId="2">#REF!</definedName>
    <definedName name="PAGE9" localSheetId="3">#REF!</definedName>
    <definedName name="PAGE9">#REF!</definedName>
    <definedName name="PageOne" localSheetId="2">#REF!</definedName>
    <definedName name="PageOne" localSheetId="3">#REF!</definedName>
    <definedName name="PageOne">#REF!</definedName>
    <definedName name="PR" localSheetId="2">#REF!</definedName>
    <definedName name="PR" localSheetId="3">#REF!</definedName>
    <definedName name="PR">#REF!</definedName>
    <definedName name="_xlnm.Print_Area" localSheetId="1">'Load Forecast Summary'!$A$3:$M$43</definedName>
    <definedName name="_xlnm.Print_Area" localSheetId="2">'Power Purchased Model'!$A$1:$K$168</definedName>
    <definedName name="_xlnm.Print_Area" localSheetId="3">'Power Purchased Model WN'!$A$1:$K$168</definedName>
    <definedName name="_xlnm.Print_Area" localSheetId="5">'Rate Class Customer Model'!$A$1:$I$34</definedName>
    <definedName name="_xlnm.Print_Area" localSheetId="4">'Rate Class Energy Model'!#REF!</definedName>
    <definedName name="_xlnm.Print_Area" localSheetId="6">'Rate Class Load Model'!$A$1:$H$30</definedName>
    <definedName name="Print_Area_MI" localSheetId="2">#REF!</definedName>
    <definedName name="Print_Area_MI" localSheetId="3">#REF!</definedName>
    <definedName name="Print_Area_MI">#REF!</definedName>
    <definedName name="print_end" localSheetId="2">#REF!</definedName>
    <definedName name="print_end" localSheetId="3">#REF!</definedName>
    <definedName name="print_end">#REF!</definedName>
    <definedName name="_xlnm.Print_Titles" localSheetId="2">'Power Purchased Model'!$A:$K,'Power Purchased Model'!$1:$2</definedName>
    <definedName name="_xlnm.Print_Titles" localSheetId="3">'Power Purchased Model WN'!$A:$K,'Power Purchased Model WN'!$1:$2</definedName>
    <definedName name="PRIOR" localSheetId="2">#REF!</definedName>
    <definedName name="PRIOR" localSheetId="3">#REF!</definedName>
    <definedName name="PRIOR">#REF!</definedName>
    <definedName name="Ratebase">#REF!</definedName>
    <definedName name="RebaseYear">#REF!</definedName>
    <definedName name="RevReqLookupKey">#REF!</definedName>
    <definedName name="RevReqRange">#REF!</definedName>
    <definedName name="RVCASHPR" localSheetId="2">#REF!</definedName>
    <definedName name="RVCASHPR" localSheetId="3">#REF!</definedName>
    <definedName name="RVCASHPR">#REF!</definedName>
    <definedName name="SALBENF" localSheetId="2">#REF!</definedName>
    <definedName name="SALBENF" localSheetId="3">#REF!</definedName>
    <definedName name="SALBENF">#REF!</definedName>
    <definedName name="salreg" localSheetId="2">#REF!</definedName>
    <definedName name="salreg" localSheetId="3">#REF!</definedName>
    <definedName name="salreg">#REF!</definedName>
    <definedName name="SALREGF" localSheetId="2">#REF!</definedName>
    <definedName name="SALREGF" localSheetId="3">#REF!</definedName>
    <definedName name="SALREGF">#REF!</definedName>
    <definedName name="SOURCEAPP" localSheetId="2">#REF!</definedName>
    <definedName name="SOURCEAPP" localSheetId="3">#REF!</definedName>
    <definedName name="SOURCEAPP">#REF!</definedName>
    <definedName name="STATS1" localSheetId="2">#REF!</definedName>
    <definedName name="STATS1" localSheetId="3">#REF!</definedName>
    <definedName name="STATS1">#REF!</definedName>
    <definedName name="STATS2" localSheetId="2">#REF!</definedName>
    <definedName name="STATS2" localSheetId="3">#REF!</definedName>
    <definedName name="STATS2">#REF!</definedName>
    <definedName name="Surtax" localSheetId="2">#REF!</definedName>
    <definedName name="Surtax" localSheetId="3">#REF!</definedName>
    <definedName name="Surtax">#REF!</definedName>
    <definedName name="TEMPA" localSheetId="2">#REF!</definedName>
    <definedName name="TEMPA" localSheetId="3">#REF!</definedName>
    <definedName name="TEMPA">#REF!</definedName>
    <definedName name="TEST">#REF!</definedName>
    <definedName name="Test_Year">#REF!</definedName>
    <definedName name="TestYr">#REF!</definedName>
    <definedName name="TestYrPL">#REF!</definedName>
    <definedName name="total_dept" localSheetId="2">#REF!</definedName>
    <definedName name="total_dept" localSheetId="3">#REF!</definedName>
    <definedName name="total_dept">#REF!</definedName>
    <definedName name="total_manpower" localSheetId="2">#REF!</definedName>
    <definedName name="total_manpower" localSheetId="3">#REF!</definedName>
    <definedName name="total_manpower">#REF!</definedName>
    <definedName name="total_material" localSheetId="2">#REF!</definedName>
    <definedName name="total_material" localSheetId="3">#REF!</definedName>
    <definedName name="total_material">#REF!</definedName>
    <definedName name="total_other" localSheetId="2">#REF!</definedName>
    <definedName name="total_other" localSheetId="3">#REF!</definedName>
    <definedName name="total_other">#REF!</definedName>
    <definedName name="total_transportation" localSheetId="2">#REF!</definedName>
    <definedName name="total_transportation" localSheetId="3">#REF!</definedName>
    <definedName name="total_transportation">#REF!</definedName>
    <definedName name="TOTCAPADDITIONS" localSheetId="2">#REF!</definedName>
    <definedName name="TOTCAPADDITIONS" localSheetId="3">#REF!</definedName>
    <definedName name="TOTCAPADDITIONS">#REF!</definedName>
    <definedName name="TRANBUD" localSheetId="2">#REF!</definedName>
    <definedName name="TRANBUD" localSheetId="3">#REF!</definedName>
    <definedName name="TRANBUD">#REF!</definedName>
    <definedName name="TRANEND" localSheetId="2">#REF!</definedName>
    <definedName name="TRANEND" localSheetId="3">#REF!</definedName>
    <definedName name="TRANEND">#REF!</definedName>
    <definedName name="TRANSCAP" localSheetId="2">#REF!</definedName>
    <definedName name="TRANSCAP" localSheetId="3">#REF!</definedName>
    <definedName name="TRANSCAP">#REF!</definedName>
    <definedName name="TRANSFER" localSheetId="2">#REF!</definedName>
    <definedName name="TRANSFER" localSheetId="3">#REF!</definedName>
    <definedName name="TRANSFER">#REF!</definedName>
    <definedName name="transportation_costs" localSheetId="2">#REF!</definedName>
    <definedName name="transportation_costs" localSheetId="3">#REF!</definedName>
    <definedName name="transportation_costs">#REF!</definedName>
    <definedName name="TRANSTART" localSheetId="2">#REF!</definedName>
    <definedName name="TRANSTART" localSheetId="3">#REF!</definedName>
    <definedName name="TRANSTART">#REF!</definedName>
    <definedName name="trn_beg_bud" localSheetId="2">#REF!</definedName>
    <definedName name="trn_beg_bud" localSheetId="3">#REF!</definedName>
    <definedName name="trn_beg_bud">#REF!</definedName>
    <definedName name="trn_end_bud" localSheetId="2">#REF!</definedName>
    <definedName name="trn_end_bud" localSheetId="3">#REF!</definedName>
    <definedName name="trn_end_bud">#REF!</definedName>
    <definedName name="trn12ACT" localSheetId="2">#REF!</definedName>
    <definedName name="trn12ACT" localSheetId="3">#REF!</definedName>
    <definedName name="trn12ACT">#REF!</definedName>
    <definedName name="trnCYACT" localSheetId="2">#REF!</definedName>
    <definedName name="trnCYACT" localSheetId="3">#REF!</definedName>
    <definedName name="trnCYACT">#REF!</definedName>
    <definedName name="trnCYBUD" localSheetId="2">#REF!</definedName>
    <definedName name="trnCYBUD" localSheetId="3">#REF!</definedName>
    <definedName name="trnCYBUD">#REF!</definedName>
    <definedName name="trnCYF" localSheetId="2">#REF!</definedName>
    <definedName name="trnCYF" localSheetId="3">#REF!</definedName>
    <definedName name="trnCYF">#REF!</definedName>
    <definedName name="trnNYbud" localSheetId="2">#REF!</definedName>
    <definedName name="trnNYbud" localSheetId="3">#REF!</definedName>
    <definedName name="trnNYbud">#REF!</definedName>
    <definedName name="trnPYACT" localSheetId="2">#REF!</definedName>
    <definedName name="trnPYACT" localSheetId="3">#REF!</definedName>
    <definedName name="trnPYACT">#REF!</definedName>
    <definedName name="Utility">#REF!</definedName>
    <definedName name="utitliy1">#REF!</definedName>
    <definedName name="Variable1">#REF!</definedName>
    <definedName name="WAGBENF" localSheetId="2">#REF!</definedName>
    <definedName name="WAGBENF" localSheetId="3">#REF!</definedName>
    <definedName name="WAGBENF">#REF!</definedName>
    <definedName name="wagdob" localSheetId="2">#REF!</definedName>
    <definedName name="wagdob" localSheetId="3">#REF!</definedName>
    <definedName name="wagdob">#REF!</definedName>
    <definedName name="wagdobf" localSheetId="2">#REF!</definedName>
    <definedName name="wagdobf" localSheetId="3">#REF!</definedName>
    <definedName name="wagdobf">#REF!</definedName>
    <definedName name="wagreg" localSheetId="2">#REF!</definedName>
    <definedName name="wagreg" localSheetId="3">#REF!</definedName>
    <definedName name="wagreg">#REF!</definedName>
    <definedName name="wagregf" localSheetId="2">#REF!</definedName>
    <definedName name="wagregf" localSheetId="3">#REF!</definedName>
    <definedName name="wagreg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7" l="1"/>
  <c r="C33" i="17"/>
  <c r="D33" i="17"/>
  <c r="E33" i="17"/>
  <c r="F33" i="17"/>
  <c r="G33" i="17"/>
  <c r="L153" i="79"/>
  <c r="L154" i="79"/>
  <c r="L155" i="79"/>
  <c r="L156" i="79"/>
  <c r="L157" i="79"/>
  <c r="L158" i="79"/>
  <c r="L159" i="79"/>
  <c r="L160" i="79"/>
  <c r="L161" i="79"/>
  <c r="L162" i="79"/>
  <c r="L152" i="79"/>
  <c r="J153" i="79"/>
  <c r="J154" i="79"/>
  <c r="J155" i="79"/>
  <c r="J156" i="79"/>
  <c r="J157" i="79"/>
  <c r="J158" i="79"/>
  <c r="J159" i="79"/>
  <c r="J160" i="79"/>
  <c r="J161" i="79"/>
  <c r="J162" i="79"/>
  <c r="J152" i="79"/>
  <c r="C16" i="79"/>
  <c r="C28" i="79" s="1"/>
  <c r="C17" i="79"/>
  <c r="C18" i="79"/>
  <c r="C19" i="79"/>
  <c r="C20" i="79"/>
  <c r="C21" i="79"/>
  <c r="C22" i="79"/>
  <c r="C23" i="79"/>
  <c r="I23" i="79" s="1"/>
  <c r="J23" i="79" s="1"/>
  <c r="C24" i="79"/>
  <c r="C25" i="79"/>
  <c r="C26" i="79"/>
  <c r="C27" i="79"/>
  <c r="C39" i="79" s="1"/>
  <c r="I39" i="79" s="1"/>
  <c r="J39" i="79" s="1"/>
  <c r="C29" i="79"/>
  <c r="C41" i="79" s="1"/>
  <c r="C53" i="79" s="1"/>
  <c r="C65" i="79" s="1"/>
  <c r="C77" i="79" s="1"/>
  <c r="C30" i="79"/>
  <c r="C42" i="79" s="1"/>
  <c r="C54" i="79" s="1"/>
  <c r="C66" i="79" s="1"/>
  <c r="C78" i="79" s="1"/>
  <c r="C90" i="79" s="1"/>
  <c r="C31" i="79"/>
  <c r="C43" i="79" s="1"/>
  <c r="C55" i="79" s="1"/>
  <c r="C67" i="79" s="1"/>
  <c r="C79" i="79" s="1"/>
  <c r="C91" i="79" s="1"/>
  <c r="C32" i="79"/>
  <c r="C44" i="79" s="1"/>
  <c r="C56" i="79" s="1"/>
  <c r="C33" i="79"/>
  <c r="C34" i="79"/>
  <c r="C46" i="79" s="1"/>
  <c r="C58" i="79" s="1"/>
  <c r="C70" i="79" s="1"/>
  <c r="C82" i="79" s="1"/>
  <c r="C94" i="79" s="1"/>
  <c r="C35" i="79"/>
  <c r="C47" i="79" s="1"/>
  <c r="C36" i="79"/>
  <c r="C48" i="79" s="1"/>
  <c r="C60" i="79" s="1"/>
  <c r="C72" i="79" s="1"/>
  <c r="C84" i="79" s="1"/>
  <c r="C96" i="79" s="1"/>
  <c r="C108" i="79" s="1"/>
  <c r="C120" i="79" s="1"/>
  <c r="C132" i="79" s="1"/>
  <c r="C144" i="79" s="1"/>
  <c r="C37" i="79"/>
  <c r="C49" i="79" s="1"/>
  <c r="C61" i="79" s="1"/>
  <c r="C73" i="79" s="1"/>
  <c r="C38" i="79"/>
  <c r="C50" i="79" s="1"/>
  <c r="C62" i="79" s="1"/>
  <c r="C74" i="79" s="1"/>
  <c r="C15" i="79"/>
  <c r="C4" i="79"/>
  <c r="C5" i="79"/>
  <c r="C6" i="79"/>
  <c r="C7" i="79"/>
  <c r="C8" i="79"/>
  <c r="C9" i="79"/>
  <c r="C10" i="79"/>
  <c r="C11" i="79"/>
  <c r="C12" i="79"/>
  <c r="C13" i="79"/>
  <c r="C14" i="79"/>
  <c r="I3" i="79"/>
  <c r="I13" i="79"/>
  <c r="C3" i="79"/>
  <c r="G134" i="79"/>
  <c r="B134" i="79"/>
  <c r="G133" i="79"/>
  <c r="B133" i="79"/>
  <c r="G132" i="79"/>
  <c r="B132" i="79"/>
  <c r="G131" i="79"/>
  <c r="B131" i="79"/>
  <c r="G130" i="79"/>
  <c r="B130" i="79"/>
  <c r="G129" i="79"/>
  <c r="B129" i="79"/>
  <c r="G128" i="79"/>
  <c r="B128" i="79"/>
  <c r="G127" i="79"/>
  <c r="B127" i="79"/>
  <c r="G126" i="79"/>
  <c r="B126" i="79"/>
  <c r="G125" i="79"/>
  <c r="B125" i="79"/>
  <c r="G124" i="79"/>
  <c r="B124" i="79"/>
  <c r="G123" i="79"/>
  <c r="B123" i="79"/>
  <c r="G122" i="79"/>
  <c r="B122" i="79"/>
  <c r="G121" i="79"/>
  <c r="B121" i="79"/>
  <c r="G120" i="79"/>
  <c r="B120" i="79"/>
  <c r="G119" i="79"/>
  <c r="B119" i="79"/>
  <c r="G118" i="79"/>
  <c r="B118" i="79"/>
  <c r="G117" i="79"/>
  <c r="B117" i="79"/>
  <c r="G116" i="79"/>
  <c r="B116" i="79"/>
  <c r="G115" i="79"/>
  <c r="B115" i="79"/>
  <c r="G114" i="79"/>
  <c r="B114" i="79"/>
  <c r="G113" i="79"/>
  <c r="B113" i="79"/>
  <c r="G112" i="79"/>
  <c r="B112" i="79"/>
  <c r="G111" i="79"/>
  <c r="B111" i="79"/>
  <c r="G110" i="79"/>
  <c r="B110" i="79"/>
  <c r="G109" i="79"/>
  <c r="B109" i="79"/>
  <c r="G108" i="79"/>
  <c r="B108" i="79"/>
  <c r="G107" i="79"/>
  <c r="B107" i="79"/>
  <c r="G106" i="79"/>
  <c r="B106" i="79"/>
  <c r="G105" i="79"/>
  <c r="B105" i="79"/>
  <c r="G104" i="79"/>
  <c r="B104" i="79"/>
  <c r="G103" i="79"/>
  <c r="B103" i="79"/>
  <c r="G102" i="79"/>
  <c r="B102" i="79"/>
  <c r="G101" i="79"/>
  <c r="B101" i="79"/>
  <c r="G100" i="79"/>
  <c r="B100" i="79"/>
  <c r="G99" i="79"/>
  <c r="B99" i="79"/>
  <c r="G98" i="79"/>
  <c r="B98" i="79"/>
  <c r="G97" i="79"/>
  <c r="B97" i="79"/>
  <c r="G96" i="79"/>
  <c r="B96" i="79"/>
  <c r="G95" i="79"/>
  <c r="B95" i="79"/>
  <c r="G94" i="79"/>
  <c r="B94" i="79"/>
  <c r="G93" i="79"/>
  <c r="B93" i="79"/>
  <c r="G92" i="79"/>
  <c r="B92" i="79"/>
  <c r="G91" i="79"/>
  <c r="B91" i="79"/>
  <c r="G90" i="79"/>
  <c r="B90" i="79"/>
  <c r="G89" i="79"/>
  <c r="B89" i="79"/>
  <c r="G88" i="79"/>
  <c r="B88" i="79"/>
  <c r="G87" i="79"/>
  <c r="B87" i="79"/>
  <c r="G86" i="79"/>
  <c r="B86" i="79"/>
  <c r="G85" i="79"/>
  <c r="B85" i="79"/>
  <c r="G84" i="79"/>
  <c r="B84" i="79"/>
  <c r="G83" i="79"/>
  <c r="B83" i="79"/>
  <c r="G82" i="79"/>
  <c r="B82" i="79"/>
  <c r="G81" i="79"/>
  <c r="B81" i="79"/>
  <c r="G80" i="79"/>
  <c r="B80" i="79"/>
  <c r="G79" i="79"/>
  <c r="B79" i="79"/>
  <c r="G78" i="79"/>
  <c r="B78" i="79"/>
  <c r="G77" i="79"/>
  <c r="B77" i="79"/>
  <c r="G76" i="79"/>
  <c r="B76" i="79"/>
  <c r="G75" i="79"/>
  <c r="B75" i="79"/>
  <c r="G74" i="79"/>
  <c r="B74" i="79"/>
  <c r="G73" i="79"/>
  <c r="B73" i="79"/>
  <c r="G72" i="79"/>
  <c r="B72" i="79"/>
  <c r="G71" i="79"/>
  <c r="B71" i="79"/>
  <c r="G70" i="79"/>
  <c r="B70" i="79"/>
  <c r="G69" i="79"/>
  <c r="B69" i="79"/>
  <c r="G68" i="79"/>
  <c r="B68" i="79"/>
  <c r="G67" i="79"/>
  <c r="B67" i="79"/>
  <c r="G66" i="79"/>
  <c r="B66" i="79"/>
  <c r="G65" i="79"/>
  <c r="B65" i="79"/>
  <c r="B157" i="79" s="1"/>
  <c r="G64" i="79"/>
  <c r="B64" i="79"/>
  <c r="G63" i="79"/>
  <c r="B63" i="79"/>
  <c r="G62" i="79"/>
  <c r="B62" i="79"/>
  <c r="G61" i="79"/>
  <c r="B61" i="79"/>
  <c r="G60" i="79"/>
  <c r="B60" i="79"/>
  <c r="G59" i="79"/>
  <c r="B59" i="79"/>
  <c r="G58" i="79"/>
  <c r="B58" i="79"/>
  <c r="G57" i="79"/>
  <c r="B57" i="79"/>
  <c r="G56" i="79"/>
  <c r="B56" i="79"/>
  <c r="G55" i="79"/>
  <c r="B55" i="79"/>
  <c r="B156" i="79" s="1"/>
  <c r="G54" i="79"/>
  <c r="B54" i="79"/>
  <c r="G53" i="79"/>
  <c r="B53" i="79"/>
  <c r="G52" i="79"/>
  <c r="B52" i="79"/>
  <c r="G51" i="79"/>
  <c r="B51" i="79"/>
  <c r="G50" i="79"/>
  <c r="B50" i="79"/>
  <c r="G49" i="79"/>
  <c r="B49" i="79"/>
  <c r="G48" i="79"/>
  <c r="B48" i="79"/>
  <c r="G47" i="79"/>
  <c r="B47" i="79"/>
  <c r="G46" i="79"/>
  <c r="B46" i="79"/>
  <c r="G45" i="79"/>
  <c r="B45" i="79"/>
  <c r="G44" i="79"/>
  <c r="B44" i="79"/>
  <c r="G43" i="79"/>
  <c r="B43" i="79"/>
  <c r="G42" i="79"/>
  <c r="B42" i="79"/>
  <c r="G41" i="79"/>
  <c r="B41" i="79"/>
  <c r="G40" i="79"/>
  <c r="B40" i="79"/>
  <c r="G39" i="79"/>
  <c r="B39" i="79"/>
  <c r="G38" i="79"/>
  <c r="B38" i="79"/>
  <c r="G37" i="79"/>
  <c r="B37" i="79"/>
  <c r="G36" i="79"/>
  <c r="B36" i="79"/>
  <c r="G35" i="79"/>
  <c r="B35" i="79"/>
  <c r="G34" i="79"/>
  <c r="B34" i="79"/>
  <c r="G33" i="79"/>
  <c r="B33" i="79"/>
  <c r="G32" i="79"/>
  <c r="B32" i="79"/>
  <c r="G31" i="79"/>
  <c r="B31" i="79"/>
  <c r="G30" i="79"/>
  <c r="B30" i="79"/>
  <c r="G29" i="79"/>
  <c r="B29" i="79"/>
  <c r="G28" i="79"/>
  <c r="B28" i="79"/>
  <c r="G27" i="79"/>
  <c r="I27" i="79" s="1"/>
  <c r="B27" i="79"/>
  <c r="G26" i="79"/>
  <c r="I26" i="79" s="1"/>
  <c r="B26" i="79"/>
  <c r="G25" i="79"/>
  <c r="B25" i="79"/>
  <c r="G24" i="79"/>
  <c r="B24" i="79"/>
  <c r="G23" i="79"/>
  <c r="B23" i="79"/>
  <c r="G22" i="79"/>
  <c r="I22" i="79" s="1"/>
  <c r="J22" i="79" s="1"/>
  <c r="B22" i="79"/>
  <c r="G21" i="79"/>
  <c r="I21" i="79" s="1"/>
  <c r="J21" i="79" s="1"/>
  <c r="B21" i="79"/>
  <c r="G20" i="79"/>
  <c r="I20" i="79" s="1"/>
  <c r="B20" i="79"/>
  <c r="G19" i="79"/>
  <c r="I19" i="79" s="1"/>
  <c r="B19" i="79"/>
  <c r="G18" i="79"/>
  <c r="I18" i="79" s="1"/>
  <c r="J18" i="79" s="1"/>
  <c r="B18" i="79"/>
  <c r="G17" i="79"/>
  <c r="I17" i="79" s="1"/>
  <c r="J17" i="79" s="1"/>
  <c r="B17" i="79"/>
  <c r="G16" i="79"/>
  <c r="B16" i="79"/>
  <c r="G15" i="79"/>
  <c r="I15" i="79" s="1"/>
  <c r="J15" i="79" s="1"/>
  <c r="B15" i="79"/>
  <c r="G14" i="79"/>
  <c r="I14" i="79" s="1"/>
  <c r="J14" i="79" s="1"/>
  <c r="B14" i="79"/>
  <c r="G13" i="79"/>
  <c r="B13" i="79"/>
  <c r="G12" i="79"/>
  <c r="I12" i="79" s="1"/>
  <c r="B12" i="79"/>
  <c r="G11" i="79"/>
  <c r="I11" i="79" s="1"/>
  <c r="J11" i="79" s="1"/>
  <c r="B11" i="79"/>
  <c r="G10" i="79"/>
  <c r="B10" i="79"/>
  <c r="G9" i="79"/>
  <c r="B9" i="79"/>
  <c r="G8" i="79"/>
  <c r="B8" i="79"/>
  <c r="G7" i="79"/>
  <c r="B7" i="79"/>
  <c r="G6" i="79"/>
  <c r="B6" i="79"/>
  <c r="G5" i="79"/>
  <c r="B5" i="79"/>
  <c r="B152" i="79" s="1"/>
  <c r="G4" i="79"/>
  <c r="B4" i="79"/>
  <c r="G3" i="79"/>
  <c r="B3" i="79"/>
  <c r="C86" i="79" l="1"/>
  <c r="C98" i="79" s="1"/>
  <c r="C110" i="79" s="1"/>
  <c r="C122" i="79" s="1"/>
  <c r="C134" i="79" s="1"/>
  <c r="C146" i="79" s="1"/>
  <c r="I74" i="79"/>
  <c r="J74" i="79" s="1"/>
  <c r="C85" i="79"/>
  <c r="C97" i="79" s="1"/>
  <c r="I73" i="79"/>
  <c r="J73" i="79" s="1"/>
  <c r="I47" i="79"/>
  <c r="J47" i="79" s="1"/>
  <c r="C59" i="79"/>
  <c r="C106" i="79"/>
  <c r="C118" i="79" s="1"/>
  <c r="C130" i="79" s="1"/>
  <c r="C142" i="79" s="1"/>
  <c r="I94" i="79"/>
  <c r="J94" i="79" s="1"/>
  <c r="M94" i="79" s="1"/>
  <c r="C68" i="79"/>
  <c r="I56" i="79"/>
  <c r="J56" i="79" s="1"/>
  <c r="N56" i="79" s="1"/>
  <c r="O56" i="79" s="1"/>
  <c r="C103" i="79"/>
  <c r="I91" i="79"/>
  <c r="J91" i="79" s="1"/>
  <c r="M91" i="79" s="1"/>
  <c r="I90" i="79"/>
  <c r="J90" i="79" s="1"/>
  <c r="C102" i="79"/>
  <c r="C114" i="79" s="1"/>
  <c r="C89" i="79"/>
  <c r="C101" i="79" s="1"/>
  <c r="I77" i="79"/>
  <c r="J77" i="79" s="1"/>
  <c r="M77" i="79" s="1"/>
  <c r="C40" i="79"/>
  <c r="I28" i="79"/>
  <c r="J28" i="79" s="1"/>
  <c r="M28" i="79" s="1"/>
  <c r="I110" i="79"/>
  <c r="I120" i="79"/>
  <c r="I82" i="79"/>
  <c r="I33" i="79"/>
  <c r="J33" i="79" s="1"/>
  <c r="K33" i="79" s="1"/>
  <c r="L33" i="79" s="1"/>
  <c r="C45" i="79"/>
  <c r="C57" i="79" s="1"/>
  <c r="C69" i="79" s="1"/>
  <c r="I132" i="79"/>
  <c r="J132" i="79" s="1"/>
  <c r="I35" i="79"/>
  <c r="J35" i="79" s="1"/>
  <c r="K35" i="79" s="1"/>
  <c r="L35" i="79" s="1"/>
  <c r="I44" i="79"/>
  <c r="J44" i="79" s="1"/>
  <c r="I122" i="79"/>
  <c r="J122" i="79" s="1"/>
  <c r="K122" i="79" s="1"/>
  <c r="L122" i="79" s="1"/>
  <c r="I36" i="79"/>
  <c r="J36" i="79" s="1"/>
  <c r="K36" i="79" s="1"/>
  <c r="L36" i="79" s="1"/>
  <c r="I45" i="79"/>
  <c r="J45" i="79" s="1"/>
  <c r="N45" i="79" s="1"/>
  <c r="O45" i="79" s="1"/>
  <c r="I55" i="79"/>
  <c r="J55" i="79" s="1"/>
  <c r="I84" i="79"/>
  <c r="J84" i="79" s="1"/>
  <c r="I16" i="79"/>
  <c r="J16" i="79" s="1"/>
  <c r="I46" i="79"/>
  <c r="J46" i="79" s="1"/>
  <c r="I65" i="79"/>
  <c r="J65" i="79" s="1"/>
  <c r="I85" i="79"/>
  <c r="J85" i="79" s="1"/>
  <c r="I134" i="79"/>
  <c r="I37" i="79"/>
  <c r="J37" i="79" s="1"/>
  <c r="I75" i="79"/>
  <c r="I66" i="79"/>
  <c r="J66" i="79" s="1"/>
  <c r="I86" i="79"/>
  <c r="J86" i="79" s="1"/>
  <c r="I57" i="79"/>
  <c r="J57" i="79" s="1"/>
  <c r="I29" i="79"/>
  <c r="J29" i="79" s="1"/>
  <c r="K29" i="79" s="1"/>
  <c r="L29" i="79" s="1"/>
  <c r="I38" i="79"/>
  <c r="J38" i="79" s="1"/>
  <c r="N39" i="79" s="1"/>
  <c r="O39" i="79" s="1"/>
  <c r="I67" i="79"/>
  <c r="J67" i="79" s="1"/>
  <c r="K67" i="79" s="1"/>
  <c r="L67" i="79" s="1"/>
  <c r="I87" i="79"/>
  <c r="I48" i="79"/>
  <c r="J48" i="79" s="1"/>
  <c r="I58" i="79"/>
  <c r="J58" i="79" s="1"/>
  <c r="K58" i="79" s="1"/>
  <c r="L58" i="79" s="1"/>
  <c r="I96" i="79"/>
  <c r="J96" i="79" s="1"/>
  <c r="C51" i="79"/>
  <c r="C63" i="79" s="1"/>
  <c r="C75" i="79" s="1"/>
  <c r="C87" i="79" s="1"/>
  <c r="C99" i="79" s="1"/>
  <c r="C111" i="79" s="1"/>
  <c r="I30" i="79"/>
  <c r="J30" i="79" s="1"/>
  <c r="N30" i="79" s="1"/>
  <c r="O30" i="79" s="1"/>
  <c r="I49" i="79"/>
  <c r="I78" i="79"/>
  <c r="J78" i="79" s="1"/>
  <c r="I50" i="79"/>
  <c r="J50" i="79" s="1"/>
  <c r="I31" i="79"/>
  <c r="J31" i="79" s="1"/>
  <c r="I60" i="79"/>
  <c r="J60" i="79" s="1"/>
  <c r="I79" i="79"/>
  <c r="J79" i="79" s="1"/>
  <c r="I32" i="79"/>
  <c r="I51" i="79"/>
  <c r="J51" i="79" s="1"/>
  <c r="I70" i="79"/>
  <c r="J70" i="79" s="1"/>
  <c r="I41" i="79"/>
  <c r="I61" i="79"/>
  <c r="J61" i="79" s="1"/>
  <c r="I24" i="79"/>
  <c r="J24" i="79" s="1"/>
  <c r="I42" i="79"/>
  <c r="J42" i="79" s="1"/>
  <c r="I62" i="79"/>
  <c r="J62" i="79" s="1"/>
  <c r="I98" i="79"/>
  <c r="I53" i="79"/>
  <c r="J53" i="79" s="1"/>
  <c r="I72" i="79"/>
  <c r="J72" i="79" s="1"/>
  <c r="M72" i="79" s="1"/>
  <c r="I108" i="79"/>
  <c r="J108" i="79" s="1"/>
  <c r="M108" i="79" s="1"/>
  <c r="I25" i="79"/>
  <c r="I153" i="79" s="1"/>
  <c r="I34" i="79"/>
  <c r="J34" i="79" s="1"/>
  <c r="K34" i="79" s="1"/>
  <c r="L34" i="79" s="1"/>
  <c r="I43" i="79"/>
  <c r="J43" i="79" s="1"/>
  <c r="K43" i="79" s="1"/>
  <c r="L43" i="79" s="1"/>
  <c r="I63" i="79"/>
  <c r="I99" i="79"/>
  <c r="I54" i="79"/>
  <c r="J54" i="79" s="1"/>
  <c r="I118" i="79"/>
  <c r="J118" i="79" s="1"/>
  <c r="I7" i="79"/>
  <c r="J7" i="79" s="1"/>
  <c r="M7" i="79" s="1"/>
  <c r="I9" i="79"/>
  <c r="J9" i="79" s="1"/>
  <c r="I10" i="79"/>
  <c r="J10" i="79" s="1"/>
  <c r="N10" i="79" s="1"/>
  <c r="O10" i="79" s="1"/>
  <c r="I4" i="79"/>
  <c r="J4" i="79" s="1"/>
  <c r="K4" i="79" s="1"/>
  <c r="L4" i="79" s="1"/>
  <c r="I5" i="79"/>
  <c r="J5" i="79" s="1"/>
  <c r="N5" i="79" s="1"/>
  <c r="O5" i="79" s="1"/>
  <c r="I6" i="79"/>
  <c r="J6" i="79" s="1"/>
  <c r="K6" i="79" s="1"/>
  <c r="L6" i="79" s="1"/>
  <c r="I8" i="79"/>
  <c r="I152" i="79" s="1"/>
  <c r="M90" i="79"/>
  <c r="K90" i="79"/>
  <c r="L90" i="79" s="1"/>
  <c r="N15" i="79"/>
  <c r="O15" i="79" s="1"/>
  <c r="M15" i="79"/>
  <c r="K15" i="79"/>
  <c r="L15" i="79" s="1"/>
  <c r="M11" i="79"/>
  <c r="K11" i="79"/>
  <c r="L11" i="79" s="1"/>
  <c r="N24" i="79"/>
  <c r="O24" i="79" s="1"/>
  <c r="M24" i="79"/>
  <c r="K24" i="79"/>
  <c r="L24" i="79" s="1"/>
  <c r="M58" i="79"/>
  <c r="N29" i="79"/>
  <c r="O29" i="79" s="1"/>
  <c r="M29" i="79"/>
  <c r="J98" i="79"/>
  <c r="K14" i="79"/>
  <c r="L14" i="79" s="1"/>
  <c r="M14" i="79"/>
  <c r="N61" i="79"/>
  <c r="O61" i="79" s="1"/>
  <c r="M61" i="79"/>
  <c r="K61" i="79"/>
  <c r="L61" i="79" s="1"/>
  <c r="J32" i="79"/>
  <c r="N62" i="79"/>
  <c r="O62" i="79" s="1"/>
  <c r="M62" i="79"/>
  <c r="K62" i="79"/>
  <c r="L62" i="79" s="1"/>
  <c r="M79" i="79"/>
  <c r="K79" i="79"/>
  <c r="L79" i="79" s="1"/>
  <c r="J27" i="79"/>
  <c r="K118" i="79"/>
  <c r="L118" i="79" s="1"/>
  <c r="K31" i="79"/>
  <c r="L31" i="79" s="1"/>
  <c r="M70" i="79"/>
  <c r="K70" i="79"/>
  <c r="L70" i="79" s="1"/>
  <c r="M50" i="79"/>
  <c r="K50" i="79"/>
  <c r="L50" i="79" s="1"/>
  <c r="M122" i="79"/>
  <c r="N22" i="79"/>
  <c r="O22" i="79" s="1"/>
  <c r="K22" i="79"/>
  <c r="L22" i="79" s="1"/>
  <c r="M22" i="79"/>
  <c r="M43" i="79"/>
  <c r="J75" i="79"/>
  <c r="N43" i="79"/>
  <c r="O43" i="79" s="1"/>
  <c r="M67" i="79"/>
  <c r="K85" i="79"/>
  <c r="L85" i="79" s="1"/>
  <c r="M85" i="79"/>
  <c r="M132" i="79"/>
  <c r="K132" i="79"/>
  <c r="L132" i="79" s="1"/>
  <c r="M16" i="79"/>
  <c r="K16" i="79"/>
  <c r="L16" i="79" s="1"/>
  <c r="N16" i="79"/>
  <c r="O16" i="79" s="1"/>
  <c r="N17" i="79"/>
  <c r="O17" i="79" s="1"/>
  <c r="M17" i="79"/>
  <c r="K17" i="79"/>
  <c r="L17" i="79" s="1"/>
  <c r="N47" i="79"/>
  <c r="O47" i="79" s="1"/>
  <c r="M47" i="79"/>
  <c r="K47" i="79"/>
  <c r="L47" i="79" s="1"/>
  <c r="N18" i="79"/>
  <c r="O18" i="79" s="1"/>
  <c r="M18" i="79"/>
  <c r="K18" i="79"/>
  <c r="L18" i="79" s="1"/>
  <c r="J134" i="79"/>
  <c r="J19" i="79"/>
  <c r="J20" i="79"/>
  <c r="B155" i="79"/>
  <c r="J41" i="79"/>
  <c r="M73" i="79"/>
  <c r="K73" i="79"/>
  <c r="L73" i="79" s="1"/>
  <c r="B165" i="79"/>
  <c r="M21" i="79"/>
  <c r="K21" i="79"/>
  <c r="L21" i="79" s="1"/>
  <c r="K74" i="79"/>
  <c r="L74" i="79" s="1"/>
  <c r="J25" i="79"/>
  <c r="M33" i="79"/>
  <c r="J82" i="79"/>
  <c r="K91" i="79"/>
  <c r="L91" i="79" s="1"/>
  <c r="N91" i="79"/>
  <c r="O91" i="79" s="1"/>
  <c r="K30" i="79"/>
  <c r="L30" i="79" s="1"/>
  <c r="N46" i="79"/>
  <c r="O46" i="79" s="1"/>
  <c r="M46" i="79"/>
  <c r="K46" i="79"/>
  <c r="L46" i="79" s="1"/>
  <c r="B162" i="79"/>
  <c r="B161" i="79"/>
  <c r="N86" i="79"/>
  <c r="O86" i="79" s="1"/>
  <c r="M86" i="79"/>
  <c r="K86" i="79"/>
  <c r="L86" i="79" s="1"/>
  <c r="B160" i="79"/>
  <c r="B159" i="79"/>
  <c r="M74" i="79"/>
  <c r="J12" i="79"/>
  <c r="B158" i="79"/>
  <c r="K96" i="79"/>
  <c r="L96" i="79" s="1"/>
  <c r="M96" i="79"/>
  <c r="N34" i="79"/>
  <c r="O34" i="79" s="1"/>
  <c r="M34" i="79"/>
  <c r="M30" i="79"/>
  <c r="M42" i="79"/>
  <c r="K42" i="79"/>
  <c r="L42" i="79" s="1"/>
  <c r="N51" i="79"/>
  <c r="O51" i="79" s="1"/>
  <c r="M51" i="79"/>
  <c r="K51" i="79"/>
  <c r="L51" i="79" s="1"/>
  <c r="M39" i="79"/>
  <c r="K39" i="79"/>
  <c r="L39" i="79" s="1"/>
  <c r="J49" i="79"/>
  <c r="J120" i="79"/>
  <c r="J13" i="79"/>
  <c r="N14" i="79" s="1"/>
  <c r="O14" i="79" s="1"/>
  <c r="J26" i="79"/>
  <c r="J3" i="79"/>
  <c r="M23" i="79"/>
  <c r="K23" i="79"/>
  <c r="L23" i="79" s="1"/>
  <c r="N23" i="79"/>
  <c r="O23" i="79" s="1"/>
  <c r="B154" i="79"/>
  <c r="J110" i="79"/>
  <c r="B153" i="79"/>
  <c r="N78" i="79" l="1"/>
  <c r="O78" i="79" s="1"/>
  <c r="M78" i="79"/>
  <c r="K78" i="79"/>
  <c r="L78" i="79" s="1"/>
  <c r="N73" i="79"/>
  <c r="O73" i="79" s="1"/>
  <c r="I40" i="79"/>
  <c r="C52" i="79"/>
  <c r="N58" i="79"/>
  <c r="O58" i="79" s="1"/>
  <c r="C113" i="79"/>
  <c r="I101" i="79"/>
  <c r="J101" i="79" s="1"/>
  <c r="M53" i="79"/>
  <c r="I114" i="79"/>
  <c r="J114" i="79" s="1"/>
  <c r="C126" i="79"/>
  <c r="K72" i="79"/>
  <c r="L72" i="79" s="1"/>
  <c r="M118" i="79"/>
  <c r="C115" i="79"/>
  <c r="I103" i="79"/>
  <c r="J103" i="79" s="1"/>
  <c r="N37" i="79"/>
  <c r="O37" i="79" s="1"/>
  <c r="K54" i="79"/>
  <c r="L54" i="79" s="1"/>
  <c r="M54" i="79"/>
  <c r="N54" i="79"/>
  <c r="O54" i="79" s="1"/>
  <c r="C80" i="79"/>
  <c r="I68" i="79"/>
  <c r="J68" i="79" s="1"/>
  <c r="K53" i="79"/>
  <c r="L53" i="79" s="1"/>
  <c r="K57" i="79"/>
  <c r="L57" i="79" s="1"/>
  <c r="M57" i="79"/>
  <c r="N57" i="79"/>
  <c r="O57" i="79" s="1"/>
  <c r="M45" i="79"/>
  <c r="K56" i="79"/>
  <c r="L56" i="79" s="1"/>
  <c r="M38" i="79"/>
  <c r="J99" i="79"/>
  <c r="K45" i="79"/>
  <c r="L45" i="79" s="1"/>
  <c r="M56" i="79"/>
  <c r="K38" i="79"/>
  <c r="L38" i="79" s="1"/>
  <c r="K28" i="79"/>
  <c r="L28" i="79" s="1"/>
  <c r="M35" i="79"/>
  <c r="J87" i="79"/>
  <c r="M87" i="79" s="1"/>
  <c r="N38" i="79"/>
  <c r="O38" i="79" s="1"/>
  <c r="I69" i="79"/>
  <c r="J69" i="79" s="1"/>
  <c r="C81" i="79"/>
  <c r="J63" i="79"/>
  <c r="M63" i="79" s="1"/>
  <c r="N35" i="79"/>
  <c r="O35" i="79" s="1"/>
  <c r="M60" i="79"/>
  <c r="K60" i="79"/>
  <c r="L60" i="79" s="1"/>
  <c r="N31" i="79"/>
  <c r="O31" i="79" s="1"/>
  <c r="M31" i="79"/>
  <c r="K37" i="79"/>
  <c r="L37" i="79" s="1"/>
  <c r="M37" i="79"/>
  <c r="K77" i="79"/>
  <c r="L77" i="79" s="1"/>
  <c r="N79" i="79"/>
  <c r="O79" i="79" s="1"/>
  <c r="M84" i="79"/>
  <c r="K84" i="79"/>
  <c r="L84" i="79" s="1"/>
  <c r="N85" i="79"/>
  <c r="O85" i="79" s="1"/>
  <c r="N55" i="79"/>
  <c r="O55" i="79" s="1"/>
  <c r="M55" i="79"/>
  <c r="K55" i="79"/>
  <c r="L55" i="79" s="1"/>
  <c r="N36" i="79"/>
  <c r="O36" i="79" s="1"/>
  <c r="M36" i="79"/>
  <c r="K108" i="79"/>
  <c r="L108" i="79" s="1"/>
  <c r="I89" i="79"/>
  <c r="J89" i="79" s="1"/>
  <c r="K94" i="79"/>
  <c r="L94" i="79" s="1"/>
  <c r="I102" i="79"/>
  <c r="J102" i="79" s="1"/>
  <c r="I154" i="79"/>
  <c r="I59" i="79"/>
  <c r="J59" i="79" s="1"/>
  <c r="C71" i="79"/>
  <c r="N33" i="79"/>
  <c r="O33" i="79" s="1"/>
  <c r="C123" i="79"/>
  <c r="I111" i="79"/>
  <c r="C109" i="79"/>
  <c r="I97" i="79"/>
  <c r="J97" i="79" s="1"/>
  <c r="I106" i="79"/>
  <c r="J106" i="79" s="1"/>
  <c r="I130" i="79"/>
  <c r="J130" i="79" s="1"/>
  <c r="N74" i="79"/>
  <c r="O74" i="79" s="1"/>
  <c r="K7" i="79"/>
  <c r="L7" i="79" s="1"/>
  <c r="M6" i="79"/>
  <c r="N11" i="79"/>
  <c r="O11" i="79" s="1"/>
  <c r="N6" i="79"/>
  <c r="O6" i="79" s="1"/>
  <c r="M4" i="79"/>
  <c r="N4" i="79"/>
  <c r="O4" i="79" s="1"/>
  <c r="M5" i="79"/>
  <c r="N7" i="79"/>
  <c r="O7" i="79" s="1"/>
  <c r="K5" i="79"/>
  <c r="L5" i="79" s="1"/>
  <c r="M10" i="79"/>
  <c r="K10" i="79"/>
  <c r="L10" i="79" s="1"/>
  <c r="J8" i="79"/>
  <c r="K8" i="79" s="1"/>
  <c r="L8" i="79" s="1"/>
  <c r="K98" i="79"/>
  <c r="L98" i="79" s="1"/>
  <c r="M98" i="79"/>
  <c r="N75" i="79"/>
  <c r="O75" i="79" s="1"/>
  <c r="M75" i="79"/>
  <c r="K75" i="79"/>
  <c r="L75" i="79" s="1"/>
  <c r="K82" i="79"/>
  <c r="L82" i="79" s="1"/>
  <c r="M82" i="79"/>
  <c r="M66" i="79"/>
  <c r="K66" i="79"/>
  <c r="L66" i="79" s="1"/>
  <c r="N66" i="79"/>
  <c r="O66" i="79" s="1"/>
  <c r="K49" i="79"/>
  <c r="L49" i="79" s="1"/>
  <c r="M49" i="79"/>
  <c r="N49" i="79"/>
  <c r="O49" i="79" s="1"/>
  <c r="M41" i="79"/>
  <c r="K41" i="79"/>
  <c r="L41" i="79" s="1"/>
  <c r="N42" i="79"/>
  <c r="O42" i="79" s="1"/>
  <c r="N27" i="79"/>
  <c r="O27" i="79" s="1"/>
  <c r="M27" i="79"/>
  <c r="K27" i="79"/>
  <c r="L27" i="79" s="1"/>
  <c r="N28" i="79"/>
  <c r="O28" i="79" s="1"/>
  <c r="M99" i="79"/>
  <c r="K99" i="79"/>
  <c r="L99" i="79" s="1"/>
  <c r="N99" i="79"/>
  <c r="O99" i="79" s="1"/>
  <c r="K65" i="79"/>
  <c r="L65" i="79" s="1"/>
  <c r="M65" i="79"/>
  <c r="M44" i="79"/>
  <c r="K44" i="79"/>
  <c r="L44" i="79" s="1"/>
  <c r="N44" i="79"/>
  <c r="O44" i="79" s="1"/>
  <c r="N67" i="79"/>
  <c r="O67" i="79" s="1"/>
  <c r="M110" i="79"/>
  <c r="K110" i="79"/>
  <c r="L110" i="79" s="1"/>
  <c r="K3" i="79"/>
  <c r="L3" i="79" s="1"/>
  <c r="M3" i="79"/>
  <c r="K102" i="79"/>
  <c r="L102" i="79" s="1"/>
  <c r="M102" i="79"/>
  <c r="N102" i="79"/>
  <c r="O102" i="79" s="1"/>
  <c r="K32" i="79"/>
  <c r="L32" i="79" s="1"/>
  <c r="N32" i="79"/>
  <c r="O32" i="79" s="1"/>
  <c r="M32" i="79"/>
  <c r="N13" i="79"/>
  <c r="O13" i="79" s="1"/>
  <c r="M13" i="79"/>
  <c r="K13" i="79"/>
  <c r="L13" i="79" s="1"/>
  <c r="K120" i="79"/>
  <c r="L120" i="79" s="1"/>
  <c r="M120" i="79"/>
  <c r="M12" i="79"/>
  <c r="K12" i="79"/>
  <c r="L12" i="79" s="1"/>
  <c r="N12" i="79"/>
  <c r="O12" i="79" s="1"/>
  <c r="K25" i="79"/>
  <c r="L25" i="79" s="1"/>
  <c r="N25" i="79"/>
  <c r="O25" i="79" s="1"/>
  <c r="M25" i="79"/>
  <c r="K48" i="79"/>
  <c r="L48" i="79" s="1"/>
  <c r="N48" i="79"/>
  <c r="O48" i="79" s="1"/>
  <c r="M48" i="79"/>
  <c r="N50" i="79"/>
  <c r="O50" i="79" s="1"/>
  <c r="K9" i="79"/>
  <c r="L9" i="79" s="1"/>
  <c r="M9" i="79"/>
  <c r="M20" i="79"/>
  <c r="K20" i="79"/>
  <c r="L20" i="79" s="1"/>
  <c r="N20" i="79"/>
  <c r="O20" i="79" s="1"/>
  <c r="K26" i="79"/>
  <c r="L26" i="79" s="1"/>
  <c r="N26" i="79"/>
  <c r="O26" i="79" s="1"/>
  <c r="M26" i="79"/>
  <c r="N103" i="79"/>
  <c r="O103" i="79" s="1"/>
  <c r="N21" i="79"/>
  <c r="O21" i="79" s="1"/>
  <c r="N19" i="79"/>
  <c r="O19" i="79" s="1"/>
  <c r="M19" i="79"/>
  <c r="K19" i="79"/>
  <c r="L19" i="79" s="1"/>
  <c r="M134" i="79"/>
  <c r="K134" i="79"/>
  <c r="L134" i="79" s="1"/>
  <c r="M89" i="79" l="1"/>
  <c r="K89" i="79"/>
  <c r="L89" i="79" s="1"/>
  <c r="N90" i="79"/>
  <c r="O90" i="79" s="1"/>
  <c r="M69" i="79"/>
  <c r="K69" i="79"/>
  <c r="L69" i="79" s="1"/>
  <c r="N69" i="79"/>
  <c r="O69" i="79" s="1"/>
  <c r="N70" i="79"/>
  <c r="O70" i="79" s="1"/>
  <c r="K103" i="79"/>
  <c r="L103" i="79" s="1"/>
  <c r="M103" i="79"/>
  <c r="C127" i="79"/>
  <c r="I115" i="79"/>
  <c r="J115" i="79" s="1"/>
  <c r="K87" i="79"/>
  <c r="L87" i="79" s="1"/>
  <c r="N87" i="79"/>
  <c r="O87" i="79" s="1"/>
  <c r="C138" i="79"/>
  <c r="I126" i="79"/>
  <c r="J126" i="79" s="1"/>
  <c r="N114" i="79"/>
  <c r="O114" i="79" s="1"/>
  <c r="M114" i="79"/>
  <c r="K114" i="79"/>
  <c r="L114" i="79" s="1"/>
  <c r="K130" i="79"/>
  <c r="L130" i="79" s="1"/>
  <c r="M130" i="79"/>
  <c r="M101" i="79"/>
  <c r="K101" i="79"/>
  <c r="L101" i="79" s="1"/>
  <c r="K106" i="79"/>
  <c r="L106" i="79" s="1"/>
  <c r="M106" i="79"/>
  <c r="C125" i="79"/>
  <c r="I113" i="79"/>
  <c r="J113" i="79" s="1"/>
  <c r="M97" i="79"/>
  <c r="N97" i="79"/>
  <c r="O97" i="79" s="1"/>
  <c r="K97" i="79"/>
  <c r="L97" i="79" s="1"/>
  <c r="C121" i="79"/>
  <c r="I109" i="79"/>
  <c r="J109" i="79" s="1"/>
  <c r="N63" i="79"/>
  <c r="O63" i="79" s="1"/>
  <c r="J111" i="79"/>
  <c r="C64" i="79"/>
  <c r="I52" i="79"/>
  <c r="K63" i="79"/>
  <c r="L63" i="79" s="1"/>
  <c r="C135" i="79"/>
  <c r="I123" i="79"/>
  <c r="J40" i="79"/>
  <c r="I155" i="79"/>
  <c r="N98" i="79"/>
  <c r="O98" i="79" s="1"/>
  <c r="C83" i="79"/>
  <c r="I71" i="79"/>
  <c r="J71" i="79" s="1"/>
  <c r="K59" i="79"/>
  <c r="L59" i="79" s="1"/>
  <c r="N59" i="79"/>
  <c r="O59" i="79" s="1"/>
  <c r="M59" i="79"/>
  <c r="N60" i="79"/>
  <c r="O60" i="79" s="1"/>
  <c r="K68" i="79"/>
  <c r="L68" i="79" s="1"/>
  <c r="N68" i="79"/>
  <c r="O68" i="79" s="1"/>
  <c r="M68" i="79"/>
  <c r="I80" i="79"/>
  <c r="J80" i="79" s="1"/>
  <c r="C92" i="79"/>
  <c r="I81" i="79"/>
  <c r="J81" i="79" s="1"/>
  <c r="C93" i="79"/>
  <c r="N8" i="79"/>
  <c r="O8" i="79" s="1"/>
  <c r="N9" i="79"/>
  <c r="O9" i="79" s="1"/>
  <c r="M8" i="79"/>
  <c r="J123" i="79" l="1"/>
  <c r="J52" i="79"/>
  <c r="I156" i="79"/>
  <c r="C76" i="79"/>
  <c r="I64" i="79"/>
  <c r="C105" i="79"/>
  <c r="I93" i="79"/>
  <c r="J93" i="79" s="1"/>
  <c r="K111" i="79"/>
  <c r="L111" i="79" s="1"/>
  <c r="N111" i="79"/>
  <c r="O111" i="79" s="1"/>
  <c r="M111" i="79"/>
  <c r="K81" i="79"/>
  <c r="L81" i="79" s="1"/>
  <c r="N81" i="79"/>
  <c r="O81" i="79" s="1"/>
  <c r="M81" i="79"/>
  <c r="N82" i="79"/>
  <c r="O82" i="79" s="1"/>
  <c r="C104" i="79"/>
  <c r="I92" i="79"/>
  <c r="J92" i="79" s="1"/>
  <c r="K109" i="79"/>
  <c r="L109" i="79" s="1"/>
  <c r="N109" i="79"/>
  <c r="O109" i="79" s="1"/>
  <c r="M109" i="79"/>
  <c r="N110" i="79"/>
  <c r="O110" i="79" s="1"/>
  <c r="C133" i="79"/>
  <c r="I121" i="79"/>
  <c r="J121" i="79" s="1"/>
  <c r="K115" i="79"/>
  <c r="L115" i="79" s="1"/>
  <c r="M115" i="79"/>
  <c r="N115" i="79"/>
  <c r="O115" i="79" s="1"/>
  <c r="C139" i="79"/>
  <c r="I127" i="79"/>
  <c r="J127" i="79" s="1"/>
  <c r="M113" i="79"/>
  <c r="K113" i="79"/>
  <c r="L113" i="79" s="1"/>
  <c r="C137" i="79"/>
  <c r="I125" i="79"/>
  <c r="J125" i="79" s="1"/>
  <c r="M71" i="79"/>
  <c r="K71" i="79"/>
  <c r="L71" i="79" s="1"/>
  <c r="N72" i="79"/>
  <c r="O72" i="79" s="1"/>
  <c r="N71" i="79"/>
  <c r="O71" i="79" s="1"/>
  <c r="C95" i="79"/>
  <c r="I83" i="79"/>
  <c r="J83" i="79" s="1"/>
  <c r="N40" i="79"/>
  <c r="O40" i="79" s="1"/>
  <c r="K40" i="79"/>
  <c r="L40" i="79" s="1"/>
  <c r="M40" i="79"/>
  <c r="N41" i="79"/>
  <c r="O41" i="79" s="1"/>
  <c r="K126" i="79"/>
  <c r="L126" i="79" s="1"/>
  <c r="M126" i="79"/>
  <c r="K80" i="79"/>
  <c r="L80" i="79" s="1"/>
  <c r="M80" i="79"/>
  <c r="N80" i="79"/>
  <c r="O80" i="79" s="1"/>
  <c r="C116" i="79" l="1"/>
  <c r="I104" i="79"/>
  <c r="J104" i="79" s="1"/>
  <c r="M125" i="79"/>
  <c r="K125" i="79"/>
  <c r="L125" i="79" s="1"/>
  <c r="N127" i="79"/>
  <c r="O127" i="79" s="1"/>
  <c r="M127" i="79"/>
  <c r="K127" i="79"/>
  <c r="L127" i="79" s="1"/>
  <c r="C117" i="79"/>
  <c r="I105" i="79"/>
  <c r="J105" i="79" s="1"/>
  <c r="C88" i="79"/>
  <c r="I76" i="79"/>
  <c r="N52" i="79"/>
  <c r="O52" i="79" s="1"/>
  <c r="M52" i="79"/>
  <c r="K52" i="79"/>
  <c r="L52" i="79" s="1"/>
  <c r="N53" i="79"/>
  <c r="O53" i="79" s="1"/>
  <c r="M121" i="79"/>
  <c r="K121" i="79"/>
  <c r="L121" i="79" s="1"/>
  <c r="N122" i="79"/>
  <c r="O122" i="79" s="1"/>
  <c r="N121" i="79"/>
  <c r="O121" i="79" s="1"/>
  <c r="M83" i="79"/>
  <c r="K83" i="79"/>
  <c r="L83" i="79" s="1"/>
  <c r="N83" i="79"/>
  <c r="O83" i="79" s="1"/>
  <c r="N84" i="79"/>
  <c r="O84" i="79" s="1"/>
  <c r="C107" i="79"/>
  <c r="I95" i="79"/>
  <c r="J95" i="79" s="1"/>
  <c r="J64" i="79"/>
  <c r="I157" i="79"/>
  <c r="N126" i="79"/>
  <c r="O126" i="79" s="1"/>
  <c r="C145" i="79"/>
  <c r="I133" i="79"/>
  <c r="J133" i="79" s="1"/>
  <c r="K123" i="79"/>
  <c r="L123" i="79" s="1"/>
  <c r="N123" i="79"/>
  <c r="O123" i="79" s="1"/>
  <c r="M123" i="79"/>
  <c r="N92" i="79"/>
  <c r="O92" i="79" s="1"/>
  <c r="M92" i="79"/>
  <c r="K92" i="79"/>
  <c r="L92" i="79" s="1"/>
  <c r="K93" i="79"/>
  <c r="L93" i="79" s="1"/>
  <c r="M93" i="79"/>
  <c r="N93" i="79"/>
  <c r="O93" i="79" s="1"/>
  <c r="N94" i="79"/>
  <c r="O94" i="79" s="1"/>
  <c r="J76" i="79" l="1"/>
  <c r="I158" i="79"/>
  <c r="I88" i="79"/>
  <c r="C100" i="79"/>
  <c r="N105" i="79"/>
  <c r="O105" i="79" s="1"/>
  <c r="M105" i="79"/>
  <c r="K105" i="79"/>
  <c r="L105" i="79" s="1"/>
  <c r="N106" i="79"/>
  <c r="O106" i="79" s="1"/>
  <c r="N133" i="79"/>
  <c r="O133" i="79" s="1"/>
  <c r="K133" i="79"/>
  <c r="L133" i="79" s="1"/>
  <c r="M133" i="79"/>
  <c r="N134" i="79"/>
  <c r="O134" i="79" s="1"/>
  <c r="C129" i="79"/>
  <c r="I117" i="79"/>
  <c r="J117" i="79" s="1"/>
  <c r="K64" i="79"/>
  <c r="L64" i="79" s="1"/>
  <c r="M64" i="79"/>
  <c r="N64" i="79"/>
  <c r="O64" i="79" s="1"/>
  <c r="N65" i="79"/>
  <c r="O65" i="79" s="1"/>
  <c r="K95" i="79"/>
  <c r="L95" i="79" s="1"/>
  <c r="N95" i="79"/>
  <c r="O95" i="79" s="1"/>
  <c r="M95" i="79"/>
  <c r="N96" i="79"/>
  <c r="O96" i="79" s="1"/>
  <c r="I107" i="79"/>
  <c r="J107" i="79" s="1"/>
  <c r="C119" i="79"/>
  <c r="M104" i="79"/>
  <c r="N104" i="79"/>
  <c r="O104" i="79" s="1"/>
  <c r="K104" i="79"/>
  <c r="L104" i="79" s="1"/>
  <c r="C128" i="79"/>
  <c r="I116" i="79"/>
  <c r="J116" i="79" s="1"/>
  <c r="M117" i="79" l="1"/>
  <c r="K117" i="79"/>
  <c r="L117" i="79" s="1"/>
  <c r="N117" i="79"/>
  <c r="O117" i="79" s="1"/>
  <c r="N118" i="79"/>
  <c r="O118" i="79" s="1"/>
  <c r="C141" i="79"/>
  <c r="I129" i="79"/>
  <c r="J129" i="79" s="1"/>
  <c r="M116" i="79"/>
  <c r="K116" i="79"/>
  <c r="L116" i="79" s="1"/>
  <c r="N116" i="79"/>
  <c r="O116" i="79" s="1"/>
  <c r="C140" i="79"/>
  <c r="I128" i="79"/>
  <c r="J128" i="79" s="1"/>
  <c r="C131" i="79"/>
  <c r="I119" i="79"/>
  <c r="J119" i="79" s="1"/>
  <c r="N107" i="79"/>
  <c r="O107" i="79" s="1"/>
  <c r="M107" i="79"/>
  <c r="K107" i="79"/>
  <c r="L107" i="79" s="1"/>
  <c r="N108" i="79"/>
  <c r="O108" i="79" s="1"/>
  <c r="C112" i="79"/>
  <c r="I100" i="79"/>
  <c r="J88" i="79"/>
  <c r="I159" i="79"/>
  <c r="K76" i="79"/>
  <c r="L76" i="79" s="1"/>
  <c r="M76" i="79"/>
  <c r="N76" i="79"/>
  <c r="O76" i="79" s="1"/>
  <c r="N77" i="79"/>
  <c r="O77" i="79" s="1"/>
  <c r="K88" i="79" l="1"/>
  <c r="L88" i="79" s="1"/>
  <c r="M88" i="79"/>
  <c r="N88" i="79"/>
  <c r="O88" i="79" s="1"/>
  <c r="N89" i="79"/>
  <c r="O89" i="79" s="1"/>
  <c r="J100" i="79"/>
  <c r="I160" i="79"/>
  <c r="C124" i="79"/>
  <c r="I112" i="79"/>
  <c r="K119" i="79"/>
  <c r="L119" i="79" s="1"/>
  <c r="N119" i="79"/>
  <c r="O119" i="79" s="1"/>
  <c r="M119" i="79"/>
  <c r="N120" i="79"/>
  <c r="O120" i="79" s="1"/>
  <c r="C143" i="79"/>
  <c r="I131" i="79"/>
  <c r="J131" i="79" s="1"/>
  <c r="K128" i="79"/>
  <c r="L128" i="79" s="1"/>
  <c r="M128" i="79"/>
  <c r="N128" i="79"/>
  <c r="O128" i="79" s="1"/>
  <c r="M129" i="79"/>
  <c r="N129" i="79"/>
  <c r="O129" i="79" s="1"/>
  <c r="K129" i="79"/>
  <c r="L129" i="79" s="1"/>
  <c r="N130" i="79"/>
  <c r="O130" i="79" s="1"/>
  <c r="N132" i="79" l="1"/>
  <c r="O132" i="79" s="1"/>
  <c r="M131" i="79"/>
  <c r="K131" i="79"/>
  <c r="L131" i="79" s="1"/>
  <c r="N131" i="79"/>
  <c r="O131" i="79" s="1"/>
  <c r="J112" i="79"/>
  <c r="I161" i="79"/>
  <c r="C136" i="79"/>
  <c r="I124" i="79"/>
  <c r="N100" i="79"/>
  <c r="O100" i="79" s="1"/>
  <c r="M100" i="79"/>
  <c r="K100" i="79"/>
  <c r="L100" i="79" s="1"/>
  <c r="N101" i="79"/>
  <c r="O101" i="79" s="1"/>
  <c r="J124" i="79" l="1"/>
  <c r="I162" i="79"/>
  <c r="I165" i="79" s="1"/>
  <c r="J165" i="79" s="1"/>
  <c r="M112" i="79"/>
  <c r="N112" i="79"/>
  <c r="O112" i="79" s="1"/>
  <c r="K112" i="79"/>
  <c r="L112" i="79" s="1"/>
  <c r="N113" i="79"/>
  <c r="O113" i="79" s="1"/>
  <c r="L135" i="79" l="1"/>
  <c r="R26" i="79" s="1"/>
  <c r="O135" i="79"/>
  <c r="R28" i="79" s="1"/>
  <c r="M124" i="79"/>
  <c r="M135" i="79" s="1"/>
  <c r="R29" i="79" s="1"/>
  <c r="K124" i="79"/>
  <c r="L124" i="79" s="1"/>
  <c r="N124" i="79"/>
  <c r="O124" i="79" s="1"/>
  <c r="N125" i="79"/>
  <c r="O125" i="79" s="1"/>
  <c r="R31" i="79" l="1"/>
  <c r="I4" i="72" l="1"/>
  <c r="I5" i="72"/>
  <c r="I6" i="72"/>
  <c r="I7" i="72"/>
  <c r="I8" i="72"/>
  <c r="I9" i="72"/>
  <c r="I10" i="72"/>
  <c r="I11" i="72"/>
  <c r="I12" i="72"/>
  <c r="I13" i="72"/>
  <c r="I14" i="72"/>
  <c r="I15" i="72"/>
  <c r="I16" i="72"/>
  <c r="I17" i="72"/>
  <c r="I18" i="72"/>
  <c r="I19" i="72"/>
  <c r="I20" i="72"/>
  <c r="I21" i="72"/>
  <c r="I22" i="72"/>
  <c r="I23" i="72"/>
  <c r="I24" i="72"/>
  <c r="I25" i="72"/>
  <c r="I26" i="72"/>
  <c r="I27" i="72"/>
  <c r="I28" i="72"/>
  <c r="I29" i="72"/>
  <c r="I30" i="72"/>
  <c r="I31" i="72"/>
  <c r="I32" i="72"/>
  <c r="I33" i="72"/>
  <c r="I34" i="72"/>
  <c r="I35" i="72"/>
  <c r="I36" i="72"/>
  <c r="I37" i="72"/>
  <c r="I38" i="72"/>
  <c r="I39" i="72"/>
  <c r="I40" i="72"/>
  <c r="I41" i="72"/>
  <c r="I42" i="72"/>
  <c r="I43" i="72"/>
  <c r="I44" i="72"/>
  <c r="I45" i="72"/>
  <c r="I46" i="72"/>
  <c r="I47" i="72"/>
  <c r="I48" i="72"/>
  <c r="I49" i="72"/>
  <c r="I50" i="72"/>
  <c r="I51" i="72"/>
  <c r="I52" i="72"/>
  <c r="I53" i="72"/>
  <c r="I54" i="72"/>
  <c r="I55" i="72"/>
  <c r="I56" i="72"/>
  <c r="I57" i="72"/>
  <c r="I58" i="72"/>
  <c r="I59" i="72"/>
  <c r="I60" i="72"/>
  <c r="I61" i="72"/>
  <c r="I62" i="72"/>
  <c r="I63" i="72"/>
  <c r="I64" i="72"/>
  <c r="I65" i="72"/>
  <c r="I66" i="72"/>
  <c r="I67" i="72"/>
  <c r="I68" i="72"/>
  <c r="I69" i="72"/>
  <c r="I70" i="72"/>
  <c r="I71" i="72"/>
  <c r="I72" i="72"/>
  <c r="I73" i="72"/>
  <c r="I74" i="72"/>
  <c r="I75" i="72"/>
  <c r="I76" i="72"/>
  <c r="I77" i="72"/>
  <c r="I78" i="72"/>
  <c r="I79" i="72"/>
  <c r="I80" i="72"/>
  <c r="I81" i="72"/>
  <c r="I82" i="72"/>
  <c r="I83" i="72"/>
  <c r="I84" i="72"/>
  <c r="I85" i="72"/>
  <c r="I86" i="72"/>
  <c r="I87" i="72"/>
  <c r="I88" i="72"/>
  <c r="I89" i="72"/>
  <c r="I90" i="72"/>
  <c r="I91" i="72"/>
  <c r="I92" i="72"/>
  <c r="I93" i="72"/>
  <c r="I94" i="72"/>
  <c r="I95" i="72"/>
  <c r="I96" i="72"/>
  <c r="I97" i="72"/>
  <c r="I98" i="72"/>
  <c r="I99" i="72"/>
  <c r="I100" i="72"/>
  <c r="I101" i="72"/>
  <c r="I102" i="72"/>
  <c r="I103" i="72"/>
  <c r="I104" i="72"/>
  <c r="I105" i="72"/>
  <c r="I106" i="72"/>
  <c r="I107" i="72"/>
  <c r="I108" i="72"/>
  <c r="I109" i="72"/>
  <c r="I110" i="72"/>
  <c r="I111" i="72"/>
  <c r="I112" i="72"/>
  <c r="I113" i="72"/>
  <c r="I114" i="72"/>
  <c r="I115" i="72"/>
  <c r="I116" i="72"/>
  <c r="I117" i="72"/>
  <c r="I118" i="72"/>
  <c r="I119" i="72"/>
  <c r="I120" i="72"/>
  <c r="I121" i="72"/>
  <c r="I122" i="72"/>
  <c r="I123" i="72"/>
  <c r="I124" i="72"/>
  <c r="I125" i="72"/>
  <c r="I126" i="72"/>
  <c r="I127" i="72"/>
  <c r="I128" i="72"/>
  <c r="I129" i="72"/>
  <c r="I130" i="72"/>
  <c r="I131" i="72"/>
  <c r="I132" i="72"/>
  <c r="I133" i="72"/>
  <c r="I134" i="72"/>
  <c r="I3" i="72"/>
  <c r="M3" i="17" l="1"/>
  <c r="O4" i="17" s="1"/>
  <c r="G4" i="72"/>
  <c r="G5" i="72"/>
  <c r="G6" i="72"/>
  <c r="G7" i="72"/>
  <c r="G8" i="72"/>
  <c r="G9" i="72"/>
  <c r="G10" i="72"/>
  <c r="G11" i="72"/>
  <c r="G12" i="72"/>
  <c r="G13" i="72"/>
  <c r="G14" i="72"/>
  <c r="G15" i="72"/>
  <c r="G16" i="72"/>
  <c r="G17" i="72"/>
  <c r="G18" i="72"/>
  <c r="G19" i="72"/>
  <c r="G20" i="72"/>
  <c r="G21" i="72"/>
  <c r="G22" i="72"/>
  <c r="G23" i="72"/>
  <c r="G24" i="72"/>
  <c r="G25" i="72"/>
  <c r="G26" i="72"/>
  <c r="G27" i="72"/>
  <c r="G28" i="72"/>
  <c r="G29" i="72"/>
  <c r="G30" i="72"/>
  <c r="G31" i="72"/>
  <c r="G32" i="72"/>
  <c r="G33" i="72"/>
  <c r="G34" i="72"/>
  <c r="G35" i="72"/>
  <c r="G36" i="72"/>
  <c r="G37" i="72"/>
  <c r="G38" i="72"/>
  <c r="G39" i="72"/>
  <c r="G40" i="72"/>
  <c r="G41" i="72"/>
  <c r="G42" i="72"/>
  <c r="G43" i="72"/>
  <c r="G44" i="72"/>
  <c r="G45" i="72"/>
  <c r="G46" i="72"/>
  <c r="G47" i="72"/>
  <c r="G48" i="72"/>
  <c r="G49" i="72"/>
  <c r="G50" i="72"/>
  <c r="G51" i="72"/>
  <c r="G52" i="72"/>
  <c r="G53" i="72"/>
  <c r="G54" i="72"/>
  <c r="G55" i="72"/>
  <c r="G56" i="72"/>
  <c r="G57" i="72"/>
  <c r="G58" i="72"/>
  <c r="G59" i="72"/>
  <c r="G60" i="72"/>
  <c r="G61" i="72"/>
  <c r="G62" i="72"/>
  <c r="G63" i="72"/>
  <c r="G64" i="72"/>
  <c r="G65" i="72"/>
  <c r="G66" i="72"/>
  <c r="G67" i="72"/>
  <c r="G68" i="72"/>
  <c r="G69" i="72"/>
  <c r="G70" i="72"/>
  <c r="G71" i="72"/>
  <c r="G72" i="72"/>
  <c r="G73" i="72"/>
  <c r="G74" i="72"/>
  <c r="G75" i="72"/>
  <c r="G76" i="72"/>
  <c r="G77" i="72"/>
  <c r="G78" i="72"/>
  <c r="G79" i="72"/>
  <c r="G80" i="72"/>
  <c r="G81" i="72"/>
  <c r="G82" i="72"/>
  <c r="G83" i="72"/>
  <c r="G84" i="72"/>
  <c r="G85" i="72"/>
  <c r="G86" i="72"/>
  <c r="G87" i="72"/>
  <c r="G88" i="72"/>
  <c r="G89" i="72"/>
  <c r="G90" i="72"/>
  <c r="G91" i="72"/>
  <c r="G92" i="72"/>
  <c r="G93" i="72"/>
  <c r="G94" i="72"/>
  <c r="G95" i="72"/>
  <c r="G96" i="72"/>
  <c r="G97" i="72"/>
  <c r="G98" i="72"/>
  <c r="G99" i="72"/>
  <c r="G100" i="72"/>
  <c r="G101" i="72"/>
  <c r="G102" i="72"/>
  <c r="G103" i="72"/>
  <c r="G104" i="72"/>
  <c r="G105" i="72"/>
  <c r="G106" i="72"/>
  <c r="G107" i="72"/>
  <c r="G108" i="72"/>
  <c r="G109" i="72"/>
  <c r="G110" i="72"/>
  <c r="G111" i="72"/>
  <c r="G112" i="72"/>
  <c r="G113" i="72"/>
  <c r="G114" i="72"/>
  <c r="G115" i="72"/>
  <c r="G116" i="72"/>
  <c r="G117" i="72"/>
  <c r="G118" i="72"/>
  <c r="G119" i="72"/>
  <c r="G120" i="72"/>
  <c r="G121" i="72"/>
  <c r="G122" i="72"/>
  <c r="G123" i="72"/>
  <c r="G124" i="72"/>
  <c r="G125" i="72"/>
  <c r="G126" i="72"/>
  <c r="G127" i="72"/>
  <c r="G128" i="72"/>
  <c r="G129" i="72"/>
  <c r="G130" i="72"/>
  <c r="G131" i="72"/>
  <c r="G132" i="72"/>
  <c r="G133" i="72"/>
  <c r="G134" i="72"/>
  <c r="G3" i="72"/>
  <c r="G135" i="72" l="1"/>
  <c r="I135" i="72" s="1"/>
  <c r="G135" i="79"/>
  <c r="I135" i="79" s="1"/>
  <c r="O5" i="17"/>
  <c r="G136" i="72" l="1"/>
  <c r="I136" i="72" s="1"/>
  <c r="G136" i="79"/>
  <c r="I136" i="79" s="1"/>
  <c r="O6" i="17"/>
  <c r="G137" i="79" s="1"/>
  <c r="I137" i="79" s="1"/>
  <c r="O7" i="17" l="1"/>
  <c r="G138" i="79" s="1"/>
  <c r="I138" i="79" s="1"/>
  <c r="G137" i="72"/>
  <c r="I137" i="72" s="1"/>
  <c r="O8" i="17" l="1"/>
  <c r="G139" i="79" s="1"/>
  <c r="I139" i="79" s="1"/>
  <c r="G138" i="72"/>
  <c r="I138" i="72" s="1"/>
  <c r="O9" i="17" l="1"/>
  <c r="G140" i="79" s="1"/>
  <c r="I140" i="79" s="1"/>
  <c r="G139" i="72"/>
  <c r="I139" i="72" s="1"/>
  <c r="O10" i="17" l="1"/>
  <c r="G141" i="79" s="1"/>
  <c r="I141" i="79" s="1"/>
  <c r="G140" i="72"/>
  <c r="I140" i="72" s="1"/>
  <c r="O11" i="17" l="1"/>
  <c r="G142" i="79" s="1"/>
  <c r="I142" i="79" s="1"/>
  <c r="G141" i="72"/>
  <c r="I141" i="72" s="1"/>
  <c r="O12" i="17" l="1"/>
  <c r="G143" i="79" s="1"/>
  <c r="I143" i="79" s="1"/>
  <c r="G142" i="72"/>
  <c r="I142" i="72" s="1"/>
  <c r="O13" i="17" l="1"/>
  <c r="G144" i="79" s="1"/>
  <c r="I144" i="79" s="1"/>
  <c r="G143" i="72"/>
  <c r="I143" i="72" s="1"/>
  <c r="O14" i="17" l="1"/>
  <c r="G145" i="79" s="1"/>
  <c r="I145" i="79" s="1"/>
  <c r="G144" i="72"/>
  <c r="I144" i="72" s="1"/>
  <c r="O15" i="17" l="1"/>
  <c r="G146" i="79" s="1"/>
  <c r="I146" i="79" s="1"/>
  <c r="G145" i="72"/>
  <c r="I145" i="72" s="1"/>
  <c r="I150" i="79" l="1"/>
  <c r="I163" i="79"/>
  <c r="I167" i="79" s="1"/>
  <c r="G146" i="72"/>
  <c r="I146" i="72" s="1"/>
  <c r="O17" i="17"/>
  <c r="J167" i="79" l="1"/>
  <c r="C135" i="72"/>
  <c r="C136" i="72"/>
  <c r="C137" i="72"/>
  <c r="C138" i="72"/>
  <c r="C139" i="72"/>
  <c r="C140" i="72"/>
  <c r="C141" i="72"/>
  <c r="C142" i="72"/>
  <c r="C143" i="72"/>
  <c r="C144" i="72"/>
  <c r="C145" i="72"/>
  <c r="C146" i="72"/>
  <c r="L37" i="11"/>
  <c r="L32" i="11"/>
  <c r="L28" i="11"/>
  <c r="L23" i="11"/>
  <c r="L19" i="11"/>
  <c r="L15" i="11"/>
  <c r="B123" i="72"/>
  <c r="B162" i="72" s="1"/>
  <c r="B124" i="72"/>
  <c r="B125" i="72"/>
  <c r="B126" i="72"/>
  <c r="B127" i="72"/>
  <c r="B128" i="72"/>
  <c r="B129" i="72"/>
  <c r="B130" i="72"/>
  <c r="B131" i="72"/>
  <c r="B132" i="72"/>
  <c r="B133" i="72"/>
  <c r="B134" i="72"/>
  <c r="M22" i="9"/>
  <c r="M23" i="9" s="1"/>
  <c r="L22" i="9"/>
  <c r="L23" i="9" s="1"/>
  <c r="K22" i="9"/>
  <c r="K23" i="9" s="1"/>
  <c r="G13" i="9"/>
  <c r="M13" i="9"/>
  <c r="L13" i="9"/>
  <c r="K13" i="9"/>
  <c r="J13" i="9"/>
  <c r="I13" i="9"/>
  <c r="H13" i="9"/>
  <c r="A27" i="17"/>
  <c r="G13" i="17"/>
  <c r="F13" i="17"/>
  <c r="E13" i="17"/>
  <c r="D13" i="17"/>
  <c r="J22" i="9" s="1"/>
  <c r="J23" i="9" s="1"/>
  <c r="C13" i="17"/>
  <c r="I22" i="9" s="1"/>
  <c r="I23" i="9" s="1"/>
  <c r="B13" i="17"/>
  <c r="H22" i="9" s="1"/>
  <c r="H23" i="9" s="1"/>
  <c r="B13" i="9" l="1"/>
  <c r="F13" i="9" s="1"/>
  <c r="L4" i="11"/>
  <c r="G15" i="73"/>
  <c r="F15" i="73"/>
  <c r="E15" i="73"/>
  <c r="D15" i="73"/>
  <c r="C15" i="73"/>
  <c r="B15" i="73"/>
  <c r="C45" i="9" l="1"/>
  <c r="U47" i="73" l="1"/>
  <c r="U24" i="73"/>
  <c r="U35" i="73"/>
  <c r="U143" i="73"/>
  <c r="U107" i="73"/>
  <c r="U119" i="73"/>
  <c r="U131" i="73"/>
  <c r="A13" i="18" l="1"/>
  <c r="A12" i="18"/>
  <c r="A26" i="18" s="1"/>
  <c r="A11" i="18"/>
  <c r="D11" i="18" s="1"/>
  <c r="A10" i="18"/>
  <c r="C10" i="18" s="1"/>
  <c r="J33" i="11" s="1"/>
  <c r="A9" i="18"/>
  <c r="B9" i="18" s="1"/>
  <c r="A8" i="18"/>
  <c r="C8" i="18" s="1"/>
  <c r="H33" i="11" s="1"/>
  <c r="A7" i="18"/>
  <c r="A21" i="18" s="1"/>
  <c r="A6" i="18"/>
  <c r="A20" i="18" s="1"/>
  <c r="A5" i="18"/>
  <c r="A19" i="18" s="1"/>
  <c r="A4" i="18"/>
  <c r="A18" i="18" s="1"/>
  <c r="A3" i="18"/>
  <c r="C3" i="18" s="1"/>
  <c r="C33" i="11" s="1"/>
  <c r="A2" i="18"/>
  <c r="D2" i="18" s="1"/>
  <c r="D1" i="18"/>
  <c r="B1" i="18"/>
  <c r="A26" i="17"/>
  <c r="A25" i="17"/>
  <c r="A24" i="17"/>
  <c r="A23" i="17"/>
  <c r="A22" i="17"/>
  <c r="A21" i="17"/>
  <c r="A20" i="17"/>
  <c r="A19" i="17"/>
  <c r="A18" i="17"/>
  <c r="G12" i="17"/>
  <c r="G27" i="17" s="1"/>
  <c r="F12" i="17"/>
  <c r="E12" i="17"/>
  <c r="F11" i="17"/>
  <c r="E11" i="17"/>
  <c r="F10" i="17"/>
  <c r="I31" i="11" s="1"/>
  <c r="D10" i="17"/>
  <c r="G9" i="17"/>
  <c r="H36" i="11" s="1"/>
  <c r="D9" i="17"/>
  <c r="B9" i="17"/>
  <c r="F8" i="17"/>
  <c r="G31" i="11" s="1"/>
  <c r="G7" i="17"/>
  <c r="F36" i="11" s="1"/>
  <c r="D7" i="17"/>
  <c r="F22" i="11" s="1"/>
  <c r="B7" i="17"/>
  <c r="G5" i="17"/>
  <c r="D36" i="11" s="1"/>
  <c r="E5" i="17"/>
  <c r="D5" i="17"/>
  <c r="G4" i="17"/>
  <c r="C36" i="11" s="1"/>
  <c r="F4" i="17"/>
  <c r="C31" i="11" s="1"/>
  <c r="C4" i="17"/>
  <c r="G3" i="17"/>
  <c r="B36" i="11" s="1"/>
  <c r="F3" i="17"/>
  <c r="B31" i="11" s="1"/>
  <c r="G2" i="17"/>
  <c r="F2" i="17"/>
  <c r="C1" i="18" s="1"/>
  <c r="E2" i="17"/>
  <c r="D2" i="17"/>
  <c r="C2" i="17"/>
  <c r="B2" i="17"/>
  <c r="A40" i="9"/>
  <c r="A36" i="9"/>
  <c r="I34" i="9"/>
  <c r="H34" i="9"/>
  <c r="A32" i="9"/>
  <c r="A28" i="9"/>
  <c r="A23" i="9"/>
  <c r="M12" i="9"/>
  <c r="L12" i="9"/>
  <c r="K32" i="11" s="1"/>
  <c r="K12" i="9"/>
  <c r="J12" i="9"/>
  <c r="I12" i="9"/>
  <c r="K19" i="11" s="1"/>
  <c r="H12" i="9"/>
  <c r="M11" i="9"/>
  <c r="J37" i="11" s="1"/>
  <c r="L11" i="9"/>
  <c r="J32" i="11" s="1"/>
  <c r="K11" i="9"/>
  <c r="J28" i="11" s="1"/>
  <c r="J11" i="9"/>
  <c r="I11" i="9"/>
  <c r="H11" i="9"/>
  <c r="G11" i="9" s="1"/>
  <c r="M10" i="9"/>
  <c r="L10" i="9"/>
  <c r="I32" i="11" s="1"/>
  <c r="K10" i="9"/>
  <c r="J10" i="9"/>
  <c r="I10" i="9"/>
  <c r="I19" i="11" s="1"/>
  <c r="H10" i="9"/>
  <c r="B10" i="9"/>
  <c r="M9" i="9"/>
  <c r="L9" i="9"/>
  <c r="H32" i="11" s="1"/>
  <c r="K9" i="9"/>
  <c r="H28" i="11" s="1"/>
  <c r="J9" i="9"/>
  <c r="I9" i="9"/>
  <c r="H19" i="11" s="1"/>
  <c r="H9" i="9"/>
  <c r="H15" i="11" s="1"/>
  <c r="M8" i="9"/>
  <c r="G37" i="11" s="1"/>
  <c r="L8" i="9"/>
  <c r="K8" i="9"/>
  <c r="G28" i="11" s="1"/>
  <c r="J8" i="9"/>
  <c r="I8" i="9"/>
  <c r="H8" i="9"/>
  <c r="G15" i="11" s="1"/>
  <c r="M7" i="9"/>
  <c r="L7" i="9"/>
  <c r="F32" i="11" s="1"/>
  <c r="K7" i="9"/>
  <c r="J7" i="9"/>
  <c r="I7" i="9"/>
  <c r="H7" i="9"/>
  <c r="F15" i="11" s="1"/>
  <c r="B7" i="9"/>
  <c r="M6" i="9"/>
  <c r="E37" i="11" s="1"/>
  <c r="L6" i="9"/>
  <c r="E32" i="11" s="1"/>
  <c r="K6" i="9"/>
  <c r="E28" i="11" s="1"/>
  <c r="J6" i="9"/>
  <c r="E23" i="11" s="1"/>
  <c r="I6" i="9"/>
  <c r="H6" i="9"/>
  <c r="E15" i="11" s="1"/>
  <c r="M5" i="9"/>
  <c r="L5" i="9"/>
  <c r="D32" i="11" s="1"/>
  <c r="K5" i="9"/>
  <c r="D28" i="11" s="1"/>
  <c r="J5" i="9"/>
  <c r="I5" i="9"/>
  <c r="D19" i="11" s="1"/>
  <c r="H5" i="9"/>
  <c r="M4" i="9"/>
  <c r="L4" i="9"/>
  <c r="K4" i="9"/>
  <c r="C28" i="11" s="1"/>
  <c r="J4" i="9"/>
  <c r="C23" i="11" s="1"/>
  <c r="I4" i="9"/>
  <c r="C19" i="11" s="1"/>
  <c r="H4" i="9"/>
  <c r="C15" i="11" s="1"/>
  <c r="M3" i="9"/>
  <c r="L3" i="9"/>
  <c r="K3" i="9"/>
  <c r="B28" i="11" s="1"/>
  <c r="J3" i="9"/>
  <c r="B23" i="11" s="1"/>
  <c r="I3" i="9"/>
  <c r="H3" i="9"/>
  <c r="G3" i="9" s="1"/>
  <c r="M2" i="9"/>
  <c r="L2" i="9"/>
  <c r="K2" i="9"/>
  <c r="J2" i="9"/>
  <c r="I2" i="9"/>
  <c r="H2" i="9"/>
  <c r="J134" i="72"/>
  <c r="J133" i="72"/>
  <c r="J132" i="72"/>
  <c r="J131" i="72"/>
  <c r="J130" i="72"/>
  <c r="J129" i="72"/>
  <c r="J128" i="72"/>
  <c r="J127" i="72"/>
  <c r="J126" i="72"/>
  <c r="J125" i="72"/>
  <c r="J124" i="72"/>
  <c r="J123" i="72"/>
  <c r="B122" i="72"/>
  <c r="B121" i="72"/>
  <c r="B120" i="72"/>
  <c r="B119" i="72"/>
  <c r="B118" i="72"/>
  <c r="B117" i="72"/>
  <c r="B116" i="72"/>
  <c r="B115" i="72"/>
  <c r="B114" i="72"/>
  <c r="B113" i="72"/>
  <c r="B112" i="72"/>
  <c r="B111" i="72"/>
  <c r="B161" i="72" s="1"/>
  <c r="B110" i="72"/>
  <c r="B109" i="72"/>
  <c r="B108" i="72"/>
  <c r="B107" i="72"/>
  <c r="B106" i="72"/>
  <c r="B105" i="72"/>
  <c r="B104" i="72"/>
  <c r="B103" i="72"/>
  <c r="B102" i="72"/>
  <c r="B101" i="72"/>
  <c r="B100" i="72"/>
  <c r="B160" i="72" s="1"/>
  <c r="B99" i="72"/>
  <c r="B98" i="72"/>
  <c r="B97" i="72"/>
  <c r="B96" i="72"/>
  <c r="B95" i="72"/>
  <c r="B94" i="72"/>
  <c r="B93" i="72"/>
  <c r="B92" i="72"/>
  <c r="B91" i="72"/>
  <c r="B90" i="72"/>
  <c r="B89" i="72"/>
  <c r="B159" i="72" s="1"/>
  <c r="I4" i="11" s="1"/>
  <c r="B88" i="72"/>
  <c r="B87" i="72"/>
  <c r="B86" i="72"/>
  <c r="B85" i="72"/>
  <c r="B84" i="72"/>
  <c r="B83" i="72"/>
  <c r="B82" i="72"/>
  <c r="B81" i="72"/>
  <c r="B80" i="72"/>
  <c r="B79" i="72"/>
  <c r="B78" i="72"/>
  <c r="B158" i="72" s="1"/>
  <c r="B77" i="72"/>
  <c r="B76" i="72"/>
  <c r="B75" i="72"/>
  <c r="B74" i="72"/>
  <c r="B73" i="72"/>
  <c r="B72" i="72"/>
  <c r="B71" i="72"/>
  <c r="B70" i="72"/>
  <c r="B69" i="72"/>
  <c r="B68" i="72"/>
  <c r="B67" i="72"/>
  <c r="B157" i="72" s="1"/>
  <c r="B66" i="72"/>
  <c r="B65" i="72"/>
  <c r="B64" i="72"/>
  <c r="B63" i="72"/>
  <c r="B62" i="72"/>
  <c r="B61" i="72"/>
  <c r="B60" i="72"/>
  <c r="B59" i="72"/>
  <c r="B58" i="72"/>
  <c r="B57" i="72"/>
  <c r="B56" i="72"/>
  <c r="B156" i="72" s="1"/>
  <c r="F4" i="11" s="1"/>
  <c r="B55" i="72"/>
  <c r="B54" i="72"/>
  <c r="B53" i="72"/>
  <c r="B52" i="72"/>
  <c r="B51" i="72"/>
  <c r="B50" i="72"/>
  <c r="B49" i="72"/>
  <c r="B48" i="72"/>
  <c r="B47" i="72"/>
  <c r="B46" i="72"/>
  <c r="B45" i="72"/>
  <c r="B155" i="72" s="1"/>
  <c r="B44" i="72"/>
  <c r="B43" i="72"/>
  <c r="B42" i="72"/>
  <c r="B41" i="72"/>
  <c r="B40" i="72"/>
  <c r="B39" i="72"/>
  <c r="B38" i="72"/>
  <c r="B37" i="72"/>
  <c r="B36" i="72"/>
  <c r="B35" i="72"/>
  <c r="B34" i="72"/>
  <c r="B154" i="72" s="1"/>
  <c r="B33" i="72"/>
  <c r="B32" i="72"/>
  <c r="B31" i="72"/>
  <c r="B30" i="72"/>
  <c r="B29" i="72"/>
  <c r="B28" i="72"/>
  <c r="B27" i="72"/>
  <c r="B26" i="72"/>
  <c r="B25" i="72"/>
  <c r="B24" i="72"/>
  <c r="B23" i="72"/>
  <c r="B153" i="72" s="1"/>
  <c r="B22" i="72"/>
  <c r="B21" i="72"/>
  <c r="B20" i="72"/>
  <c r="B19" i="72"/>
  <c r="B18" i="72"/>
  <c r="B17" i="72"/>
  <c r="B16" i="72"/>
  <c r="B15" i="72"/>
  <c r="B14" i="72"/>
  <c r="B13" i="72"/>
  <c r="B12" i="72"/>
  <c r="B11" i="72"/>
  <c r="B10" i="72"/>
  <c r="B9" i="72"/>
  <c r="B8" i="72"/>
  <c r="B7" i="72"/>
  <c r="B6" i="72"/>
  <c r="B5" i="72"/>
  <c r="B4" i="72"/>
  <c r="B3" i="72"/>
  <c r="B152" i="72" s="1"/>
  <c r="H56" i="11"/>
  <c r="I55" i="11"/>
  <c r="H55" i="11"/>
  <c r="M54" i="11"/>
  <c r="L54" i="11"/>
  <c r="I54" i="11"/>
  <c r="H54" i="11"/>
  <c r="M53" i="11"/>
  <c r="I53" i="11"/>
  <c r="H53" i="11"/>
  <c r="H52" i="11"/>
  <c r="M51" i="11"/>
  <c r="M55" i="11" s="1"/>
  <c r="L51" i="11"/>
  <c r="L55" i="11" s="1"/>
  <c r="I51" i="11"/>
  <c r="H51" i="11"/>
  <c r="M50" i="11"/>
  <c r="L50" i="11"/>
  <c r="I50" i="11"/>
  <c r="M49" i="11"/>
  <c r="L49" i="11"/>
  <c r="L53" i="11" s="1"/>
  <c r="I49" i="11"/>
  <c r="K37" i="11"/>
  <c r="I37" i="11"/>
  <c r="H37" i="11"/>
  <c r="F37" i="11"/>
  <c r="C37" i="11"/>
  <c r="B37" i="11"/>
  <c r="A35" i="11"/>
  <c r="A30" i="11"/>
  <c r="I28" i="11"/>
  <c r="F28" i="11"/>
  <c r="A26" i="11"/>
  <c r="K23" i="11"/>
  <c r="J23" i="11"/>
  <c r="I23" i="11"/>
  <c r="H23" i="11"/>
  <c r="G23" i="11"/>
  <c r="F23" i="11"/>
  <c r="D23" i="11"/>
  <c r="D22" i="11"/>
  <c r="A21" i="11"/>
  <c r="J19" i="11"/>
  <c r="G19" i="11"/>
  <c r="F19" i="11"/>
  <c r="E19" i="11"/>
  <c r="B19" i="11"/>
  <c r="A17" i="11"/>
  <c r="J15" i="11"/>
  <c r="B15" i="11"/>
  <c r="A13" i="11"/>
  <c r="R21" i="73"/>
  <c r="O21" i="73"/>
  <c r="M21" i="73"/>
  <c r="J21" i="73"/>
  <c r="H21" i="73"/>
  <c r="F21" i="73"/>
  <c r="G14" i="73"/>
  <c r="F14" i="73"/>
  <c r="E14" i="73"/>
  <c r="D14" i="73"/>
  <c r="D12" i="17" s="1"/>
  <c r="D27" i="17" s="1"/>
  <c r="C14" i="73"/>
  <c r="C12" i="17" s="1"/>
  <c r="C27" i="17" s="1"/>
  <c r="B14" i="73"/>
  <c r="B12" i="17" s="1"/>
  <c r="B27" i="17" s="1"/>
  <c r="G13" i="73"/>
  <c r="G11" i="17" s="1"/>
  <c r="F13" i="73"/>
  <c r="E13" i="73"/>
  <c r="D13" i="73"/>
  <c r="D11" i="17" s="1"/>
  <c r="C13" i="73"/>
  <c r="C11" i="17" s="1"/>
  <c r="B13" i="73"/>
  <c r="B11" i="17" s="1"/>
  <c r="G12" i="73"/>
  <c r="G10" i="17" s="1"/>
  <c r="F12" i="73"/>
  <c r="E12" i="73"/>
  <c r="E10" i="17" s="1"/>
  <c r="D12" i="73"/>
  <c r="C12" i="73"/>
  <c r="C10" i="17" s="1"/>
  <c r="B12" i="73"/>
  <c r="B10" i="17" s="1"/>
  <c r="G11" i="73"/>
  <c r="F11" i="73"/>
  <c r="F9" i="17" s="1"/>
  <c r="E11" i="73"/>
  <c r="E9" i="17" s="1"/>
  <c r="D11" i="73"/>
  <c r="C11" i="73"/>
  <c r="C9" i="17" s="1"/>
  <c r="B11" i="73"/>
  <c r="G10" i="73"/>
  <c r="G8" i="17" s="1"/>
  <c r="F10" i="73"/>
  <c r="E10" i="73"/>
  <c r="E8" i="17" s="1"/>
  <c r="D10" i="73"/>
  <c r="D8" i="17" s="1"/>
  <c r="C10" i="73"/>
  <c r="C8" i="17" s="1"/>
  <c r="B10" i="73"/>
  <c r="B8" i="17" s="1"/>
  <c r="G9" i="73"/>
  <c r="F9" i="73"/>
  <c r="F7" i="17" s="1"/>
  <c r="E9" i="73"/>
  <c r="E7" i="17" s="1"/>
  <c r="D9" i="73"/>
  <c r="C9" i="73"/>
  <c r="C7" i="17" s="1"/>
  <c r="B9" i="73"/>
  <c r="G8" i="73"/>
  <c r="G6" i="17" s="1"/>
  <c r="F8" i="73"/>
  <c r="F6" i="17" s="1"/>
  <c r="E8" i="73"/>
  <c r="E6" i="17" s="1"/>
  <c r="E27" i="11" s="1"/>
  <c r="D8" i="73"/>
  <c r="D6" i="17" s="1"/>
  <c r="C8" i="73"/>
  <c r="C6" i="17" s="1"/>
  <c r="B8" i="73"/>
  <c r="B6" i="17" s="1"/>
  <c r="G7" i="73"/>
  <c r="F7" i="73"/>
  <c r="F5" i="17" s="1"/>
  <c r="E7" i="73"/>
  <c r="D7" i="73"/>
  <c r="C7" i="73"/>
  <c r="C5" i="17" s="1"/>
  <c r="B7" i="73"/>
  <c r="B5" i="17" s="1"/>
  <c r="G6" i="73"/>
  <c r="F6" i="73"/>
  <c r="E6" i="73"/>
  <c r="E4" i="17" s="1"/>
  <c r="D6" i="73"/>
  <c r="D4" i="17" s="1"/>
  <c r="C6" i="73"/>
  <c r="B6" i="73"/>
  <c r="B4" i="17" s="1"/>
  <c r="G5" i="73"/>
  <c r="F5" i="73"/>
  <c r="E5" i="73"/>
  <c r="E3" i="17" s="1"/>
  <c r="B27" i="11" s="1"/>
  <c r="D5" i="73"/>
  <c r="D3" i="17" s="1"/>
  <c r="B22" i="11" s="1"/>
  <c r="C5" i="73"/>
  <c r="C3" i="17" s="1"/>
  <c r="B18" i="11" s="1"/>
  <c r="B5" i="73"/>
  <c r="B3" i="17" s="1"/>
  <c r="B5" i="18" l="1"/>
  <c r="B19" i="18" s="1"/>
  <c r="D5" i="18"/>
  <c r="D19" i="18" s="1"/>
  <c r="C18" i="17"/>
  <c r="A22" i="18"/>
  <c r="A24" i="18"/>
  <c r="B5" i="9"/>
  <c r="D4" i="11"/>
  <c r="C4" i="11"/>
  <c r="B4" i="9"/>
  <c r="B165" i="72"/>
  <c r="B3" i="9"/>
  <c r="B4" i="11"/>
  <c r="J67" i="72"/>
  <c r="K67" i="72" s="1"/>
  <c r="L67" i="72" s="1"/>
  <c r="J24" i="72"/>
  <c r="M24" i="72" s="1"/>
  <c r="B6" i="9"/>
  <c r="E4" i="11"/>
  <c r="G4" i="11"/>
  <c r="B8" i="9"/>
  <c r="B9" i="9"/>
  <c r="H4" i="11"/>
  <c r="J4" i="11"/>
  <c r="B11" i="9"/>
  <c r="F11" i="9" s="1"/>
  <c r="J12" i="72"/>
  <c r="J23" i="72"/>
  <c r="M23" i="72" s="1"/>
  <c r="J34" i="72"/>
  <c r="K34" i="72" s="1"/>
  <c r="L34" i="72" s="1"/>
  <c r="J45" i="72"/>
  <c r="M45" i="72" s="1"/>
  <c r="J56" i="72"/>
  <c r="K56" i="72" s="1"/>
  <c r="L56" i="72" s="1"/>
  <c r="J78" i="72"/>
  <c r="K78" i="72" s="1"/>
  <c r="L78" i="72" s="1"/>
  <c r="J89" i="72"/>
  <c r="M89" i="72" s="1"/>
  <c r="J100" i="72"/>
  <c r="K100" i="72" s="1"/>
  <c r="L100" i="72" s="1"/>
  <c r="J13" i="72"/>
  <c r="M13" i="72" s="1"/>
  <c r="J35" i="72"/>
  <c r="M35" i="72" s="1"/>
  <c r="J46" i="72"/>
  <c r="M46" i="72" s="1"/>
  <c r="J79" i="72"/>
  <c r="M79" i="72" s="1"/>
  <c r="J90" i="72"/>
  <c r="J101" i="72"/>
  <c r="K101" i="72" s="1"/>
  <c r="L101" i="72" s="1"/>
  <c r="J112" i="72"/>
  <c r="K112" i="72" s="1"/>
  <c r="L112" i="72" s="1"/>
  <c r="J3" i="72"/>
  <c r="M3" i="72" s="1"/>
  <c r="J14" i="72"/>
  <c r="N14" i="72" s="1"/>
  <c r="O14" i="72" s="1"/>
  <c r="J25" i="72"/>
  <c r="K25" i="72" s="1"/>
  <c r="L25" i="72" s="1"/>
  <c r="J36" i="72"/>
  <c r="N36" i="72" s="1"/>
  <c r="O36" i="72" s="1"/>
  <c r="J47" i="72"/>
  <c r="M47" i="72" s="1"/>
  <c r="J58" i="72"/>
  <c r="K58" i="72" s="1"/>
  <c r="L58" i="72" s="1"/>
  <c r="J69" i="72"/>
  <c r="K69" i="72" s="1"/>
  <c r="L69" i="72" s="1"/>
  <c r="J80" i="72"/>
  <c r="M80" i="72" s="1"/>
  <c r="J91" i="72"/>
  <c r="M91" i="72" s="1"/>
  <c r="J102" i="72"/>
  <c r="J113" i="72"/>
  <c r="J4" i="72"/>
  <c r="M4" i="72" s="1"/>
  <c r="J15" i="72"/>
  <c r="K15" i="72" s="1"/>
  <c r="L15" i="72" s="1"/>
  <c r="J26" i="72"/>
  <c r="M26" i="72" s="1"/>
  <c r="J37" i="72"/>
  <c r="J48" i="72"/>
  <c r="M48" i="72" s="1"/>
  <c r="J59" i="72"/>
  <c r="K59" i="72" s="1"/>
  <c r="L59" i="72" s="1"/>
  <c r="J81" i="72"/>
  <c r="M81" i="72" s="1"/>
  <c r="J5" i="72"/>
  <c r="M5" i="72" s="1"/>
  <c r="J60" i="72"/>
  <c r="M60" i="72" s="1"/>
  <c r="J104" i="72"/>
  <c r="M104" i="72" s="1"/>
  <c r="J39" i="72"/>
  <c r="M39" i="72" s="1"/>
  <c r="J94" i="72"/>
  <c r="M94" i="72" s="1"/>
  <c r="J18" i="72"/>
  <c r="J62" i="72"/>
  <c r="K62" i="72" s="1"/>
  <c r="L62" i="72" s="1"/>
  <c r="J106" i="72"/>
  <c r="M106" i="72" s="1"/>
  <c r="J8" i="72"/>
  <c r="M8" i="72" s="1"/>
  <c r="J74" i="72"/>
  <c r="K74" i="72" s="1"/>
  <c r="L74" i="72" s="1"/>
  <c r="J64" i="72"/>
  <c r="K64" i="72" s="1"/>
  <c r="L64" i="72" s="1"/>
  <c r="J86" i="72"/>
  <c r="M86" i="72" s="1"/>
  <c r="J108" i="72"/>
  <c r="K108" i="72" s="1"/>
  <c r="L108" i="72" s="1"/>
  <c r="J119" i="72"/>
  <c r="J70" i="72"/>
  <c r="K70" i="72" s="1"/>
  <c r="L70" i="72" s="1"/>
  <c r="J92" i="72"/>
  <c r="J103" i="72"/>
  <c r="M103" i="72" s="1"/>
  <c r="J114" i="72"/>
  <c r="M114" i="72" s="1"/>
  <c r="J16" i="72"/>
  <c r="M16" i="72" s="1"/>
  <c r="J27" i="72"/>
  <c r="M27" i="72" s="1"/>
  <c r="J38" i="72"/>
  <c r="M38" i="72" s="1"/>
  <c r="J49" i="72"/>
  <c r="M49" i="72" s="1"/>
  <c r="J71" i="72"/>
  <c r="M71" i="72" s="1"/>
  <c r="J82" i="72"/>
  <c r="J93" i="72"/>
  <c r="M93" i="72" s="1"/>
  <c r="J115" i="72"/>
  <c r="N115" i="72" s="1"/>
  <c r="O115" i="72" s="1"/>
  <c r="J6" i="72"/>
  <c r="J17" i="72"/>
  <c r="M17" i="72" s="1"/>
  <c r="J28" i="72"/>
  <c r="M28" i="72" s="1"/>
  <c r="J50" i="72"/>
  <c r="N50" i="72" s="1"/>
  <c r="O50" i="72" s="1"/>
  <c r="J61" i="72"/>
  <c r="M61" i="72" s="1"/>
  <c r="J72" i="72"/>
  <c r="M72" i="72" s="1"/>
  <c r="J83" i="72"/>
  <c r="M83" i="72" s="1"/>
  <c r="J105" i="72"/>
  <c r="J116" i="72"/>
  <c r="M116" i="72" s="1"/>
  <c r="J7" i="72"/>
  <c r="J29" i="72"/>
  <c r="M29" i="72" s="1"/>
  <c r="J40" i="72"/>
  <c r="J51" i="72"/>
  <c r="M51" i="72" s="1"/>
  <c r="J73" i="72"/>
  <c r="M73" i="72" s="1"/>
  <c r="J84" i="72"/>
  <c r="M84" i="72" s="1"/>
  <c r="J95" i="72"/>
  <c r="M95" i="72" s="1"/>
  <c r="J117" i="72"/>
  <c r="M117" i="72" s="1"/>
  <c r="J19" i="72"/>
  <c r="M19" i="72" s="1"/>
  <c r="J30" i="72"/>
  <c r="M30" i="72" s="1"/>
  <c r="J41" i="72"/>
  <c r="M41" i="72" s="1"/>
  <c r="J52" i="72"/>
  <c r="M52" i="72" s="1"/>
  <c r="J63" i="72"/>
  <c r="J85" i="72"/>
  <c r="M85" i="72" s="1"/>
  <c r="J96" i="72"/>
  <c r="M96" i="72" s="1"/>
  <c r="J107" i="72"/>
  <c r="J118" i="72"/>
  <c r="N118" i="72" s="1"/>
  <c r="O118" i="72" s="1"/>
  <c r="J9" i="72"/>
  <c r="M9" i="72" s="1"/>
  <c r="J20" i="72"/>
  <c r="M20" i="72" s="1"/>
  <c r="J31" i="72"/>
  <c r="N31" i="72" s="1"/>
  <c r="O31" i="72" s="1"/>
  <c r="J42" i="72"/>
  <c r="J53" i="72"/>
  <c r="K53" i="72" s="1"/>
  <c r="L53" i="72" s="1"/>
  <c r="J97" i="72"/>
  <c r="J10" i="72"/>
  <c r="J32" i="72"/>
  <c r="J43" i="72"/>
  <c r="M43" i="72" s="1"/>
  <c r="J54" i="72"/>
  <c r="M54" i="72" s="1"/>
  <c r="J65" i="72"/>
  <c r="M65" i="72" s="1"/>
  <c r="J76" i="72"/>
  <c r="K76" i="72" s="1"/>
  <c r="L76" i="72" s="1"/>
  <c r="J98" i="72"/>
  <c r="K98" i="72" s="1"/>
  <c r="L98" i="72" s="1"/>
  <c r="J109" i="72"/>
  <c r="M109" i="72" s="1"/>
  <c r="J120" i="72"/>
  <c r="M120" i="72" s="1"/>
  <c r="J11" i="72"/>
  <c r="M11" i="72" s="1"/>
  <c r="J22" i="72"/>
  <c r="M22" i="72" s="1"/>
  <c r="J33" i="72"/>
  <c r="M33" i="72" s="1"/>
  <c r="J44" i="72"/>
  <c r="M44" i="72" s="1"/>
  <c r="J55" i="72"/>
  <c r="N55" i="72" s="1"/>
  <c r="O55" i="72" s="1"/>
  <c r="J66" i="72"/>
  <c r="J77" i="72"/>
  <c r="M77" i="72" s="1"/>
  <c r="J88" i="72"/>
  <c r="N89" i="72" s="1"/>
  <c r="O89" i="72" s="1"/>
  <c r="J110" i="72"/>
  <c r="N110" i="72" s="1"/>
  <c r="O110" i="72" s="1"/>
  <c r="J121" i="72"/>
  <c r="N121" i="72" s="1"/>
  <c r="O121" i="72" s="1"/>
  <c r="M125" i="72"/>
  <c r="N125" i="72"/>
  <c r="O125" i="72" s="1"/>
  <c r="K125" i="72"/>
  <c r="L125" i="72" s="1"/>
  <c r="N127" i="72"/>
  <c r="O127" i="72" s="1"/>
  <c r="M127" i="72"/>
  <c r="K127" i="72"/>
  <c r="L127" i="72" s="1"/>
  <c r="N131" i="72"/>
  <c r="O131" i="72" s="1"/>
  <c r="M131" i="72"/>
  <c r="K131" i="72"/>
  <c r="L131" i="72" s="1"/>
  <c r="N132" i="72"/>
  <c r="O132" i="72" s="1"/>
  <c r="M132" i="72"/>
  <c r="K132" i="72"/>
  <c r="L132" i="72" s="1"/>
  <c r="N133" i="72"/>
  <c r="O133" i="72" s="1"/>
  <c r="M133" i="72"/>
  <c r="K133" i="72"/>
  <c r="L133" i="72" s="1"/>
  <c r="N134" i="72"/>
  <c r="O134" i="72" s="1"/>
  <c r="M134" i="72"/>
  <c r="K134" i="72"/>
  <c r="L134" i="72" s="1"/>
  <c r="M126" i="72"/>
  <c r="K126" i="72"/>
  <c r="L126" i="72" s="1"/>
  <c r="N126" i="72"/>
  <c r="O126" i="72" s="1"/>
  <c r="N129" i="72"/>
  <c r="O129" i="72" s="1"/>
  <c r="M129" i="72"/>
  <c r="K129" i="72"/>
  <c r="L129" i="72" s="1"/>
  <c r="M123" i="72"/>
  <c r="K123" i="72"/>
  <c r="L123" i="72" s="1"/>
  <c r="M128" i="72"/>
  <c r="K128" i="72"/>
  <c r="L128" i="72" s="1"/>
  <c r="N128" i="72"/>
  <c r="O128" i="72" s="1"/>
  <c r="N130" i="72"/>
  <c r="O130" i="72" s="1"/>
  <c r="M130" i="72"/>
  <c r="K130" i="72"/>
  <c r="L130" i="72" s="1"/>
  <c r="M124" i="72"/>
  <c r="K124" i="72"/>
  <c r="L124" i="72" s="1"/>
  <c r="N124" i="72"/>
  <c r="O124" i="72" s="1"/>
  <c r="N18" i="72"/>
  <c r="O18" i="72" s="1"/>
  <c r="I153" i="72"/>
  <c r="I156" i="72"/>
  <c r="M15" i="72"/>
  <c r="I157" i="72"/>
  <c r="I159" i="72"/>
  <c r="M108" i="72"/>
  <c r="I155" i="72"/>
  <c r="J21" i="72"/>
  <c r="M78" i="72"/>
  <c r="M105" i="72"/>
  <c r="K105" i="72"/>
  <c r="L105" i="72" s="1"/>
  <c r="K54" i="72"/>
  <c r="L54" i="72" s="1"/>
  <c r="J87" i="72"/>
  <c r="I154" i="72"/>
  <c r="J57" i="72"/>
  <c r="K86" i="72"/>
  <c r="L86" i="72" s="1"/>
  <c r="J68" i="72"/>
  <c r="I152" i="72"/>
  <c r="I158" i="72"/>
  <c r="J75" i="72"/>
  <c r="I160" i="72"/>
  <c r="J99" i="72"/>
  <c r="J122" i="72"/>
  <c r="M122" i="72" s="1"/>
  <c r="I161" i="72"/>
  <c r="J111" i="72"/>
  <c r="I162" i="72"/>
  <c r="I150" i="72"/>
  <c r="I163" i="72"/>
  <c r="A25" i="18"/>
  <c r="D12" i="18"/>
  <c r="D26" i="18" s="1"/>
  <c r="C12" i="18"/>
  <c r="C26" i="18" s="1"/>
  <c r="B12" i="18"/>
  <c r="B26" i="18" s="1"/>
  <c r="D8" i="18"/>
  <c r="H38" i="11" s="1"/>
  <c r="D3" i="18"/>
  <c r="D17" i="18" s="1"/>
  <c r="E25" i="17"/>
  <c r="K27" i="11"/>
  <c r="E27" i="17"/>
  <c r="K31" i="11"/>
  <c r="F27" i="17"/>
  <c r="C5" i="18"/>
  <c r="E33" i="11" s="1"/>
  <c r="B3" i="18"/>
  <c r="E3" i="18" s="1"/>
  <c r="C47" i="11" s="1"/>
  <c r="D24" i="17"/>
  <c r="B7" i="18"/>
  <c r="G24" i="11" s="1"/>
  <c r="K36" i="11"/>
  <c r="C7" i="18"/>
  <c r="G33" i="11" s="1"/>
  <c r="D19" i="17"/>
  <c r="B8" i="18"/>
  <c r="H24" i="11" s="1"/>
  <c r="H43" i="11" s="1"/>
  <c r="B21" i="17"/>
  <c r="D10" i="18"/>
  <c r="A17" i="18"/>
  <c r="B6" i="18"/>
  <c r="B20" i="18" s="1"/>
  <c r="B23" i="17"/>
  <c r="K38" i="11"/>
  <c r="D16" i="18"/>
  <c r="B38" i="11"/>
  <c r="B4" i="18"/>
  <c r="C4" i="18"/>
  <c r="D33" i="11" s="1"/>
  <c r="D4" i="18"/>
  <c r="D38" i="11" s="1"/>
  <c r="B10" i="18"/>
  <c r="J24" i="11" s="1"/>
  <c r="B11" i="18"/>
  <c r="C38" i="11"/>
  <c r="C11" i="18"/>
  <c r="A23" i="18"/>
  <c r="C9" i="18"/>
  <c r="I33" i="11" s="1"/>
  <c r="D9" i="18"/>
  <c r="I38" i="11" s="1"/>
  <c r="E38" i="11"/>
  <c r="C6" i="18"/>
  <c r="C20" i="18" s="1"/>
  <c r="D6" i="18"/>
  <c r="F38" i="11" s="1"/>
  <c r="A16" i="18"/>
  <c r="D18" i="18"/>
  <c r="B2" i="18"/>
  <c r="B24" i="11" s="1"/>
  <c r="D7" i="18"/>
  <c r="G38" i="11" s="1"/>
  <c r="C2" i="18"/>
  <c r="C16" i="18" s="1"/>
  <c r="E24" i="11"/>
  <c r="G36" i="11"/>
  <c r="G22" i="17"/>
  <c r="I36" i="11"/>
  <c r="G24" i="17"/>
  <c r="G26" i="17"/>
  <c r="J36" i="11"/>
  <c r="G25" i="17"/>
  <c r="G20" i="17"/>
  <c r="E36" i="11"/>
  <c r="D25" i="18"/>
  <c r="D37" i="11"/>
  <c r="G18" i="17"/>
  <c r="G19" i="17"/>
  <c r="G21" i="17"/>
  <c r="G23" i="17"/>
  <c r="D22" i="18"/>
  <c r="F19" i="17"/>
  <c r="D31" i="11"/>
  <c r="H31" i="11"/>
  <c r="F23" i="17"/>
  <c r="F20" i="17"/>
  <c r="E31" i="11"/>
  <c r="F31" i="11"/>
  <c r="F22" i="17"/>
  <c r="F21" i="17"/>
  <c r="G6" i="9"/>
  <c r="E46" i="11" s="1"/>
  <c r="F18" i="17"/>
  <c r="F25" i="17"/>
  <c r="F24" i="17"/>
  <c r="C17" i="18"/>
  <c r="F26" i="17"/>
  <c r="J31" i="11"/>
  <c r="G12" i="9"/>
  <c r="K10" i="11" s="1"/>
  <c r="E20" i="17"/>
  <c r="B32" i="11"/>
  <c r="C32" i="11"/>
  <c r="G8" i="9"/>
  <c r="G10" i="11" s="1"/>
  <c r="E21" i="17"/>
  <c r="F27" i="11"/>
  <c r="C27" i="11"/>
  <c r="E18" i="17"/>
  <c r="G27" i="11"/>
  <c r="E22" i="17"/>
  <c r="H27" i="11"/>
  <c r="E23" i="17"/>
  <c r="E24" i="17"/>
  <c r="I27" i="11"/>
  <c r="D27" i="11"/>
  <c r="J27" i="11"/>
  <c r="C22" i="18"/>
  <c r="G32" i="11"/>
  <c r="G42" i="11" s="1"/>
  <c r="G10" i="9"/>
  <c r="I10" i="11" s="1"/>
  <c r="E19" i="17"/>
  <c r="C24" i="18"/>
  <c r="G5" i="9"/>
  <c r="D10" i="11" s="1"/>
  <c r="E26" i="17"/>
  <c r="K28" i="11"/>
  <c r="D20" i="17"/>
  <c r="D21" i="17"/>
  <c r="E22" i="11"/>
  <c r="D23" i="17"/>
  <c r="D25" i="17"/>
  <c r="J22" i="11"/>
  <c r="D18" i="17"/>
  <c r="C22" i="11"/>
  <c r="G22" i="11"/>
  <c r="D22" i="17"/>
  <c r="K22" i="11"/>
  <c r="D26" i="17"/>
  <c r="H22" i="11"/>
  <c r="B23" i="18"/>
  <c r="I22" i="11"/>
  <c r="I24" i="11"/>
  <c r="J62" i="11"/>
  <c r="B42" i="11"/>
  <c r="C25" i="17"/>
  <c r="J18" i="11"/>
  <c r="G18" i="11"/>
  <c r="C22" i="17"/>
  <c r="C26" i="17"/>
  <c r="K18" i="11"/>
  <c r="D18" i="11"/>
  <c r="C19" i="17"/>
  <c r="E18" i="11"/>
  <c r="C20" i="17"/>
  <c r="H18" i="11"/>
  <c r="C23" i="17"/>
  <c r="C24" i="17"/>
  <c r="I18" i="11"/>
  <c r="F18" i="11"/>
  <c r="C21" i="17"/>
  <c r="C42" i="11"/>
  <c r="F42" i="11"/>
  <c r="E42" i="11"/>
  <c r="C18" i="11"/>
  <c r="B12" i="9"/>
  <c r="F12" i="9" s="1"/>
  <c r="K4" i="11"/>
  <c r="B24" i="17"/>
  <c r="I14" i="11"/>
  <c r="F14" i="11"/>
  <c r="K15" i="11"/>
  <c r="K62" i="11" s="1"/>
  <c r="H11" i="17"/>
  <c r="J45" i="11" s="1"/>
  <c r="J14" i="11"/>
  <c r="B25" i="17"/>
  <c r="H3" i="17"/>
  <c r="B45" i="11" s="1"/>
  <c r="B14" i="11"/>
  <c r="B41" i="11" s="1"/>
  <c r="J10" i="11"/>
  <c r="J46" i="11"/>
  <c r="H62" i="11"/>
  <c r="H42" i="11"/>
  <c r="B46" i="11"/>
  <c r="B10" i="11"/>
  <c r="B18" i="17"/>
  <c r="H4" i="17"/>
  <c r="C45" i="11" s="1"/>
  <c r="C14" i="11"/>
  <c r="B22" i="17"/>
  <c r="G14" i="11"/>
  <c r="H8" i="17"/>
  <c r="G45" i="11" s="1"/>
  <c r="H12" i="17"/>
  <c r="K45" i="11" s="1"/>
  <c r="K14" i="11"/>
  <c r="B26" i="17"/>
  <c r="B19" i="17"/>
  <c r="D14" i="11"/>
  <c r="H5" i="17"/>
  <c r="D45" i="11" s="1"/>
  <c r="E14" i="11"/>
  <c r="B20" i="17"/>
  <c r="H6" i="17"/>
  <c r="E45" i="11" s="1"/>
  <c r="H14" i="11"/>
  <c r="G4" i="9"/>
  <c r="H9" i="17"/>
  <c r="H45" i="11" s="1"/>
  <c r="G9" i="9"/>
  <c r="J42" i="11"/>
  <c r="G7" i="9"/>
  <c r="F7" i="9" s="1"/>
  <c r="H10" i="17"/>
  <c r="I45" i="11" s="1"/>
  <c r="D15" i="11"/>
  <c r="H7" i="17"/>
  <c r="F45" i="11" s="1"/>
  <c r="K42" i="11"/>
  <c r="F3" i="9"/>
  <c r="I15" i="11"/>
  <c r="N92" i="72" l="1"/>
  <c r="O92" i="72" s="1"/>
  <c r="K65" i="72"/>
  <c r="L65" i="72" s="1"/>
  <c r="N27" i="72"/>
  <c r="O27" i="72" s="1"/>
  <c r="N67" i="72"/>
  <c r="O67" i="72" s="1"/>
  <c r="N19" i="72"/>
  <c r="O19" i="72" s="1"/>
  <c r="N6" i="72"/>
  <c r="O6" i="72" s="1"/>
  <c r="K29" i="72"/>
  <c r="L29" i="72" s="1"/>
  <c r="K116" i="72"/>
  <c r="L116" i="72" s="1"/>
  <c r="N16" i="72"/>
  <c r="O16" i="72" s="1"/>
  <c r="K95" i="72"/>
  <c r="L95" i="72" s="1"/>
  <c r="K73" i="72"/>
  <c r="L73" i="72" s="1"/>
  <c r="M100" i="72"/>
  <c r="K24" i="72"/>
  <c r="L24" i="72" s="1"/>
  <c r="N13" i="72"/>
  <c r="O13" i="72" s="1"/>
  <c r="M76" i="72"/>
  <c r="K104" i="72"/>
  <c r="L104" i="72" s="1"/>
  <c r="K117" i="72"/>
  <c r="L117" i="72" s="1"/>
  <c r="K26" i="72"/>
  <c r="L26" i="72" s="1"/>
  <c r="K115" i="72"/>
  <c r="L115" i="72" s="1"/>
  <c r="K46" i="72"/>
  <c r="L46" i="72" s="1"/>
  <c r="K43" i="72"/>
  <c r="L43" i="72" s="1"/>
  <c r="M59" i="72"/>
  <c r="K35" i="72"/>
  <c r="L35" i="72" s="1"/>
  <c r="M101" i="72"/>
  <c r="M67" i="72"/>
  <c r="K41" i="72"/>
  <c r="L41" i="72" s="1"/>
  <c r="N37" i="72"/>
  <c r="O37" i="72" s="1"/>
  <c r="M115" i="72"/>
  <c r="K37" i="72"/>
  <c r="L37" i="72" s="1"/>
  <c r="N79" i="72"/>
  <c r="O79" i="72" s="1"/>
  <c r="K38" i="72"/>
  <c r="L38" i="72" s="1"/>
  <c r="K71" i="72"/>
  <c r="L71" i="72" s="1"/>
  <c r="M37" i="72"/>
  <c r="K84" i="72"/>
  <c r="L84" i="72" s="1"/>
  <c r="N17" i="72"/>
  <c r="O17" i="72" s="1"/>
  <c r="N78" i="72"/>
  <c r="O78" i="72" s="1"/>
  <c r="N95" i="72"/>
  <c r="O95" i="72" s="1"/>
  <c r="K55" i="72"/>
  <c r="L55" i="72" s="1"/>
  <c r="M55" i="72"/>
  <c r="K89" i="72"/>
  <c r="L89" i="72" s="1"/>
  <c r="N82" i="72"/>
  <c r="O82" i="72" s="1"/>
  <c r="N90" i="72"/>
  <c r="O90" i="72" s="1"/>
  <c r="N20" i="72"/>
  <c r="O20" i="72" s="1"/>
  <c r="K5" i="72"/>
  <c r="L5" i="72" s="1"/>
  <c r="N44" i="72"/>
  <c r="O44" i="72" s="1"/>
  <c r="N72" i="72"/>
  <c r="O72" i="72" s="1"/>
  <c r="K44" i="72"/>
  <c r="L44" i="72" s="1"/>
  <c r="K19" i="72"/>
  <c r="L19" i="72" s="1"/>
  <c r="N40" i="72"/>
  <c r="O40" i="72" s="1"/>
  <c r="N94" i="72"/>
  <c r="O94" i="72" s="1"/>
  <c r="K51" i="72"/>
  <c r="L51" i="72" s="1"/>
  <c r="K13" i="72"/>
  <c r="L13" i="72" s="1"/>
  <c r="K114" i="72"/>
  <c r="L114" i="72" s="1"/>
  <c r="N33" i="72"/>
  <c r="O33" i="72" s="1"/>
  <c r="M36" i="72"/>
  <c r="N10" i="72"/>
  <c r="O10" i="72" s="1"/>
  <c r="N114" i="72"/>
  <c r="O114" i="72" s="1"/>
  <c r="K36" i="72"/>
  <c r="L36" i="72" s="1"/>
  <c r="N51" i="72"/>
  <c r="O51" i="72" s="1"/>
  <c r="N15" i="72"/>
  <c r="O15" i="72" s="1"/>
  <c r="K103" i="72"/>
  <c r="L103" i="72" s="1"/>
  <c r="N98" i="72"/>
  <c r="O98" i="72" s="1"/>
  <c r="N7" i="72"/>
  <c r="O7" i="72" s="1"/>
  <c r="N119" i="72"/>
  <c r="O119" i="72" s="1"/>
  <c r="N102" i="72"/>
  <c r="O102" i="72" s="1"/>
  <c r="K16" i="72"/>
  <c r="L16" i="72" s="1"/>
  <c r="M98" i="72"/>
  <c r="N108" i="72"/>
  <c r="O108" i="72" s="1"/>
  <c r="N9" i="72"/>
  <c r="O9" i="72" s="1"/>
  <c r="K94" i="72"/>
  <c r="L94" i="72" s="1"/>
  <c r="K49" i="72"/>
  <c r="L49" i="72" s="1"/>
  <c r="N49" i="72"/>
  <c r="O49" i="72" s="1"/>
  <c r="N34" i="72"/>
  <c r="O34" i="72" s="1"/>
  <c r="C13" i="9"/>
  <c r="C18" i="9" s="1"/>
  <c r="M121" i="72"/>
  <c r="M112" i="72"/>
  <c r="L5" i="11"/>
  <c r="K121" i="72"/>
  <c r="L121" i="72" s="1"/>
  <c r="N43" i="72"/>
  <c r="O43" i="72" s="1"/>
  <c r="N105" i="72"/>
  <c r="O105" i="72" s="1"/>
  <c r="N12" i="72"/>
  <c r="O12" i="72" s="1"/>
  <c r="E43" i="11"/>
  <c r="C19" i="18"/>
  <c r="E5" i="18"/>
  <c r="E47" i="11" s="1"/>
  <c r="N8" i="72"/>
  <c r="O8" i="72" s="1"/>
  <c r="N35" i="72"/>
  <c r="O35" i="72" s="1"/>
  <c r="N107" i="72"/>
  <c r="O107" i="72" s="1"/>
  <c r="K9" i="72"/>
  <c r="L9" i="72" s="1"/>
  <c r="N23" i="72"/>
  <c r="O23" i="72" s="1"/>
  <c r="M25" i="72"/>
  <c r="K7" i="72"/>
  <c r="L7" i="72" s="1"/>
  <c r="K23" i="72"/>
  <c r="L23" i="72" s="1"/>
  <c r="N54" i="72"/>
  <c r="O54" i="72" s="1"/>
  <c r="N63" i="72"/>
  <c r="O63" i="72" s="1"/>
  <c r="M7" i="72"/>
  <c r="M40" i="72"/>
  <c r="K83" i="72"/>
  <c r="L83" i="72" s="1"/>
  <c r="K42" i="72"/>
  <c r="L42" i="72" s="1"/>
  <c r="K88" i="72"/>
  <c r="L88" i="72" s="1"/>
  <c r="N83" i="72"/>
  <c r="O83" i="72" s="1"/>
  <c r="M42" i="72"/>
  <c r="M88" i="72"/>
  <c r="M82" i="72"/>
  <c r="K93" i="72"/>
  <c r="L93" i="72" s="1"/>
  <c r="N42" i="72"/>
  <c r="O42" i="72" s="1"/>
  <c r="N71" i="72"/>
  <c r="O71" i="72" s="1"/>
  <c r="K28" i="72"/>
  <c r="L28" i="72" s="1"/>
  <c r="K81" i="72"/>
  <c r="L81" i="72" s="1"/>
  <c r="N64" i="72"/>
  <c r="O64" i="72" s="1"/>
  <c r="M62" i="72"/>
  <c r="K30" i="72"/>
  <c r="L30" i="72" s="1"/>
  <c r="M18" i="72"/>
  <c r="N104" i="72"/>
  <c r="O104" i="72" s="1"/>
  <c r="K18" i="72"/>
  <c r="L18" i="72" s="1"/>
  <c r="K27" i="72"/>
  <c r="L27" i="72" s="1"/>
  <c r="K82" i="72"/>
  <c r="L82" i="72" s="1"/>
  <c r="K66" i="72"/>
  <c r="L66" i="72" s="1"/>
  <c r="K14" i="72"/>
  <c r="L14" i="72" s="1"/>
  <c r="K48" i="72"/>
  <c r="L48" i="72" s="1"/>
  <c r="N84" i="72"/>
  <c r="O84" i="72" s="1"/>
  <c r="N38" i="72"/>
  <c r="O38" i="72" s="1"/>
  <c r="M70" i="72"/>
  <c r="N62" i="72"/>
  <c r="O62" i="72" s="1"/>
  <c r="K20" i="72"/>
  <c r="L20" i="72" s="1"/>
  <c r="K22" i="72"/>
  <c r="L22" i="72" s="1"/>
  <c r="N66" i="72"/>
  <c r="O66" i="72" s="1"/>
  <c r="M14" i="72"/>
  <c r="N25" i="72"/>
  <c r="O25" i="72" s="1"/>
  <c r="N109" i="72"/>
  <c r="O109" i="72" s="1"/>
  <c r="N106" i="72"/>
  <c r="O106" i="72" s="1"/>
  <c r="N4" i="72"/>
  <c r="O4" i="72" s="1"/>
  <c r="M32" i="72"/>
  <c r="N30" i="72"/>
  <c r="O30" i="72" s="1"/>
  <c r="K80" i="72"/>
  <c r="L80" i="72" s="1"/>
  <c r="M69" i="72"/>
  <c r="N113" i="72"/>
  <c r="O113" i="72" s="1"/>
  <c r="N86" i="72"/>
  <c r="O86" i="72" s="1"/>
  <c r="N5" i="72"/>
  <c r="O5" i="72" s="1"/>
  <c r="K92" i="72"/>
  <c r="L92" i="72" s="1"/>
  <c r="N80" i="72"/>
  <c r="O80" i="72" s="1"/>
  <c r="M34" i="72"/>
  <c r="M50" i="72"/>
  <c r="M53" i="72"/>
  <c r="M31" i="72"/>
  <c r="N61" i="72"/>
  <c r="O61" i="72" s="1"/>
  <c r="K17" i="72"/>
  <c r="L17" i="72" s="1"/>
  <c r="N24" i="72"/>
  <c r="O24" i="72" s="1"/>
  <c r="M74" i="72"/>
  <c r="K3" i="72"/>
  <c r="L3" i="72" s="1"/>
  <c r="M58" i="72"/>
  <c r="K39" i="72"/>
  <c r="L39" i="72" s="1"/>
  <c r="N97" i="72"/>
  <c r="O97" i="72" s="1"/>
  <c r="M102" i="72"/>
  <c r="N74" i="72"/>
  <c r="O74" i="72" s="1"/>
  <c r="K120" i="72"/>
  <c r="L120" i="72" s="1"/>
  <c r="N85" i="72"/>
  <c r="O85" i="72" s="1"/>
  <c r="K33" i="72"/>
  <c r="L33" i="72" s="1"/>
  <c r="K107" i="72"/>
  <c r="L107" i="72" s="1"/>
  <c r="K50" i="72"/>
  <c r="L50" i="72" s="1"/>
  <c r="N96" i="72"/>
  <c r="O96" i="72" s="1"/>
  <c r="K106" i="72"/>
  <c r="L106" i="72" s="1"/>
  <c r="K118" i="72"/>
  <c r="L118" i="72" s="1"/>
  <c r="N46" i="72"/>
  <c r="O46" i="72" s="1"/>
  <c r="K97" i="72"/>
  <c r="L97" i="72" s="1"/>
  <c r="K102" i="72"/>
  <c r="L102" i="72" s="1"/>
  <c r="K79" i="72"/>
  <c r="L79" i="72" s="1"/>
  <c r="N76" i="72"/>
  <c r="O76" i="72" s="1"/>
  <c r="M107" i="72"/>
  <c r="N112" i="72"/>
  <c r="O112" i="72" s="1"/>
  <c r="K96" i="72"/>
  <c r="L96" i="72" s="1"/>
  <c r="M118" i="72"/>
  <c r="K91" i="72"/>
  <c r="L91" i="72" s="1"/>
  <c r="M97" i="72"/>
  <c r="K119" i="72"/>
  <c r="L119" i="72" s="1"/>
  <c r="K40" i="72"/>
  <c r="L40" i="72" s="1"/>
  <c r="K32" i="72"/>
  <c r="L32" i="72" s="1"/>
  <c r="N32" i="72"/>
  <c r="O32" i="72" s="1"/>
  <c r="C4" i="9"/>
  <c r="D4" i="9" s="1"/>
  <c r="E4" i="9" s="1"/>
  <c r="N117" i="72"/>
  <c r="O117" i="72" s="1"/>
  <c r="N93" i="72"/>
  <c r="O93" i="72" s="1"/>
  <c r="K113" i="72"/>
  <c r="L113" i="72" s="1"/>
  <c r="N53" i="72"/>
  <c r="O53" i="72" s="1"/>
  <c r="M64" i="72"/>
  <c r="N120" i="72"/>
  <c r="O120" i="72" s="1"/>
  <c r="N69" i="72"/>
  <c r="O69" i="72" s="1"/>
  <c r="M113" i="72"/>
  <c r="C10" i="9"/>
  <c r="D10" i="9" s="1"/>
  <c r="E10" i="9" s="1"/>
  <c r="N116" i="72"/>
  <c r="O116" i="72" s="1"/>
  <c r="N65" i="72"/>
  <c r="O65" i="72" s="1"/>
  <c r="N41" i="72"/>
  <c r="O41" i="72" s="1"/>
  <c r="G5" i="11"/>
  <c r="G6" i="11" s="1"/>
  <c r="M92" i="72"/>
  <c r="N28" i="72"/>
  <c r="O28" i="72" s="1"/>
  <c r="K110" i="72"/>
  <c r="L110" i="72" s="1"/>
  <c r="M66" i="72"/>
  <c r="K31" i="72"/>
  <c r="L31" i="72" s="1"/>
  <c r="N59" i="72"/>
  <c r="O59" i="72" s="1"/>
  <c r="N81" i="72"/>
  <c r="O81" i="72" s="1"/>
  <c r="N26" i="72"/>
  <c r="O26" i="72" s="1"/>
  <c r="M110" i="72"/>
  <c r="K10" i="72"/>
  <c r="L10" i="72" s="1"/>
  <c r="N48" i="72"/>
  <c r="O48" i="72" s="1"/>
  <c r="M10" i="72"/>
  <c r="N70" i="72"/>
  <c r="O70" i="72" s="1"/>
  <c r="M12" i="72"/>
  <c r="N56" i="72"/>
  <c r="O56" i="72" s="1"/>
  <c r="N88" i="72"/>
  <c r="O88" i="72" s="1"/>
  <c r="N11" i="72"/>
  <c r="O11" i="72" s="1"/>
  <c r="K61" i="72"/>
  <c r="L61" i="72" s="1"/>
  <c r="N103" i="72"/>
  <c r="O103" i="72" s="1"/>
  <c r="K85" i="72"/>
  <c r="L85" i="72" s="1"/>
  <c r="K12" i="72"/>
  <c r="L12" i="72" s="1"/>
  <c r="N39" i="72"/>
  <c r="O39" i="72" s="1"/>
  <c r="K4" i="72"/>
  <c r="L4" i="72" s="1"/>
  <c r="M56" i="72"/>
  <c r="N45" i="72"/>
  <c r="O45" i="72" s="1"/>
  <c r="N73" i="72"/>
  <c r="O73" i="72" s="1"/>
  <c r="K63" i="72"/>
  <c r="L63" i="72" s="1"/>
  <c r="N77" i="72"/>
  <c r="O77" i="72" s="1"/>
  <c r="K47" i="72"/>
  <c r="L47" i="72" s="1"/>
  <c r="K90" i="72"/>
  <c r="L90" i="72" s="1"/>
  <c r="N91" i="72"/>
  <c r="O91" i="72" s="1"/>
  <c r="K6" i="72"/>
  <c r="L6" i="72" s="1"/>
  <c r="M119" i="72"/>
  <c r="N60" i="72"/>
  <c r="O60" i="72" s="1"/>
  <c r="K45" i="72"/>
  <c r="L45" i="72" s="1"/>
  <c r="M63" i="72"/>
  <c r="K8" i="72"/>
  <c r="L8" i="72" s="1"/>
  <c r="N52" i="72"/>
  <c r="O52" i="72" s="1"/>
  <c r="K77" i="72"/>
  <c r="L77" i="72" s="1"/>
  <c r="N47" i="72"/>
  <c r="O47" i="72" s="1"/>
  <c r="K11" i="72"/>
  <c r="L11" i="72" s="1"/>
  <c r="M90" i="72"/>
  <c r="M6" i="72"/>
  <c r="K60" i="72"/>
  <c r="L60" i="72" s="1"/>
  <c r="F9" i="9"/>
  <c r="N29" i="72"/>
  <c r="O29" i="72" s="1"/>
  <c r="K52" i="72"/>
  <c r="L52" i="72" s="1"/>
  <c r="K109" i="72"/>
  <c r="L109" i="72" s="1"/>
  <c r="K72" i="72"/>
  <c r="L72" i="72" s="1"/>
  <c r="C7" i="9"/>
  <c r="D7" i="9" s="1"/>
  <c r="E7" i="9" s="1"/>
  <c r="N101" i="72"/>
  <c r="O101" i="72" s="1"/>
  <c r="F5" i="11"/>
  <c r="F6" i="11" s="1"/>
  <c r="C5" i="11"/>
  <c r="C6" i="11" s="1"/>
  <c r="I165" i="72"/>
  <c r="J165" i="72" s="1"/>
  <c r="C8" i="9"/>
  <c r="D8" i="9" s="1"/>
  <c r="E8" i="9" s="1"/>
  <c r="N123" i="72"/>
  <c r="O123" i="72" s="1"/>
  <c r="N122" i="72"/>
  <c r="O122" i="72" s="1"/>
  <c r="I5" i="11"/>
  <c r="I6" i="11" s="1"/>
  <c r="M75" i="72"/>
  <c r="K75" i="72"/>
  <c r="L75" i="72" s="1"/>
  <c r="N75" i="72"/>
  <c r="O75" i="72" s="1"/>
  <c r="M57" i="72"/>
  <c r="N57" i="72"/>
  <c r="O57" i="72" s="1"/>
  <c r="N58" i="72"/>
  <c r="O58" i="72" s="1"/>
  <c r="K57" i="72"/>
  <c r="L57" i="72" s="1"/>
  <c r="H5" i="11"/>
  <c r="H6" i="11" s="1"/>
  <c r="C9" i="9"/>
  <c r="D9" i="9" s="1"/>
  <c r="E9" i="9" s="1"/>
  <c r="K111" i="72"/>
  <c r="L111" i="72" s="1"/>
  <c r="N111" i="72"/>
  <c r="O111" i="72" s="1"/>
  <c r="M111" i="72"/>
  <c r="K5" i="11"/>
  <c r="K6" i="11" s="1"/>
  <c r="C12" i="9"/>
  <c r="D12" i="9" s="1"/>
  <c r="E12" i="9" s="1"/>
  <c r="N68" i="72"/>
  <c r="O68" i="72" s="1"/>
  <c r="M68" i="72"/>
  <c r="K68" i="72"/>
  <c r="L68" i="72" s="1"/>
  <c r="K122" i="72"/>
  <c r="L122" i="72" s="1"/>
  <c r="M99" i="72"/>
  <c r="K99" i="72"/>
  <c r="L99" i="72" s="1"/>
  <c r="N99" i="72"/>
  <c r="O99" i="72" s="1"/>
  <c r="N100" i="72"/>
  <c r="O100" i="72" s="1"/>
  <c r="N87" i="72"/>
  <c r="O87" i="72" s="1"/>
  <c r="M87" i="72"/>
  <c r="K87" i="72"/>
  <c r="L87" i="72" s="1"/>
  <c r="E5" i="11"/>
  <c r="E6" i="11" s="1"/>
  <c r="C6" i="9"/>
  <c r="D6" i="9" s="1"/>
  <c r="E6" i="9" s="1"/>
  <c r="D5" i="11"/>
  <c r="D6" i="11" s="1"/>
  <c r="C5" i="9"/>
  <c r="D5" i="9" s="1"/>
  <c r="E5" i="9" s="1"/>
  <c r="N21" i="72"/>
  <c r="O21" i="72" s="1"/>
  <c r="M21" i="72"/>
  <c r="K21" i="72"/>
  <c r="L21" i="72" s="1"/>
  <c r="C3" i="9"/>
  <c r="D3" i="9" s="1"/>
  <c r="E3" i="9" s="1"/>
  <c r="B5" i="11"/>
  <c r="B6" i="11" s="1"/>
  <c r="J5" i="11"/>
  <c r="J6" i="11" s="1"/>
  <c r="C11" i="9"/>
  <c r="D11" i="9" s="1"/>
  <c r="E11" i="9" s="1"/>
  <c r="N22" i="72"/>
  <c r="O22" i="72" s="1"/>
  <c r="C14" i="9"/>
  <c r="C19" i="9" s="1"/>
  <c r="M5" i="11"/>
  <c r="I167" i="72"/>
  <c r="J167" i="72" s="1"/>
  <c r="G43" i="11"/>
  <c r="B17" i="18"/>
  <c r="D20" i="18"/>
  <c r="E9" i="18"/>
  <c r="I47" i="11" s="1"/>
  <c r="B22" i="18"/>
  <c r="C24" i="11"/>
  <c r="C43" i="11" s="1"/>
  <c r="C60" i="11" s="1"/>
  <c r="B21" i="18"/>
  <c r="E7" i="18"/>
  <c r="G47" i="11" s="1"/>
  <c r="E60" i="11"/>
  <c r="C21" i="18"/>
  <c r="D21" i="18"/>
  <c r="D30" i="18" s="1"/>
  <c r="F31" i="17"/>
  <c r="F14" i="17" s="1"/>
  <c r="G31" i="17"/>
  <c r="F24" i="11"/>
  <c r="E31" i="17"/>
  <c r="M27" i="11" s="1"/>
  <c r="C31" i="17"/>
  <c r="M18" i="11" s="1"/>
  <c r="B31" i="17"/>
  <c r="H28" i="9" s="1"/>
  <c r="J38" i="11"/>
  <c r="J43" i="11" s="1"/>
  <c r="D24" i="18"/>
  <c r="D31" i="17"/>
  <c r="M22" i="11" s="1"/>
  <c r="E8" i="18"/>
  <c r="H47" i="11" s="1"/>
  <c r="H60" i="11" s="1"/>
  <c r="I43" i="11"/>
  <c r="I60" i="11" s="1"/>
  <c r="B16" i="18"/>
  <c r="C23" i="18"/>
  <c r="B25" i="18"/>
  <c r="K24" i="11"/>
  <c r="E4" i="18"/>
  <c r="D47" i="11" s="1"/>
  <c r="D24" i="11"/>
  <c r="D43" i="11" s="1"/>
  <c r="F33" i="11"/>
  <c r="D23" i="18"/>
  <c r="K33" i="11"/>
  <c r="C25" i="18"/>
  <c r="E6" i="18"/>
  <c r="F47" i="11" s="1"/>
  <c r="C18" i="18"/>
  <c r="C30" i="18" s="1"/>
  <c r="E10" i="18"/>
  <c r="J47" i="11" s="1"/>
  <c r="B24" i="18"/>
  <c r="E2" i="18"/>
  <c r="B47" i="11" s="1"/>
  <c r="B33" i="11"/>
  <c r="B43" i="11" s="1"/>
  <c r="E11" i="18"/>
  <c r="K47" i="11" s="1"/>
  <c r="B18" i="18"/>
  <c r="L36" i="11"/>
  <c r="G46" i="11"/>
  <c r="D42" i="11"/>
  <c r="F5" i="9"/>
  <c r="I46" i="11"/>
  <c r="F10" i="9"/>
  <c r="E59" i="11"/>
  <c r="F8" i="9"/>
  <c r="K46" i="11"/>
  <c r="K59" i="11" s="1"/>
  <c r="L31" i="11"/>
  <c r="E10" i="11"/>
  <c r="G60" i="11"/>
  <c r="F6" i="9"/>
  <c r="D46" i="11"/>
  <c r="D59" i="11" s="1"/>
  <c r="L27" i="11"/>
  <c r="B59" i="11"/>
  <c r="D41" i="11"/>
  <c r="D58" i="11" s="1"/>
  <c r="J41" i="11"/>
  <c r="J58" i="11" s="1"/>
  <c r="L22" i="11"/>
  <c r="C41" i="11"/>
  <c r="C58" i="11" s="1"/>
  <c r="G59" i="11"/>
  <c r="K41" i="11"/>
  <c r="K58" i="11" s="1"/>
  <c r="G41" i="11"/>
  <c r="G58" i="11" s="1"/>
  <c r="L18" i="11"/>
  <c r="F41" i="11"/>
  <c r="F58" i="11" s="1"/>
  <c r="B58" i="11"/>
  <c r="I41" i="11"/>
  <c r="I58" i="11" s="1"/>
  <c r="H41" i="11"/>
  <c r="H58" i="11" s="1"/>
  <c r="E41" i="11"/>
  <c r="E58" i="11" s="1"/>
  <c r="H13" i="17"/>
  <c r="L45" i="11" s="1"/>
  <c r="L14" i="11"/>
  <c r="I62" i="11"/>
  <c r="I42" i="11"/>
  <c r="I59" i="11" s="1"/>
  <c r="H46" i="11"/>
  <c r="H59" i="11" s="1"/>
  <c r="H10" i="11"/>
  <c r="F46" i="11"/>
  <c r="F59" i="11" s="1"/>
  <c r="F10" i="11"/>
  <c r="J59" i="11"/>
  <c r="C10" i="11"/>
  <c r="F4" i="9"/>
  <c r="C46" i="11"/>
  <c r="C59" i="11" s="1"/>
  <c r="D13" i="9" l="1"/>
  <c r="E13" i="9" s="1"/>
  <c r="B30" i="18"/>
  <c r="M36" i="11"/>
  <c r="M28" i="9"/>
  <c r="M36" i="9" s="1"/>
  <c r="F16" i="9"/>
  <c r="G14" i="9" s="1"/>
  <c r="O135" i="72"/>
  <c r="L135" i="72"/>
  <c r="R26" i="72" s="1"/>
  <c r="M135" i="72"/>
  <c r="R29" i="72" s="1"/>
  <c r="R28" i="72"/>
  <c r="D28" i="18"/>
  <c r="M31" i="11"/>
  <c r="L28" i="9"/>
  <c r="L36" i="9" s="1"/>
  <c r="B60" i="11"/>
  <c r="J60" i="11"/>
  <c r="C28" i="18"/>
  <c r="F43" i="11"/>
  <c r="F60" i="11"/>
  <c r="K43" i="11"/>
  <c r="K60" i="11" s="1"/>
  <c r="J28" i="9"/>
  <c r="J36" i="9" s="1"/>
  <c r="D60" i="11"/>
  <c r="B28" i="18"/>
  <c r="K28" i="9"/>
  <c r="K36" i="9" s="1"/>
  <c r="L41" i="11"/>
  <c r="L58" i="11" s="1"/>
  <c r="I28" i="9"/>
  <c r="I36" i="9" s="1"/>
  <c r="H36" i="9"/>
  <c r="I14" i="17"/>
  <c r="H14" i="17"/>
  <c r="M45" i="11" s="1"/>
  <c r="M14" i="11"/>
  <c r="J14" i="17" l="1"/>
  <c r="O18" i="17"/>
  <c r="O19" i="17" s="1"/>
  <c r="R31" i="72"/>
  <c r="M41" i="11"/>
  <c r="M58" i="11" s="1"/>
  <c r="N36" i="9"/>
  <c r="G28" i="9"/>
  <c r="M10" i="11"/>
  <c r="G32" i="9"/>
  <c r="G19" i="9"/>
  <c r="M46" i="11"/>
  <c r="G18" i="9"/>
  <c r="L46" i="11"/>
  <c r="L10" i="11"/>
  <c r="G36" i="9" l="1"/>
  <c r="I40" i="9" s="1"/>
  <c r="I32" i="9" s="1"/>
  <c r="M19" i="11" s="1"/>
  <c r="H40" i="9" l="1"/>
  <c r="H32" i="9" s="1"/>
  <c r="J40" i="9"/>
  <c r="J32" i="9" s="1"/>
  <c r="K40" i="9"/>
  <c r="K32" i="9" s="1"/>
  <c r="M28" i="11" s="1"/>
  <c r="M40" i="9"/>
  <c r="M32" i="9" s="1"/>
  <c r="L40" i="9"/>
  <c r="L32" i="9" s="1"/>
  <c r="L33" i="11"/>
  <c r="L38" i="11"/>
  <c r="E12" i="18"/>
  <c r="L24" i="11"/>
  <c r="G40" i="9" l="1"/>
  <c r="M32" i="11"/>
  <c r="C13" i="18"/>
  <c r="M33" i="11" s="1"/>
  <c r="M37" i="11"/>
  <c r="D13" i="18"/>
  <c r="M38" i="11" s="1"/>
  <c r="M23" i="11"/>
  <c r="B13" i="18"/>
  <c r="N32" i="9"/>
  <c r="O32" i="9" s="1"/>
  <c r="P32" i="9" s="1"/>
  <c r="M15" i="11"/>
  <c r="L43" i="11"/>
  <c r="L47" i="11"/>
  <c r="H49" i="11"/>
  <c r="E13" i="18" l="1"/>
  <c r="M24" i="11"/>
  <c r="M43" i="11" s="1"/>
  <c r="L62" i="11"/>
  <c r="L42" i="11"/>
  <c r="L59" i="11" s="1"/>
  <c r="M62" i="11"/>
  <c r="M42" i="11"/>
  <c r="M59" i="11" s="1"/>
  <c r="L60" i="11"/>
  <c r="M47" i="11" l="1"/>
  <c r="M60" i="11" s="1"/>
  <c r="H50" i="11"/>
</calcChain>
</file>

<file path=xl/sharedStrings.xml><?xml version="1.0" encoding="utf-8"?>
<sst xmlns="http://schemas.openxmlformats.org/spreadsheetml/2006/main" count="377" uniqueCount="143">
  <si>
    <t>Loss Factor</t>
  </si>
  <si>
    <t>Total Billed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</si>
  <si>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</si>
  <si>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</si>
  <si>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</si>
  <si>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</si>
  <si>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</si>
  <si>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</si>
  <si>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</si>
  <si>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</si>
  <si>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>Check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</si>
  <si>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</si>
  <si>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</si>
  <si>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</si>
  <si>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</si>
  <si>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</si>
  <si>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</si>
  <si>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</si>
  <si>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</si>
  <si>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</si>
  <si>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</si>
  <si>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</si>
  <si>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</si>
  <si>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</si>
  <si>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</si>
  <si>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</si>
  <si>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</si>
  <si>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</si>
  <si>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</si>
  <si>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</si>
  <si>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</si>
  <si>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</si>
  <si>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</si>
  <si>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</si>
  <si>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</si>
  <si>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</si>
  <si>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</si>
  <si>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</si>
  <si>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</si>
  <si>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</si>
  <si>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</si>
  <si>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</si>
  <si>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</si>
  <si>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</si>
  <si>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</si>
  <si>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May</t>
  </si>
  <si>
    <t>kWh</t>
  </si>
  <si>
    <t>kW</t>
  </si>
  <si>
    <t xml:space="preserve">2016 Actual </t>
  </si>
  <si>
    <t xml:space="preserve">2017 Actual </t>
  </si>
  <si>
    <t>Power Purchased</t>
  </si>
  <si>
    <t>MAPE</t>
  </si>
  <si>
    <t>Average Number of Customer/Connections</t>
  </si>
  <si>
    <t xml:space="preserve">2018 Actual </t>
  </si>
  <si>
    <t xml:space="preserve">2019 Actual </t>
  </si>
  <si>
    <t xml:space="preserve">Total Billed </t>
  </si>
  <si>
    <t>Input data</t>
  </si>
  <si>
    <t>Residential</t>
  </si>
  <si>
    <t>Coefficient-If negative, it's reducing, if +ve, it's adding</t>
  </si>
  <si>
    <t>R Square of 90% is OK</t>
  </si>
  <si>
    <t>Adjusted R Square takes into consideration the number of variables</t>
  </si>
  <si>
    <t>ANOVA is not really used</t>
  </si>
  <si>
    <t>Tstat indicates how relevant a variable is.Should be greater than absolute value of 2, if less than 2 it is not statistically significant so don’t use it</t>
  </si>
  <si>
    <t>Year</t>
  </si>
  <si>
    <t>Check - must be zero</t>
  </si>
  <si>
    <t>Demand only</t>
  </si>
  <si>
    <t>2021 Actual</t>
  </si>
  <si>
    <t>2022 Actual</t>
  </si>
  <si>
    <t>Date</t>
  </si>
  <si>
    <t>General Service &lt; 50 kW</t>
  </si>
  <si>
    <t>General Service &gt; 50 to 4999 kW</t>
  </si>
  <si>
    <t>USL</t>
  </si>
  <si>
    <t>Consumption</t>
  </si>
  <si>
    <t>Wholesale</t>
  </si>
  <si>
    <t>Retail Consumption</t>
  </si>
  <si>
    <t>Wholesale Purchases</t>
  </si>
  <si>
    <t>Number of Customer/ Connection</t>
  </si>
  <si>
    <t>Customer/ Connection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</si>
  <si>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</si>
  <si>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</si>
  <si>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</si>
  <si>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</si>
  <si>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</si>
  <si>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</si>
  <si>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</si>
  <si>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</si>
  <si>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</si>
  <si>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</si>
  <si>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</si>
  <si>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Geomean Monthly Escalation</t>
  </si>
  <si>
    <t>Days in Month</t>
  </si>
  <si>
    <t>Average Customer / Connection Count</t>
  </si>
  <si>
    <t>Month</t>
  </si>
  <si>
    <t>Weather Normal</t>
  </si>
  <si>
    <t xml:space="preserve">2020 Actual </t>
  </si>
  <si>
    <t>2015 Actual</t>
  </si>
  <si>
    <t>2025 Test</t>
  </si>
  <si>
    <t>2014 Actual</t>
  </si>
  <si>
    <t>Sentinel Lighting</t>
  </si>
  <si>
    <t>Street Lighting</t>
  </si>
  <si>
    <t>*Obtained from Beatrice Station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</si>
  <si>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</si>
  <si>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</si>
  <si>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</si>
  <si>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</si>
  <si>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</si>
  <si>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</si>
  <si>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</si>
  <si>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2023 Actual</t>
  </si>
  <si>
    <t>Lakeland Power Weather Normal Load Forecast for 2025 Rate Application</t>
  </si>
  <si>
    <t>Summer Flag</t>
  </si>
  <si>
    <t>Heating Degree Days</t>
  </si>
  <si>
    <t>Residual (kWh)</t>
  </si>
  <si>
    <t>% Residual</t>
  </si>
  <si>
    <t>% Residual (Abs)</t>
  </si>
  <si>
    <t>Residual Squared</t>
  </si>
  <si>
    <t>Difference of Residuals</t>
  </si>
  <si>
    <t>Difference of Residuals Squared</t>
  </si>
  <si>
    <t>Sum of Squared Difference of Residuals</t>
  </si>
  <si>
    <t>Sum of Squared Residuals</t>
  </si>
  <si>
    <t>Durbin-Watson Calculation</t>
  </si>
  <si>
    <t>2024 Actual</t>
  </si>
  <si>
    <t>Last 11 years</t>
  </si>
  <si>
    <t>11-year average</t>
  </si>
  <si>
    <t>Customers</t>
  </si>
  <si>
    <t>Covid Flag</t>
  </si>
  <si>
    <t>Monthly Growth Rate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</si>
  <si>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</si>
  <si>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</si>
  <si>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</si>
  <si>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</si>
  <si>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</si>
  <si>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</si>
  <si>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</si>
  <si>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</si>
  <si>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</si>
  <si>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</si>
  <si>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</si>
  <si>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 xml:space="preserve">Average </t>
  </si>
  <si>
    <t>2024
Yr End</t>
  </si>
  <si>
    <t>Weather</t>
  </si>
  <si>
    <t>Factor</t>
  </si>
  <si>
    <t>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</si>
</sst>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_-* #,##0.00_-;\-* #,##0.00_-;_-* \-??_-;_-@_-"/>
    <numFmt numFmtId="180" formatCode="#,##0.0;\-#,##0.0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Times New Roman"/>
      <family val="1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"/>
    </font>
    <font>
      <b/>
      <sz val="12"/>
      <color rgb="FFFFC000"/>
      <name val="Arial"/>
      <family val="2"/>
    </font>
    <font>
      <sz val="10"/>
      <name val="Mangal"/>
      <family val="2"/>
      <charset val="1"/>
    </font>
    <font>
      <u/>
      <sz val="10"/>
      <color indexed="12"/>
      <name val="Times New Roman"/>
      <family val="1"/>
    </font>
    <font>
      <sz val="10"/>
      <color theme="0" tint="-0.1499984740745262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</fonts>
  <fills count="7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/>
      <bottom style="thin">
        <color indexed="64"/>
      </bottom>
      <diagonal/>
    </border>
    <border>
      <left style="medium">
        <color theme="4" tint="-0.249977111117893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60">
    <xf numFmtId="0" fontId="0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" fillId="5" borderId="1" applyNumberFormat="0" applyProtection="0">
      <alignment horizontal="left" vertical="center"/>
    </xf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9" fillId="0" borderId="0"/>
    <xf numFmtId="174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5" fontId="9" fillId="0" borderId="0"/>
    <xf numFmtId="176" fontId="9" fillId="0" borderId="0"/>
    <xf numFmtId="175" fontId="9" fillId="0" borderId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24" fillId="7" borderId="0" applyNumberFormat="0" applyBorder="0" applyAlignment="0" applyProtection="0"/>
    <xf numFmtId="0" fontId="28" fillId="10" borderId="10" applyNumberFormat="0" applyAlignment="0" applyProtection="0"/>
    <xf numFmtId="0" fontId="30" fillId="11" borderId="13" applyNumberFormat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3" fillId="6" borderId="0" applyNumberFormat="0" applyBorder="0" applyAlignment="0" applyProtection="0"/>
    <xf numFmtId="38" fontId="15" fillId="37" borderId="0" applyNumberFormat="0" applyBorder="0" applyAlignment="0" applyProtection="0"/>
    <xf numFmtId="38" fontId="15" fillId="37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10" fontId="15" fillId="38" borderId="1" applyNumberFormat="0" applyBorder="0" applyAlignment="0" applyProtection="0"/>
    <xf numFmtId="10" fontId="15" fillId="38" borderId="1" applyNumberFormat="0" applyBorder="0" applyAlignment="0" applyProtection="0"/>
    <xf numFmtId="0" fontId="26" fillId="9" borderId="10" applyNumberFormat="0" applyAlignment="0" applyProtection="0"/>
    <xf numFmtId="0" fontId="29" fillId="0" borderId="12" applyNumberFormat="0" applyFill="0" applyAlignment="0" applyProtection="0"/>
    <xf numFmtId="177" fontId="9" fillId="0" borderId="0"/>
    <xf numFmtId="172" fontId="9" fillId="0" borderId="0"/>
    <xf numFmtId="177" fontId="9" fillId="0" borderId="0"/>
    <xf numFmtId="177" fontId="9" fillId="0" borderId="0"/>
    <xf numFmtId="177" fontId="9" fillId="0" borderId="0"/>
    <xf numFmtId="177" fontId="9" fillId="0" borderId="0"/>
    <xf numFmtId="0" fontId="25" fillId="8" borderId="0" applyNumberFormat="0" applyBorder="0" applyAlignment="0" applyProtection="0"/>
    <xf numFmtId="178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12" borderId="14" applyNumberFormat="0" applyFont="0" applyAlignment="0" applyProtection="0"/>
    <xf numFmtId="0" fontId="27" fillId="10" borderId="11" applyNumberFormat="0" applyAlignment="0" applyProtection="0"/>
    <xf numFmtId="10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 applyNumberFormat="0" applyBorder="0" applyAlignment="0"/>
    <xf numFmtId="0" fontId="35" fillId="0" borderId="0" applyNumberFormat="0" applyBorder="0" applyAlignment="0"/>
    <xf numFmtId="0" fontId="36" fillId="0" borderId="0" applyNumberFormat="0" applyBorder="0" applyAlignment="0"/>
    <xf numFmtId="0" fontId="37" fillId="0" borderId="16">
      <alignment horizontal="center" vertical="center"/>
    </xf>
    <xf numFmtId="0" fontId="19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38" fillId="0" borderId="0"/>
    <xf numFmtId="166" fontId="38" fillId="0" borderId="0" applyFont="0" applyFill="0" applyBorder="0" applyAlignment="0" applyProtection="0"/>
    <xf numFmtId="0" fontId="38" fillId="0" borderId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43" fontId="38" fillId="0" borderId="0" applyFont="0" applyFill="0" applyBorder="0" applyAlignment="0" applyProtection="0"/>
    <xf numFmtId="166" fontId="4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0" fillId="0" borderId="0"/>
    <xf numFmtId="0" fontId="3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5" borderId="1" applyNumberFormat="0" applyProtection="0">
      <alignment horizontal="left" vertical="center"/>
    </xf>
    <xf numFmtId="0" fontId="9" fillId="5" borderId="1" applyNumberFormat="0" applyProtection="0">
      <alignment horizontal="left" vertical="center"/>
    </xf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0" borderId="0"/>
    <xf numFmtId="166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58" fillId="51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4" borderId="0" applyNumberFormat="0" applyBorder="0" applyAlignment="0" applyProtection="0"/>
    <xf numFmtId="0" fontId="58" fillId="55" borderId="0" applyNumberFormat="0" applyBorder="0" applyAlignment="0" applyProtection="0"/>
    <xf numFmtId="0" fontId="58" fillId="56" borderId="0" applyNumberFormat="0" applyBorder="0" applyAlignment="0" applyProtection="0"/>
    <xf numFmtId="0" fontId="58" fillId="57" borderId="0" applyNumberFormat="0" applyBorder="0" applyAlignment="0" applyProtection="0"/>
    <xf numFmtId="0" fontId="60" fillId="59" borderId="17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69" fillId="61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25" applyNumberFormat="0" applyFill="0" applyAlignment="0" applyProtection="0"/>
    <xf numFmtId="0" fontId="73" fillId="0" borderId="0" applyNumberFormat="0" applyFill="0" applyBorder="0" applyAlignment="0" applyProtection="0"/>
    <xf numFmtId="0" fontId="9" fillId="0" borderId="0"/>
    <xf numFmtId="0" fontId="21" fillId="0" borderId="8" applyNumberFormat="0" applyFill="0" applyAlignment="0" applyProtection="0"/>
    <xf numFmtId="0" fontId="20" fillId="0" borderId="7" applyNumberFormat="0" applyFill="0" applyAlignment="0" applyProtection="0"/>
    <xf numFmtId="0" fontId="4" fillId="0" borderId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10" applyNumberFormat="0" applyAlignment="0" applyProtection="0"/>
    <xf numFmtId="0" fontId="27" fillId="10" borderId="11" applyNumberFormat="0" applyAlignment="0" applyProtection="0"/>
    <xf numFmtId="0" fontId="28" fillId="10" borderId="10" applyNumberFormat="0" applyAlignment="0" applyProtection="0"/>
    <xf numFmtId="0" fontId="29" fillId="0" borderId="12" applyNumberFormat="0" applyFill="0" applyAlignment="0" applyProtection="0"/>
    <xf numFmtId="0" fontId="30" fillId="11" borderId="13" applyNumberFormat="0" applyAlignment="0" applyProtection="0"/>
    <xf numFmtId="0" fontId="31" fillId="0" borderId="0" applyNumberFormat="0" applyFill="0" applyBorder="0" applyAlignment="0" applyProtection="0"/>
    <xf numFmtId="0" fontId="4" fillId="12" borderId="14" applyNumberFormat="0" applyFont="0" applyAlignment="0" applyProtection="0"/>
    <xf numFmtId="0" fontId="32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3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3" fillId="36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4" fillId="0" borderId="0"/>
    <xf numFmtId="0" fontId="70" fillId="59" borderId="24" applyNumberFormat="0" applyAlignment="0" applyProtection="0"/>
    <xf numFmtId="0" fontId="61" fillId="60" borderId="18" applyNumberFormat="0" applyAlignment="0" applyProtection="0"/>
    <xf numFmtId="0" fontId="67" fillId="46" borderId="17" applyNumberFormat="0" applyAlignment="0" applyProtection="0"/>
    <xf numFmtId="0" fontId="9" fillId="62" borderId="23" applyNumberFormat="0" applyFont="0" applyAlignment="0" applyProtection="0"/>
    <xf numFmtId="0" fontId="63" fillId="43" borderId="0" applyNumberFormat="0" applyBorder="0" applyAlignment="0" applyProtection="0"/>
    <xf numFmtId="0" fontId="59" fillId="42" borderId="0" applyNumberFormat="0" applyBorder="0" applyAlignment="0" applyProtection="0"/>
    <xf numFmtId="0" fontId="66" fillId="0" borderId="21" applyNumberFormat="0" applyFill="0" applyAlignment="0" applyProtection="0"/>
    <xf numFmtId="0" fontId="65" fillId="0" borderId="20" applyNumberFormat="0" applyFill="0" applyAlignment="0" applyProtection="0"/>
    <xf numFmtId="0" fontId="62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56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8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58" fillId="58" borderId="0" applyNumberFormat="0" applyBorder="0" applyAlignment="0" applyProtection="0"/>
    <xf numFmtId="0" fontId="58" fillId="52" borderId="0" applyNumberFormat="0" applyBorder="0" applyAlignment="0" applyProtection="0"/>
    <xf numFmtId="43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0" borderId="0"/>
    <xf numFmtId="0" fontId="68" fillId="0" borderId="22" applyNumberFormat="0" applyFill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66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9" fillId="0" borderId="0"/>
    <xf numFmtId="0" fontId="67" fillId="46" borderId="17" applyNumberFormat="0" applyAlignment="0" applyProtection="0"/>
    <xf numFmtId="0" fontId="67" fillId="46" borderId="17" applyNumberFormat="0" applyAlignment="0" applyProtection="0"/>
    <xf numFmtId="0" fontId="67" fillId="46" borderId="17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7" fillId="46" borderId="17" applyNumberFormat="0" applyAlignment="0" applyProtection="0"/>
    <xf numFmtId="0" fontId="9" fillId="0" borderId="0"/>
    <xf numFmtId="0" fontId="38" fillId="0" borderId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" fillId="0" borderId="0"/>
    <xf numFmtId="0" fontId="9" fillId="0" borderId="0"/>
    <xf numFmtId="9" fontId="38" fillId="0" borderId="0" applyFont="0" applyFill="0" applyBorder="0" applyAlignment="0" applyProtection="0"/>
    <xf numFmtId="0" fontId="38" fillId="0" borderId="0"/>
    <xf numFmtId="9" fontId="9" fillId="0" borderId="0" applyFont="0" applyFill="0" applyBorder="0" applyAlignment="0" applyProtection="0"/>
    <xf numFmtId="0" fontId="9" fillId="0" borderId="0"/>
    <xf numFmtId="9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4" fillId="0" borderId="0"/>
    <xf numFmtId="44" fontId="3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8" fillId="0" borderId="0"/>
    <xf numFmtId="43" fontId="38" fillId="0" borderId="0" applyFont="0" applyFill="0" applyBorder="0" applyAlignment="0" applyProtection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" fillId="0" borderId="0"/>
    <xf numFmtId="0" fontId="56" fillId="0" borderId="0" applyNumberFormat="0" applyFill="0" applyBorder="0" applyAlignment="0" applyProtection="0"/>
    <xf numFmtId="0" fontId="74" fillId="0" borderId="0"/>
    <xf numFmtId="0" fontId="3" fillId="0" borderId="0"/>
    <xf numFmtId="0" fontId="76" fillId="0" borderId="0"/>
    <xf numFmtId="179" fontId="78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2" fillId="0" borderId="0"/>
    <xf numFmtId="0" fontId="2" fillId="0" borderId="0"/>
    <xf numFmtId="0" fontId="9" fillId="0" borderId="0"/>
    <xf numFmtId="0" fontId="9" fillId="0" borderId="0"/>
    <xf numFmtId="0" fontId="72" fillId="0" borderId="50" applyNumberFormat="0" applyFill="0" applyAlignment="0" applyProtection="0"/>
    <xf numFmtId="0" fontId="60" fillId="59" borderId="42" applyNumberFormat="0" applyAlignment="0" applyProtection="0"/>
    <xf numFmtId="0" fontId="70" fillId="59" borderId="49" applyNumberFormat="0" applyAlignment="0" applyProtection="0"/>
    <xf numFmtId="0" fontId="67" fillId="46" borderId="47" applyNumberFormat="0" applyAlignment="0" applyProtection="0"/>
    <xf numFmtId="0" fontId="60" fillId="59" borderId="47" applyNumberFormat="0" applyAlignment="0" applyProtection="0"/>
    <xf numFmtId="0" fontId="67" fillId="46" borderId="42" applyNumberFormat="0" applyAlignment="0" applyProtection="0"/>
    <xf numFmtId="0" fontId="9" fillId="62" borderId="43" applyNumberFormat="0" applyFont="0" applyAlignment="0" applyProtection="0"/>
    <xf numFmtId="0" fontId="70" fillId="59" borderId="44" applyNumberFormat="0" applyAlignment="0" applyProtection="0"/>
    <xf numFmtId="0" fontId="72" fillId="0" borderId="45" applyNumberFormat="0" applyFill="0" applyAlignment="0" applyProtection="0"/>
    <xf numFmtId="0" fontId="9" fillId="0" borderId="0"/>
    <xf numFmtId="0" fontId="1" fillId="0" borderId="0"/>
    <xf numFmtId="0" fontId="67" fillId="46" borderId="47" applyNumberFormat="0" applyAlignment="0" applyProtection="0"/>
    <xf numFmtId="0" fontId="9" fillId="62" borderId="48" applyNumberFormat="0" applyFont="0" applyAlignment="0" applyProtection="0"/>
    <xf numFmtId="0" fontId="1" fillId="12" borderId="1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7" fillId="46" borderId="47" applyNumberForma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9" fillId="0" borderId="0" applyFont="0" applyFill="0" applyBorder="0" applyAlignment="0" applyProtection="0"/>
    <xf numFmtId="10" fontId="15" fillId="38" borderId="46" applyNumberFormat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62" borderId="43" applyNumberFormat="0" applyFont="0" applyAlignment="0" applyProtection="0"/>
    <xf numFmtId="0" fontId="9" fillId="0" borderId="0"/>
    <xf numFmtId="0" fontId="1" fillId="0" borderId="0"/>
    <xf numFmtId="0" fontId="1" fillId="12" borderId="1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12" borderId="1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7" fillId="46" borderId="47" applyNumberFormat="0" applyAlignment="0" applyProtection="0"/>
    <xf numFmtId="10" fontId="15" fillId="38" borderId="41" applyNumberFormat="0" applyBorder="0" applyAlignment="0" applyProtection="0"/>
    <xf numFmtId="0" fontId="9" fillId="0" borderId="0"/>
    <xf numFmtId="0" fontId="67" fillId="46" borderId="47" applyNumberFormat="0" applyAlignment="0" applyProtection="0"/>
    <xf numFmtId="0" fontId="9" fillId="62" borderId="48" applyNumberFormat="0" applyFont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3" fillId="0" borderId="0"/>
    <xf numFmtId="0" fontId="83" fillId="0" borderId="0"/>
    <xf numFmtId="9" fontId="38" fillId="0" borderId="0" applyFont="0" applyFill="0" applyBorder="0" applyAlignment="0" applyProtection="0"/>
    <xf numFmtId="0" fontId="83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0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37" fontId="10" fillId="0" borderId="0" xfId="0" applyNumberFormat="1" applyFont="1" applyAlignment="1">
      <alignment horizontal="center"/>
    </xf>
    <xf numFmtId="3" fontId="9" fillId="0" borderId="0" xfId="1" applyNumberFormat="1" applyAlignment="1">
      <alignment horizontal="center"/>
    </xf>
    <xf numFmtId="167" fontId="10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2" fillId="0" borderId="0" xfId="0" applyFont="1"/>
    <xf numFmtId="3" fontId="0" fillId="2" borderId="0" xfId="0" applyNumberFormat="1" applyFill="1" applyAlignment="1">
      <alignment horizontal="center"/>
    </xf>
    <xf numFmtId="17" fontId="12" fillId="0" borderId="0" xfId="0" applyNumberFormat="1" applyFont="1"/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12" fillId="0" borderId="0" xfId="0" applyNumberFormat="1" applyFont="1"/>
    <xf numFmtId="0" fontId="13" fillId="0" borderId="0" xfId="0" applyFont="1"/>
    <xf numFmtId="167" fontId="0" fillId="0" borderId="0" xfId="0" applyNumberFormat="1" applyAlignment="1">
      <alignment horizontal="center" wrapText="1"/>
    </xf>
    <xf numFmtId="0" fontId="12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66" fontId="0" fillId="0" borderId="0" xfId="1" applyFont="1" applyAlignment="1">
      <alignment horizontal="center"/>
    </xf>
    <xf numFmtId="172" fontId="0" fillId="0" borderId="0" xfId="1" applyNumberFormat="1" applyFont="1" applyAlignment="1">
      <alignment horizontal="center"/>
    </xf>
    <xf numFmtId="3" fontId="0" fillId="0" borderId="0" xfId="0" applyNumberFormat="1"/>
    <xf numFmtId="172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3" fontId="16" fillId="0" borderId="0" xfId="0" applyNumberFormat="1" applyFont="1" applyAlignment="1">
      <alignment horizontal="left"/>
    </xf>
    <xf numFmtId="167" fontId="0" fillId="0" borderId="0" xfId="2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38" fontId="0" fillId="0" borderId="0" xfId="0" applyNumberFormat="1" applyAlignment="1">
      <alignment horizontal="center"/>
    </xf>
    <xf numFmtId="167" fontId="0" fillId="0" borderId="0" xfId="2" applyNumberFormat="1" applyFont="1" applyFill="1" applyBorder="1" applyAlignment="1"/>
    <xf numFmtId="1" fontId="0" fillId="0" borderId="0" xfId="0" applyNumberFormat="1"/>
    <xf numFmtId="1" fontId="0" fillId="0" borderId="0" xfId="0" applyNumberFormat="1" applyAlignment="1">
      <alignment horizontal="center"/>
    </xf>
    <xf numFmtId="17" fontId="0" fillId="0" borderId="1" xfId="0" applyNumberFormat="1" applyBorder="1" applyAlignment="1">
      <alignment horizontal="left"/>
    </xf>
    <xf numFmtId="37" fontId="1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4" borderId="0" xfId="0" applyNumberFormat="1" applyFill="1" applyAlignment="1">
      <alignment horizontal="center"/>
    </xf>
    <xf numFmtId="0" fontId="9" fillId="0" borderId="0" xfId="0" applyFont="1" applyAlignment="1">
      <alignment horizontal="center"/>
    </xf>
    <xf numFmtId="171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70" fontId="0" fillId="40" borderId="0" xfId="0" applyNumberFormat="1" applyFill="1" applyAlignment="1">
      <alignment horizontal="center"/>
    </xf>
    <xf numFmtId="37" fontId="10" fillId="4" borderId="1" xfId="0" applyNumberFormat="1" applyFont="1" applyFill="1" applyBorder="1" applyAlignment="1">
      <alignment horizontal="center"/>
    </xf>
    <xf numFmtId="12" fontId="0" fillId="0" borderId="0" xfId="0" applyNumberFormat="1"/>
    <xf numFmtId="12" fontId="10" fillId="0" borderId="0" xfId="0" applyNumberFormat="1" applyFont="1"/>
    <xf numFmtId="9" fontId="0" fillId="0" borderId="0" xfId="2" applyFont="1" applyAlignment="1">
      <alignment horizontal="center"/>
    </xf>
    <xf numFmtId="3" fontId="9" fillId="0" borderId="0" xfId="0" applyNumberFormat="1" applyFont="1" applyAlignment="1">
      <alignment horizontal="center"/>
    </xf>
    <xf numFmtId="10" fontId="0" fillId="3" borderId="0" xfId="0" applyNumberFormat="1" applyFill="1" applyAlignment="1">
      <alignment horizontal="center"/>
    </xf>
    <xf numFmtId="0" fontId="9" fillId="0" borderId="0" xfId="736" applyFont="1"/>
    <xf numFmtId="0" fontId="9" fillId="0" borderId="0" xfId="736" applyFont="1" applyAlignment="1">
      <alignment horizontal="center" vertical="center"/>
    </xf>
    <xf numFmtId="0" fontId="9" fillId="0" borderId="0" xfId="736" applyFont="1" applyAlignment="1">
      <alignment vertical="center"/>
    </xf>
    <xf numFmtId="0" fontId="9" fillId="0" borderId="0" xfId="736" applyFont="1" applyAlignment="1">
      <alignment horizontal="center"/>
    </xf>
    <xf numFmtId="0" fontId="9" fillId="0" borderId="0" xfId="1526" applyFont="1"/>
    <xf numFmtId="0" fontId="75" fillId="40" borderId="1" xfId="1524" applyFont="1" applyFill="1" applyBorder="1" applyAlignment="1">
      <alignment horizontal="center" vertical="center" wrapText="1"/>
    </xf>
    <xf numFmtId="0" fontId="77" fillId="0" borderId="0" xfId="1526" applyFont="1" applyAlignment="1">
      <alignment horizontal="left" vertical="center"/>
    </xf>
    <xf numFmtId="0" fontId="75" fillId="0" borderId="0" xfId="1524" applyFont="1" applyAlignment="1">
      <alignment horizontal="center" vertical="center" wrapText="1"/>
    </xf>
    <xf numFmtId="0" fontId="9" fillId="0" borderId="1" xfId="1526" applyFont="1" applyBorder="1" applyAlignment="1">
      <alignment horizontal="center"/>
    </xf>
    <xf numFmtId="0" fontId="9" fillId="0" borderId="30" xfId="1526" applyFont="1" applyBorder="1" applyAlignment="1">
      <alignment horizontal="center"/>
    </xf>
    <xf numFmtId="1" fontId="9" fillId="0" borderId="31" xfId="1526" applyNumberFormat="1" applyFont="1" applyBorder="1" applyAlignment="1">
      <alignment horizontal="center"/>
    </xf>
    <xf numFmtId="0" fontId="9" fillId="0" borderId="32" xfId="1526" applyFont="1" applyBorder="1" applyAlignment="1">
      <alignment horizontal="left"/>
    </xf>
    <xf numFmtId="2" fontId="16" fillId="0" borderId="31" xfId="1526" applyNumberFormat="1" applyFont="1" applyBorder="1" applyAlignment="1">
      <alignment horizontal="center"/>
    </xf>
    <xf numFmtId="0" fontId="9" fillId="0" borderId="30" xfId="1526" applyFont="1" applyBorder="1" applyAlignment="1">
      <alignment horizontal="left"/>
    </xf>
    <xf numFmtId="0" fontId="9" fillId="0" borderId="33" xfId="1526" applyFont="1" applyBorder="1" applyAlignment="1">
      <alignment horizontal="center"/>
    </xf>
    <xf numFmtId="2" fontId="16" fillId="0" borderId="34" xfId="1526" applyNumberFormat="1" applyFont="1" applyBorder="1" applyAlignment="1">
      <alignment horizontal="center"/>
    </xf>
    <xf numFmtId="0" fontId="9" fillId="0" borderId="31" xfId="1526" applyFont="1" applyBorder="1" applyAlignment="1">
      <alignment horizontal="center"/>
    </xf>
    <xf numFmtId="2" fontId="16" fillId="0" borderId="30" xfId="1526" applyNumberFormat="1" applyFont="1" applyBorder="1" applyAlignment="1">
      <alignment horizontal="center"/>
    </xf>
    <xf numFmtId="0" fontId="9" fillId="0" borderId="6" xfId="1526" applyFont="1" applyBorder="1" applyAlignment="1">
      <alignment horizontal="left"/>
    </xf>
    <xf numFmtId="2" fontId="16" fillId="0" borderId="35" xfId="1526" applyNumberFormat="1" applyFont="1" applyBorder="1" applyAlignment="1">
      <alignment horizontal="center"/>
    </xf>
    <xf numFmtId="0" fontId="9" fillId="0" borderId="31" xfId="1526" applyFont="1" applyBorder="1" applyAlignment="1">
      <alignment horizontal="left"/>
    </xf>
    <xf numFmtId="0" fontId="12" fillId="0" borderId="1" xfId="1526" applyFont="1" applyBorder="1" applyAlignment="1">
      <alignment horizontal="center"/>
    </xf>
    <xf numFmtId="17" fontId="9" fillId="0" borderId="1" xfId="1526" applyNumberFormat="1" applyFont="1" applyBorder="1" applyAlignment="1">
      <alignment horizontal="left"/>
    </xf>
    <xf numFmtId="0" fontId="9" fillId="0" borderId="0" xfId="1526" applyFont="1" applyAlignment="1">
      <alignment horizontal="center"/>
    </xf>
    <xf numFmtId="1" fontId="9" fillId="64" borderId="36" xfId="1527" applyNumberFormat="1" applyFont="1" applyFill="1" applyBorder="1" applyAlignment="1">
      <alignment horizontal="center"/>
    </xf>
    <xf numFmtId="1" fontId="9" fillId="64" borderId="5" xfId="1527" applyNumberFormat="1" applyFont="1" applyFill="1" applyBorder="1" applyAlignment="1">
      <alignment horizontal="center"/>
    </xf>
    <xf numFmtId="1" fontId="9" fillId="64" borderId="37" xfId="1526" applyNumberFormat="1" applyFont="1" applyFill="1" applyBorder="1" applyAlignment="1">
      <alignment horizontal="center"/>
    </xf>
    <xf numFmtId="1" fontId="9" fillId="64" borderId="36" xfId="1526" applyNumberFormat="1" applyFont="1" applyFill="1" applyBorder="1" applyAlignment="1">
      <alignment horizontal="center"/>
    </xf>
    <xf numFmtId="1" fontId="9" fillId="64" borderId="1" xfId="1526" applyNumberFormat="1" applyFont="1" applyFill="1" applyBorder="1" applyAlignment="1">
      <alignment horizontal="center"/>
    </xf>
    <xf numFmtId="1" fontId="9" fillId="64" borderId="4" xfId="1526" applyNumberFormat="1" applyFont="1" applyFill="1" applyBorder="1" applyAlignment="1">
      <alignment horizontal="center"/>
    </xf>
    <xf numFmtId="17" fontId="9" fillId="0" borderId="0" xfId="1526" applyNumberFormat="1" applyFont="1" applyAlignment="1">
      <alignment horizontal="left"/>
    </xf>
    <xf numFmtId="1" fontId="9" fillId="65" borderId="36" xfId="1527" applyNumberFormat="1" applyFont="1" applyFill="1" applyBorder="1" applyAlignment="1">
      <alignment horizontal="center"/>
    </xf>
    <xf numFmtId="1" fontId="9" fillId="65" borderId="5" xfId="1527" applyNumberFormat="1" applyFont="1" applyFill="1" applyBorder="1" applyAlignment="1">
      <alignment horizontal="center"/>
    </xf>
    <xf numFmtId="1" fontId="9" fillId="65" borderId="37" xfId="1526" applyNumberFormat="1" applyFont="1" applyFill="1" applyBorder="1" applyAlignment="1">
      <alignment horizontal="center"/>
    </xf>
    <xf numFmtId="1" fontId="9" fillId="65" borderId="36" xfId="1526" applyNumberFormat="1" applyFont="1" applyFill="1" applyBorder="1" applyAlignment="1">
      <alignment horizontal="center"/>
    </xf>
    <xf numFmtId="1" fontId="9" fillId="65" borderId="1" xfId="1526" applyNumberFormat="1" applyFont="1" applyFill="1" applyBorder="1" applyAlignment="1">
      <alignment horizontal="center"/>
    </xf>
    <xf numFmtId="1" fontId="9" fillId="65" borderId="4" xfId="1526" applyNumberFormat="1" applyFont="1" applyFill="1" applyBorder="1" applyAlignment="1">
      <alignment horizontal="center"/>
    </xf>
    <xf numFmtId="1" fontId="9" fillId="65" borderId="26" xfId="1527" applyNumberFormat="1" applyFont="1" applyFill="1" applyBorder="1" applyAlignment="1">
      <alignment horizontal="center"/>
    </xf>
    <xf numFmtId="1" fontId="9" fillId="65" borderId="27" xfId="1526" applyNumberFormat="1" applyFont="1" applyFill="1" applyBorder="1" applyAlignment="1">
      <alignment horizontal="center"/>
    </xf>
    <xf numFmtId="1" fontId="9" fillId="65" borderId="26" xfId="1526" applyNumberFormat="1" applyFont="1" applyFill="1" applyBorder="1" applyAlignment="1">
      <alignment horizontal="center"/>
    </xf>
    <xf numFmtId="1" fontId="9" fillId="65" borderId="29" xfId="1526" applyNumberFormat="1" applyFont="1" applyFill="1" applyBorder="1" applyAlignment="1">
      <alignment horizontal="center"/>
    </xf>
    <xf numFmtId="1" fontId="9" fillId="65" borderId="38" xfId="1526" applyNumberFormat="1" applyFont="1" applyFill="1" applyBorder="1" applyAlignment="1">
      <alignment horizontal="center"/>
    </xf>
    <xf numFmtId="37" fontId="10" fillId="63" borderId="1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 wrapText="1"/>
    </xf>
    <xf numFmtId="0" fontId="9" fillId="4" borderId="0" xfId="0" applyFont="1" applyFill="1" applyAlignment="1">
      <alignment horizontal="left"/>
    </xf>
    <xf numFmtId="0" fontId="9" fillId="66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2" fontId="11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0" fillId="0" borderId="0" xfId="0" applyFont="1"/>
    <xf numFmtId="12" fontId="10" fillId="0" borderId="1" xfId="0" applyNumberFormat="1" applyFont="1" applyBorder="1" applyAlignment="1">
      <alignment horizontal="center" vertical="center"/>
    </xf>
    <xf numFmtId="0" fontId="75" fillId="68" borderId="6" xfId="1524" applyFont="1" applyFill="1" applyBorder="1" applyAlignment="1">
      <alignment horizontal="center" vertical="center" wrapText="1"/>
    </xf>
    <xf numFmtId="1" fontId="9" fillId="63" borderId="1" xfId="736" applyNumberFormat="1" applyFont="1" applyFill="1" applyBorder="1" applyAlignment="1">
      <alignment horizontal="center"/>
    </xf>
    <xf numFmtId="0" fontId="12" fillId="69" borderId="1" xfId="736" applyFont="1" applyFill="1" applyBorder="1" applyAlignment="1">
      <alignment horizontal="center"/>
    </xf>
    <xf numFmtId="0" fontId="75" fillId="40" borderId="6" xfId="1524" applyFont="1" applyFill="1" applyBorder="1" applyAlignment="1">
      <alignment horizontal="center" vertical="center" wrapText="1"/>
    </xf>
    <xf numFmtId="0" fontId="75" fillId="68" borderId="30" xfId="1524" applyFont="1" applyFill="1" applyBorder="1" applyAlignment="1">
      <alignment horizontal="center" vertical="center" wrapText="1"/>
    </xf>
    <xf numFmtId="1" fontId="75" fillId="68" borderId="31" xfId="1524" applyNumberFormat="1" applyFont="1" applyFill="1" applyBorder="1" applyAlignment="1">
      <alignment horizontal="center" vertical="center" wrapText="1"/>
    </xf>
    <xf numFmtId="0" fontId="75" fillId="68" borderId="26" xfId="1524" applyFont="1" applyFill="1" applyBorder="1" applyAlignment="1">
      <alignment horizontal="center" vertical="center" wrapText="1"/>
    </xf>
    <xf numFmtId="1" fontId="75" fillId="68" borderId="27" xfId="1524" applyNumberFormat="1" applyFont="1" applyFill="1" applyBorder="1" applyAlignment="1">
      <alignment horizontal="center" vertical="center" wrapText="1"/>
    </xf>
    <xf numFmtId="0" fontId="75" fillId="68" borderId="28" xfId="1524" applyFont="1" applyFill="1" applyBorder="1" applyAlignment="1">
      <alignment horizontal="center" vertical="center" wrapText="1"/>
    </xf>
    <xf numFmtId="0" fontId="75" fillId="68" borderId="27" xfId="1524" applyFont="1" applyFill="1" applyBorder="1" applyAlignment="1">
      <alignment horizontal="center" vertical="center" wrapText="1"/>
    </xf>
    <xf numFmtId="0" fontId="75" fillId="68" borderId="29" xfId="1524" applyFont="1" applyFill="1" applyBorder="1" applyAlignment="1">
      <alignment horizontal="center" vertical="center" wrapText="1"/>
    </xf>
    <xf numFmtId="174" fontId="0" fillId="0" borderId="0" xfId="0" applyNumberFormat="1" applyAlignment="1">
      <alignment horizontal="center"/>
    </xf>
    <xf numFmtId="1" fontId="9" fillId="0" borderId="0" xfId="736" applyNumberFormat="1" applyFont="1"/>
    <xf numFmtId="3" fontId="10" fillId="7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11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37" fontId="9" fillId="0" borderId="41" xfId="0" applyNumberFormat="1" applyFont="1" applyBorder="1" applyAlignment="1">
      <alignment horizontal="center"/>
    </xf>
    <xf numFmtId="0" fontId="0" fillId="0" borderId="2" xfId="0" applyBorder="1"/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Continuous"/>
    </xf>
    <xf numFmtId="3" fontId="0" fillId="0" borderId="2" xfId="0" applyNumberFormat="1" applyBorder="1"/>
    <xf numFmtId="3" fontId="10" fillId="0" borderId="0" xfId="0" applyNumberFormat="1" applyFont="1" applyAlignment="1">
      <alignment horizontal="center"/>
    </xf>
    <xf numFmtId="0" fontId="11" fillId="0" borderId="46" xfId="0" applyFont="1" applyBorder="1" applyAlignment="1">
      <alignment horizontal="center" vertical="center" wrapText="1"/>
    </xf>
    <xf numFmtId="37" fontId="9" fillId="0" borderId="46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right"/>
    </xf>
    <xf numFmtId="10" fontId="0" fillId="0" borderId="0" xfId="2" applyNumberFormat="1" applyFont="1" applyAlignment="1">
      <alignment horizontal="center" vertical="center"/>
    </xf>
    <xf numFmtId="0" fontId="9" fillId="0" borderId="35" xfId="0" applyFont="1" applyBorder="1" applyAlignment="1">
      <alignment horizontal="right"/>
    </xf>
    <xf numFmtId="3" fontId="0" fillId="0" borderId="35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80" fontId="9" fillId="0" borderId="46" xfId="0" applyNumberFormat="1" applyFont="1" applyBorder="1" applyAlignment="1">
      <alignment horizontal="center"/>
    </xf>
    <xf numFmtId="12" fontId="0" fillId="0" borderId="0" xfId="0" applyNumberFormat="1" applyAlignment="1">
      <alignment horizontal="center"/>
    </xf>
    <xf numFmtId="167" fontId="0" fillId="0" borderId="0" xfId="0" applyNumberFormat="1"/>
    <xf numFmtId="0" fontId="81" fillId="67" borderId="51" xfId="1524" applyFont="1" applyFill="1" applyBorder="1" applyAlignment="1">
      <alignment horizontal="center" vertical="center"/>
    </xf>
    <xf numFmtId="0" fontId="81" fillId="67" borderId="52" xfId="1524" applyFont="1" applyFill="1" applyBorder="1" applyAlignment="1">
      <alignment horizontal="center" vertical="center"/>
    </xf>
    <xf numFmtId="0" fontId="81" fillId="67" borderId="53" xfId="1524" applyFont="1" applyFill="1" applyBorder="1" applyAlignment="1">
      <alignment horizontal="center" vertical="center"/>
    </xf>
    <xf numFmtId="0" fontId="81" fillId="67" borderId="1" xfId="1524" applyFont="1" applyFill="1" applyBorder="1" applyAlignment="1">
      <alignment horizontal="center" vertical="center" wrapText="1"/>
    </xf>
    <xf numFmtId="0" fontId="81" fillId="67" borderId="51" xfId="1524" applyFont="1" applyFill="1" applyBorder="1" applyAlignment="1">
      <alignment horizontal="center" vertical="center" wrapText="1"/>
    </xf>
    <xf numFmtId="0" fontId="81" fillId="67" borderId="53" xfId="1524" applyFont="1" applyFill="1" applyBorder="1" applyAlignment="1">
      <alignment horizontal="center" vertical="center" wrapText="1"/>
    </xf>
    <xf numFmtId="0" fontId="75" fillId="68" borderId="40" xfId="1524" applyFont="1" applyFill="1" applyBorder="1" applyAlignment="1">
      <alignment horizontal="center" vertical="center" wrapText="1"/>
    </xf>
    <xf numFmtId="0" fontId="75" fillId="68" borderId="35" xfId="1524" applyFont="1" applyFill="1" applyBorder="1" applyAlignment="1">
      <alignment horizontal="center" vertical="center" wrapText="1"/>
    </xf>
    <xf numFmtId="0" fontId="75" fillId="68" borderId="39" xfId="1524" applyFont="1" applyFill="1" applyBorder="1" applyAlignment="1">
      <alignment horizontal="center" vertical="center" wrapText="1"/>
    </xf>
    <xf numFmtId="0" fontId="0" fillId="39" borderId="0" xfId="0" applyFill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84" fillId="0" borderId="0" xfId="0" applyFont="1" applyAlignment="1">
      <alignment horizontal="center"/>
    </xf>
  </cellXfs>
  <cellStyles count="1660">
    <cellStyle name="$" xfId="14" xr:uid="{00000000-0005-0000-0000-000000000000}"/>
    <cellStyle name="$.00" xfId="15" xr:uid="{00000000-0005-0000-0000-000001000000}"/>
    <cellStyle name="$_9. Rev2Cost_GDPIPI" xfId="16" xr:uid="{00000000-0005-0000-0000-000002000000}"/>
    <cellStyle name="$_lists" xfId="17" xr:uid="{00000000-0005-0000-0000-000003000000}"/>
    <cellStyle name="$_lists_4. Current Monthly Fixed Charge" xfId="18" xr:uid="{00000000-0005-0000-0000-000004000000}"/>
    <cellStyle name="$_Sheet4" xfId="19" xr:uid="{00000000-0005-0000-0000-000005000000}"/>
    <cellStyle name="$M" xfId="20" xr:uid="{00000000-0005-0000-0000-000006000000}"/>
    <cellStyle name="$M.00" xfId="21" xr:uid="{00000000-0005-0000-0000-000007000000}"/>
    <cellStyle name="$M_9. Rev2Cost_GDPIPI" xfId="22" xr:uid="{00000000-0005-0000-0000-000008000000}"/>
    <cellStyle name="20% - Accent1 10" xfId="104" xr:uid="{3FA1FFCA-BE3F-41A7-8993-95B3F773BA7C}"/>
    <cellStyle name="20% - Accent1 11" xfId="105" xr:uid="{5649297F-154B-4C02-A181-973285B19D7D}"/>
    <cellStyle name="20% - Accent1 12" xfId="106" xr:uid="{E383FC1D-9847-4DFF-966B-4A3C321502F6}"/>
    <cellStyle name="20% - Accent1 13" xfId="107" xr:uid="{1217E4AB-7DED-403D-A5CC-F233870FFAD1}"/>
    <cellStyle name="20% - Accent1 14" xfId="108" xr:uid="{94913466-AC2B-4CA2-A0C2-791B5ABBC469}"/>
    <cellStyle name="20% - Accent1 15" xfId="109" xr:uid="{8AB6D119-F782-40E6-9646-B552CB37096B}"/>
    <cellStyle name="20% - Accent1 16" xfId="769" xr:uid="{45FBF829-0047-4ADB-BC05-C028DF6644DA}"/>
    <cellStyle name="20% - Accent1 2" xfId="23" xr:uid="{00000000-0005-0000-0000-000009000000}"/>
    <cellStyle name="20% - Accent1 2 2" xfId="815" xr:uid="{1EAF84D8-4755-4733-849D-1BFF4F73BD94}"/>
    <cellStyle name="20% - Accent1 2 2 2" xfId="1585" xr:uid="{7089DDAD-30FE-43D1-A6B6-6696F1921C22}"/>
    <cellStyle name="20% - Accent1 2 3" xfId="110" xr:uid="{4A647E3F-96F3-4D22-89D1-F5D064BBDC62}"/>
    <cellStyle name="20% - Accent1 2 3 2" xfId="1618" xr:uid="{54F2DDC7-871E-4AAE-A9C8-03C7FEFF7255}"/>
    <cellStyle name="20% - Accent1 2 4" xfId="1549" xr:uid="{6498D3B7-D895-4F43-ACAE-CBC25968B0C0}"/>
    <cellStyle name="20% - Accent1 3" xfId="111" xr:uid="{BBBC7D0B-BD48-4D03-AA8A-2C01413CC7B2}"/>
    <cellStyle name="20% - Accent1 4" xfId="112" xr:uid="{967EE2E3-4945-4801-8E05-BC4B5DE50086}"/>
    <cellStyle name="20% - Accent1 5" xfId="113" xr:uid="{7E251424-5435-4D56-B08E-62A05FE87F7E}"/>
    <cellStyle name="20% - Accent1 6" xfId="114" xr:uid="{376DAE87-F0AA-4C7C-9983-5B8780A7A441}"/>
    <cellStyle name="20% - Accent1 7" xfId="115" xr:uid="{443E02D2-0543-42C4-875F-F2E9B3167F6C}"/>
    <cellStyle name="20% - Accent1 8" xfId="116" xr:uid="{E2A56F3A-271E-4A07-8608-251A3D42C601}"/>
    <cellStyle name="20% - Accent1 9" xfId="117" xr:uid="{2CB79A3F-4E62-4EAE-9F90-44BF93F1D182}"/>
    <cellStyle name="20% - Accent2 10" xfId="118" xr:uid="{6C190751-8BFA-4BAD-AFD5-DC099043E3FC}"/>
    <cellStyle name="20% - Accent2 11" xfId="119" xr:uid="{A10CC3DB-1218-4CDC-9E9D-72567D40C1B9}"/>
    <cellStyle name="20% - Accent2 12" xfId="120" xr:uid="{1EB12AEB-951A-4D60-87C9-8A7E59E24A01}"/>
    <cellStyle name="20% - Accent2 13" xfId="121" xr:uid="{473F8E8B-6183-4F6C-B892-4BD1091F10E0}"/>
    <cellStyle name="20% - Accent2 14" xfId="122" xr:uid="{13696E75-2D2C-4621-955F-23F7900D4AAA}"/>
    <cellStyle name="20% - Accent2 15" xfId="123" xr:uid="{F0E2D41A-B837-46EC-BBEA-2CAE487D301E}"/>
    <cellStyle name="20% - Accent2 16" xfId="770" xr:uid="{D6013404-A408-4AAB-80F1-09258BC9B437}"/>
    <cellStyle name="20% - Accent2 2" xfId="24" xr:uid="{00000000-0005-0000-0000-00000A000000}"/>
    <cellStyle name="20% - Accent2 2 2" xfId="819" xr:uid="{88E9716D-ED26-4B0C-B13D-E8B8E843EB65}"/>
    <cellStyle name="20% - Accent2 2 2 2" xfId="1587" xr:uid="{A07D000B-63F8-4381-8F55-D2158DEAC585}"/>
    <cellStyle name="20% - Accent2 2 3" xfId="124" xr:uid="{9A2CCDBD-6CEB-439D-8ED1-7C033D7D4909}"/>
    <cellStyle name="20% - Accent2 2 3 2" xfId="1620" xr:uid="{76DE2459-9BEA-46E7-BF77-DBCF127487BC}"/>
    <cellStyle name="20% - Accent2 2 4" xfId="1551" xr:uid="{E01A7A15-6DB9-43B1-8D8A-36D88C34E8CA}"/>
    <cellStyle name="20% - Accent2 3" xfId="125" xr:uid="{55000463-8A6F-4E5F-895F-1D6836E3F798}"/>
    <cellStyle name="20% - Accent2 4" xfId="126" xr:uid="{AF859086-CC51-40A1-9C3C-6366AA79F1FF}"/>
    <cellStyle name="20% - Accent2 5" xfId="127" xr:uid="{832429B3-E619-4DDA-B4A3-64363250CB45}"/>
    <cellStyle name="20% - Accent2 6" xfId="128" xr:uid="{B89B8E96-1DD4-4C95-A573-00A44AE3E0E0}"/>
    <cellStyle name="20% - Accent2 7" xfId="129" xr:uid="{7EE69995-BB3B-41D4-8136-EBAEC511BB7C}"/>
    <cellStyle name="20% - Accent2 8" xfId="130" xr:uid="{2725C661-C278-4344-B0A1-619B40DB1CEF}"/>
    <cellStyle name="20% - Accent2 9" xfId="131" xr:uid="{48AAB1AD-A964-4460-92AD-A040CBF8F10D}"/>
    <cellStyle name="20% - Accent3 10" xfId="132" xr:uid="{7ACE94B7-11FE-4305-941E-C0B5D6C40E5D}"/>
    <cellStyle name="20% - Accent3 11" xfId="133" xr:uid="{238C467B-9463-4905-866D-FE45FF0EE60B}"/>
    <cellStyle name="20% - Accent3 12" xfId="134" xr:uid="{442C9A86-B726-436B-A8EE-CBE9AFDBF4D7}"/>
    <cellStyle name="20% - Accent3 13" xfId="135" xr:uid="{2CD00547-C846-4ECE-B078-3A0B79C7A7F7}"/>
    <cellStyle name="20% - Accent3 14" xfId="136" xr:uid="{223898B6-3510-4569-AEE2-C0DBD9EC9E21}"/>
    <cellStyle name="20% - Accent3 15" xfId="137" xr:uid="{ECFD3754-2839-443F-93D6-2988AB81F926}"/>
    <cellStyle name="20% - Accent3 16" xfId="771" xr:uid="{12D4EFAA-CEF6-43E3-AECD-3B0EF030DC19}"/>
    <cellStyle name="20% - Accent3 2" xfId="25" xr:uid="{00000000-0005-0000-0000-00000B000000}"/>
    <cellStyle name="20% - Accent3 2 2" xfId="823" xr:uid="{BC8980A8-10CB-4C9B-80DC-B668AC15844F}"/>
    <cellStyle name="20% - Accent3 2 2 2" xfId="1589" xr:uid="{08C4068D-4012-4C4F-A4FE-0129FE1B9182}"/>
    <cellStyle name="20% - Accent3 2 3" xfId="138" xr:uid="{0A9F25B4-70CA-4082-AB6C-473346FA893F}"/>
    <cellStyle name="20% - Accent3 2 3 2" xfId="1622" xr:uid="{6D9E4497-9EB6-4B97-91BE-D818E8C0AFF1}"/>
    <cellStyle name="20% - Accent3 2 4" xfId="1553" xr:uid="{DA771738-C36E-41D2-A2E4-894437A3D247}"/>
    <cellStyle name="20% - Accent3 3" xfId="139" xr:uid="{FC3BB4A7-30D5-4C60-A940-C9F97270670D}"/>
    <cellStyle name="20% - Accent3 4" xfId="140" xr:uid="{9BFF5A1D-111E-40A5-846A-74F9CC4C6F78}"/>
    <cellStyle name="20% - Accent3 5" xfId="141" xr:uid="{6ED29ED2-D5FA-4F82-8DDE-AC56B37D1B7B}"/>
    <cellStyle name="20% - Accent3 6" xfId="142" xr:uid="{2EE88B77-B4ED-4224-8F5A-1F5F717E398A}"/>
    <cellStyle name="20% - Accent3 7" xfId="143" xr:uid="{7FE3F72A-B20C-4FA5-8174-BF46E31A47FA}"/>
    <cellStyle name="20% - Accent3 8" xfId="144" xr:uid="{26BDBDB6-96C4-4DE8-8498-1D3EDB6B5361}"/>
    <cellStyle name="20% - Accent3 9" xfId="145" xr:uid="{58ACF6E2-883C-4F05-A549-358FF04DE678}"/>
    <cellStyle name="20% - Accent4 10" xfId="146" xr:uid="{91A615A8-05D8-4E89-9B9D-40BB1EBF12DF}"/>
    <cellStyle name="20% - Accent4 11" xfId="147" xr:uid="{4BF0B27D-D287-4453-B607-E298CBF863AC}"/>
    <cellStyle name="20% - Accent4 12" xfId="148" xr:uid="{7B996A7E-4836-4E27-8B5A-D813B5202EE1}"/>
    <cellStyle name="20% - Accent4 13" xfId="149" xr:uid="{37B53B62-2DCD-4744-95D8-F12FA4004CB2}"/>
    <cellStyle name="20% - Accent4 14" xfId="150" xr:uid="{E09126FA-9152-4B23-9983-B1F228217BF6}"/>
    <cellStyle name="20% - Accent4 15" xfId="151" xr:uid="{2FAAE852-EEC6-4346-A0B9-174305E14DEC}"/>
    <cellStyle name="20% - Accent4 16" xfId="772" xr:uid="{85D136F8-EEB5-44EA-BB38-A6FEF4273F13}"/>
    <cellStyle name="20% - Accent4 2" xfId="26" xr:uid="{00000000-0005-0000-0000-00000C000000}"/>
    <cellStyle name="20% - Accent4 2 2" xfId="827" xr:uid="{D06E2F48-0918-4986-B898-28978AD07AFD}"/>
    <cellStyle name="20% - Accent4 2 2 2" xfId="1591" xr:uid="{BABAB920-5CE9-4824-B9B7-8C254707DBA8}"/>
    <cellStyle name="20% - Accent4 2 3" xfId="152" xr:uid="{628FC5C7-725D-4262-97F4-6C2D4880CC12}"/>
    <cellStyle name="20% - Accent4 2 3 2" xfId="1624" xr:uid="{1F438915-B1D6-4253-A49A-73B79C77A3E6}"/>
    <cellStyle name="20% - Accent4 2 4" xfId="1555" xr:uid="{89CF9E7C-B510-4722-919E-C2D754DA4997}"/>
    <cellStyle name="20% - Accent4 3" xfId="153" xr:uid="{67E18104-DDA9-43A1-8F21-8E27D7C24A4F}"/>
    <cellStyle name="20% - Accent4 4" xfId="154" xr:uid="{53918B96-84C3-4AA2-ABA4-AFB5DA482B70}"/>
    <cellStyle name="20% - Accent4 5" xfId="155" xr:uid="{03FA5905-9E5F-405E-AEB8-80E98202F63F}"/>
    <cellStyle name="20% - Accent4 6" xfId="156" xr:uid="{34A83AA0-64AF-4F94-A503-6B66AF786291}"/>
    <cellStyle name="20% - Accent4 7" xfId="157" xr:uid="{F133B68C-37B6-4046-B43A-51FDE6B78839}"/>
    <cellStyle name="20% - Accent4 8" xfId="158" xr:uid="{C6135576-4E9B-4065-8B00-004EF1FCA6D1}"/>
    <cellStyle name="20% - Accent4 9" xfId="159" xr:uid="{40EED231-805A-4BF5-97A3-F43A32E53F31}"/>
    <cellStyle name="20% - Accent5 10" xfId="160" xr:uid="{556A4AC5-934D-4EE2-937B-B4B7DFF7734B}"/>
    <cellStyle name="20% - Accent5 11" xfId="161" xr:uid="{A6203A92-BE82-4D71-B8FB-C8951C6F6557}"/>
    <cellStyle name="20% - Accent5 12" xfId="162" xr:uid="{B3C0FFAB-84FF-4C68-A0EA-EE0C344E5FE2}"/>
    <cellStyle name="20% - Accent5 13" xfId="163" xr:uid="{3EBDDB24-F2EE-474D-B752-BE8BE3DE5A38}"/>
    <cellStyle name="20% - Accent5 14" xfId="164" xr:uid="{27F55098-EFEC-46E3-BDA7-4277FDD475BC}"/>
    <cellStyle name="20% - Accent5 15" xfId="165" xr:uid="{04EFEFEB-0B30-4830-805D-7D5774D404E0}"/>
    <cellStyle name="20% - Accent5 16" xfId="773" xr:uid="{B58B696C-1AD8-4BE3-AD63-BCF4319CEA5A}"/>
    <cellStyle name="20% - Accent5 2" xfId="27" xr:uid="{00000000-0005-0000-0000-00000D000000}"/>
    <cellStyle name="20% - Accent5 2 2" xfId="831" xr:uid="{652E9BFD-81A6-4A19-BEF1-E7BFF3FAB0F1}"/>
    <cellStyle name="20% - Accent5 2 2 2" xfId="1593" xr:uid="{4AE6DEF4-F3EC-425B-8CDA-F19E7D3532C2}"/>
    <cellStyle name="20% - Accent5 2 3" xfId="166" xr:uid="{23D49ADB-2FF4-4148-9B22-B3C738EA11E9}"/>
    <cellStyle name="20% - Accent5 2 3 2" xfId="1626" xr:uid="{BD299D98-DE77-4417-8E64-941CAEE74941}"/>
    <cellStyle name="20% - Accent5 2 4" xfId="1558" xr:uid="{7F06C8FB-B421-4555-BD2B-9E1A2A0046C0}"/>
    <cellStyle name="20% - Accent5 3" xfId="167" xr:uid="{E98098AD-5A8D-48A7-8DE0-9ADC2266105D}"/>
    <cellStyle name="20% - Accent5 4" xfId="168" xr:uid="{1C1E91C7-7042-429F-B1C5-411ACF9CBBCF}"/>
    <cellStyle name="20% - Accent5 5" xfId="169" xr:uid="{422A26CC-E4B4-4336-AA0F-8359A04D7B83}"/>
    <cellStyle name="20% - Accent5 6" xfId="170" xr:uid="{1B4D09BC-54C5-442E-ADA7-412AA2DFD1A5}"/>
    <cellStyle name="20% - Accent5 7" xfId="171" xr:uid="{B4CFA23B-E802-4FB4-AB99-BD62BDE3BEB2}"/>
    <cellStyle name="20% - Accent5 8" xfId="172" xr:uid="{5B8A6E2A-2E41-4FF2-AEC8-5756A286555C}"/>
    <cellStyle name="20% - Accent5 9" xfId="173" xr:uid="{FF94B448-1F47-4F55-9AD1-ABAD8D916933}"/>
    <cellStyle name="20% - Accent6 10" xfId="174" xr:uid="{B0B014D6-3453-46F5-B2FE-B2959DF45DFB}"/>
    <cellStyle name="20% - Accent6 11" xfId="175" xr:uid="{AC3EC00E-9E37-44DC-9918-23252D168BF2}"/>
    <cellStyle name="20% - Accent6 12" xfId="176" xr:uid="{58693F19-3FFD-4B09-A291-A5F2514A84CD}"/>
    <cellStyle name="20% - Accent6 13" xfId="177" xr:uid="{3198F183-ADFC-4503-9E1D-F891D7E566AF}"/>
    <cellStyle name="20% - Accent6 14" xfId="178" xr:uid="{B60C7443-327B-4F8E-9518-15019205241A}"/>
    <cellStyle name="20% - Accent6 15" xfId="179" xr:uid="{45E4AECC-F318-4938-BD9F-65DC08E5D592}"/>
    <cellStyle name="20% - Accent6 16" xfId="774" xr:uid="{4F2E5720-5564-4734-A561-D6DED9723019}"/>
    <cellStyle name="20% - Accent6 2" xfId="28" xr:uid="{00000000-0005-0000-0000-00000E000000}"/>
    <cellStyle name="20% - Accent6 2 2" xfId="835" xr:uid="{E1ACEB4D-35CF-439A-A936-4E9FAADC3D97}"/>
    <cellStyle name="20% - Accent6 2 2 2" xfId="1595" xr:uid="{3075ADD5-0903-4333-B0D3-9D0A3F295BD3}"/>
    <cellStyle name="20% - Accent6 2 3" xfId="180" xr:uid="{23858E14-2CB1-44A7-B23D-E19C6229B1E9}"/>
    <cellStyle name="20% - Accent6 2 3 2" xfId="1628" xr:uid="{B0CF4784-D695-4E5F-9DB8-004F80EE0D0F}"/>
    <cellStyle name="20% - Accent6 2 4" xfId="1560" xr:uid="{704C47E1-284A-4BB6-BEBE-CAAE08985FEB}"/>
    <cellStyle name="20% - Accent6 3" xfId="181" xr:uid="{C954C1DA-9CC4-4F08-ADE4-65A5EFF632AE}"/>
    <cellStyle name="20% - Accent6 4" xfId="182" xr:uid="{D27369D7-1364-455F-97A9-5A80947173E2}"/>
    <cellStyle name="20% - Accent6 5" xfId="183" xr:uid="{66135377-1C7B-48AD-BBEB-E351F4E0F924}"/>
    <cellStyle name="20% - Accent6 6" xfId="184" xr:uid="{4389F928-9B8B-4D54-BEC3-08B3FBDA9B3F}"/>
    <cellStyle name="20% - Accent6 7" xfId="185" xr:uid="{C2867C10-48D2-4372-BA82-BD0E35CB215A}"/>
    <cellStyle name="20% - Accent6 8" xfId="186" xr:uid="{D841A974-F1F2-4713-A333-1804D458F962}"/>
    <cellStyle name="20% - Accent6 9" xfId="187" xr:uid="{6025B705-C6CF-44DA-AB4D-B4DE7650F5E3}"/>
    <cellStyle name="40% - Accent1 10" xfId="188" xr:uid="{B0E83834-BEB3-4CE3-97BF-242EE57722C5}"/>
    <cellStyle name="40% - Accent1 11" xfId="189" xr:uid="{B4A2DA17-1254-4028-8D4F-31196E952D02}"/>
    <cellStyle name="40% - Accent1 12" xfId="190" xr:uid="{5A5E40CA-9493-4F17-9194-C528CF9B1274}"/>
    <cellStyle name="40% - Accent1 13" xfId="191" xr:uid="{DFBCE186-3B79-43D4-9BFB-7D3DA7941470}"/>
    <cellStyle name="40% - Accent1 14" xfId="192" xr:uid="{AD3BC8B0-7404-4C7A-AD16-9753D6A66FD7}"/>
    <cellStyle name="40% - Accent1 15" xfId="193" xr:uid="{09743533-13AB-44D0-BB58-9017799A680D}"/>
    <cellStyle name="40% - Accent1 16" xfId="775" xr:uid="{3A388316-DEF4-42F9-ABDC-31C94B0C904F}"/>
    <cellStyle name="40% - Accent1 2" xfId="29" xr:uid="{00000000-0005-0000-0000-00000F000000}"/>
    <cellStyle name="40% - Accent1 2 2" xfId="816" xr:uid="{D5E74BFD-9148-4EE4-B593-8994D85408E0}"/>
    <cellStyle name="40% - Accent1 2 2 2" xfId="1586" xr:uid="{FDFCD76F-69D7-4CCF-8E96-F74921059EAF}"/>
    <cellStyle name="40% - Accent1 2 3" xfId="194" xr:uid="{452896B4-C918-4AB8-BF14-9E16F99BDB5A}"/>
    <cellStyle name="40% - Accent1 2 3 2" xfId="1619" xr:uid="{49E61076-1FAB-43BD-BDBC-ADD837D50EEF}"/>
    <cellStyle name="40% - Accent1 2 4" xfId="1550" xr:uid="{8A17BEDC-C7CC-45C2-A6C8-08155751422E}"/>
    <cellStyle name="40% - Accent1 3" xfId="195" xr:uid="{FBDA3C72-C9BF-4515-B12A-B99BEA22797E}"/>
    <cellStyle name="40% - Accent1 4" xfId="196" xr:uid="{7B5C1FE6-1EB8-4FDE-823F-5809E39BB777}"/>
    <cellStyle name="40% - Accent1 5" xfId="197" xr:uid="{EA059D40-C3A0-47F2-AA34-92AF78C5112C}"/>
    <cellStyle name="40% - Accent1 6" xfId="198" xr:uid="{18438076-76AD-4E68-A52D-25EFD9FD58CB}"/>
    <cellStyle name="40% - Accent1 7" xfId="199" xr:uid="{877D8177-7E96-445E-930E-4EAF5ACB4BC6}"/>
    <cellStyle name="40% - Accent1 8" xfId="200" xr:uid="{45082CB2-B4D3-45AF-8A37-0A1A6BBA137C}"/>
    <cellStyle name="40% - Accent1 9" xfId="201" xr:uid="{FD82306A-7FF0-4AD6-9E20-BB1960E1B9E5}"/>
    <cellStyle name="40% - Accent2 10" xfId="202" xr:uid="{DC766658-E04E-4781-9B3D-9FCA499DF540}"/>
    <cellStyle name="40% - Accent2 11" xfId="203" xr:uid="{6EE2C881-3B9E-4BFE-8D6B-74F958F42483}"/>
    <cellStyle name="40% - Accent2 12" xfId="204" xr:uid="{3A4FEACD-1098-4C34-8887-ED7EFF12A8C3}"/>
    <cellStyle name="40% - Accent2 13" xfId="205" xr:uid="{78FD4142-783D-47E9-961D-AD9F53A84A47}"/>
    <cellStyle name="40% - Accent2 14" xfId="206" xr:uid="{F3905C11-5C6E-407F-9FE4-C2BE4ED27FC1}"/>
    <cellStyle name="40% - Accent2 15" xfId="207" xr:uid="{275C7196-9270-4E11-819A-71265121EB4A}"/>
    <cellStyle name="40% - Accent2 16" xfId="776" xr:uid="{98D98272-F30D-416F-8B22-8ADB03B6A6FD}"/>
    <cellStyle name="40% - Accent2 2" xfId="30" xr:uid="{00000000-0005-0000-0000-000010000000}"/>
    <cellStyle name="40% - Accent2 2 2" xfId="820" xr:uid="{C2D10E15-E426-4108-B85B-6C7DE3C1A0B1}"/>
    <cellStyle name="40% - Accent2 2 2 2" xfId="1588" xr:uid="{188FA989-C024-4A9A-8007-A4C2294F2D65}"/>
    <cellStyle name="40% - Accent2 2 3" xfId="208" xr:uid="{AE931783-BF8A-406C-9218-F3BDF4370B32}"/>
    <cellStyle name="40% - Accent2 2 3 2" xfId="1621" xr:uid="{7432BC28-DB2D-42BF-BE7F-02BAE911AAEE}"/>
    <cellStyle name="40% - Accent2 2 4" xfId="1552" xr:uid="{D499B9C5-DE17-44A5-83B0-047E3D21F36B}"/>
    <cellStyle name="40% - Accent2 3" xfId="209" xr:uid="{AE954E18-8794-49A9-9415-299F014F3527}"/>
    <cellStyle name="40% - Accent2 4" xfId="210" xr:uid="{19745F1D-242C-4B9C-B9F3-916AFB931858}"/>
    <cellStyle name="40% - Accent2 5" xfId="211" xr:uid="{09233828-006D-4D7D-9EDF-A94417D6147F}"/>
    <cellStyle name="40% - Accent2 6" xfId="212" xr:uid="{04B1B4C5-A88C-4470-82AA-4DF8A01568D5}"/>
    <cellStyle name="40% - Accent2 7" xfId="213" xr:uid="{231EEF1F-0300-4BE4-85CE-ABBF696D4616}"/>
    <cellStyle name="40% - Accent2 8" xfId="214" xr:uid="{4D602BFD-5C21-4733-931F-D2C7D845F201}"/>
    <cellStyle name="40% - Accent2 9" xfId="215" xr:uid="{202359F1-545B-4030-8153-D7B0A55D1230}"/>
    <cellStyle name="40% - Accent3 10" xfId="216" xr:uid="{5878F044-561C-41C6-9C91-123ABCFDB6F3}"/>
    <cellStyle name="40% - Accent3 11" xfId="217" xr:uid="{0E1C3A02-FACD-48C2-B8F2-CBEDA32FEA63}"/>
    <cellStyle name="40% - Accent3 12" xfId="218" xr:uid="{205049EA-A559-4F65-9A9F-92C97EDD3397}"/>
    <cellStyle name="40% - Accent3 13" xfId="219" xr:uid="{A076CB8B-D8B6-4B16-86C2-8BDE586D8BF9}"/>
    <cellStyle name="40% - Accent3 14" xfId="220" xr:uid="{6E255168-72C6-47AA-AAE6-7EC8F79CB76F}"/>
    <cellStyle name="40% - Accent3 15" xfId="221" xr:uid="{3933DF1D-A360-4D2B-AE67-695AA53DA308}"/>
    <cellStyle name="40% - Accent3 16" xfId="777" xr:uid="{D2E2E13A-FC2E-4B8B-A8C3-A662CCA596DB}"/>
    <cellStyle name="40% - Accent3 2" xfId="31" xr:uid="{00000000-0005-0000-0000-000011000000}"/>
    <cellStyle name="40% - Accent3 2 2" xfId="824" xr:uid="{3FFE699D-FF22-4CD8-8F49-961EC3463774}"/>
    <cellStyle name="40% - Accent3 2 2 2" xfId="1590" xr:uid="{DE6EA67E-539E-4BFE-B115-3CAF6927CF67}"/>
    <cellStyle name="40% - Accent3 2 3" xfId="222" xr:uid="{CA5F1453-1410-43C5-A45C-F86291F2E44F}"/>
    <cellStyle name="40% - Accent3 2 3 2" xfId="1623" xr:uid="{3C60E394-618C-4F51-A5AC-31F4FDAF3678}"/>
    <cellStyle name="40% - Accent3 2 4" xfId="1554" xr:uid="{FF22FCF6-3DFD-469F-A56C-D7B00378EFF6}"/>
    <cellStyle name="40% - Accent3 3" xfId="223" xr:uid="{00545917-E985-4949-A135-C0069F2F5964}"/>
    <cellStyle name="40% - Accent3 4" xfId="224" xr:uid="{373FD863-FF50-420B-A6A3-4C553869201B}"/>
    <cellStyle name="40% - Accent3 5" xfId="225" xr:uid="{7B0301B7-EBBE-4B25-9875-AB0F581B3909}"/>
    <cellStyle name="40% - Accent3 6" xfId="226" xr:uid="{C97DF1CF-8857-464C-BF5B-4571AF10A22A}"/>
    <cellStyle name="40% - Accent3 7" xfId="227" xr:uid="{9ED2E067-CF4B-41D8-8695-210DD1ED4E22}"/>
    <cellStyle name="40% - Accent3 8" xfId="228" xr:uid="{D9516C01-C1C0-4BEA-AF36-6AC586D99DD9}"/>
    <cellStyle name="40% - Accent3 9" xfId="229" xr:uid="{1557B7B0-3521-4375-A1F2-1FCE64DA907E}"/>
    <cellStyle name="40% - Accent4 10" xfId="230" xr:uid="{FCC8DAE6-7C6C-4C69-83C0-E6494C8B087E}"/>
    <cellStyle name="40% - Accent4 11" xfId="231" xr:uid="{710562A4-BDAA-474B-8C7A-E4207F04BDF2}"/>
    <cellStyle name="40% - Accent4 12" xfId="232" xr:uid="{A8FC7048-3047-4266-997A-9AC419A602D4}"/>
    <cellStyle name="40% - Accent4 13" xfId="233" xr:uid="{2840B729-B5EE-4D9B-BDD5-DA990CC2D323}"/>
    <cellStyle name="40% - Accent4 14" xfId="234" xr:uid="{E21DA2E5-CA4F-4300-8540-BD274395AB98}"/>
    <cellStyle name="40% - Accent4 15" xfId="235" xr:uid="{5F076097-3A67-4408-A0B3-27E99AED263A}"/>
    <cellStyle name="40% - Accent4 16" xfId="778" xr:uid="{9C7A0D89-12CC-4951-A852-99B7293D9A6E}"/>
    <cellStyle name="40% - Accent4 2" xfId="32" xr:uid="{00000000-0005-0000-0000-000012000000}"/>
    <cellStyle name="40% - Accent4 2 2" xfId="828" xr:uid="{DE96DD59-C572-4829-9421-70ACC85D81E7}"/>
    <cellStyle name="40% - Accent4 2 2 2" xfId="1592" xr:uid="{8E8CEB07-B999-4ABE-A31A-BA8F1D368004}"/>
    <cellStyle name="40% - Accent4 2 3" xfId="236" xr:uid="{5FB646AB-A516-4BDF-BFE6-9741474BEB55}"/>
    <cellStyle name="40% - Accent4 2 3 2" xfId="1625" xr:uid="{303559DD-BB15-4F0D-9F93-71F277BF63D0}"/>
    <cellStyle name="40% - Accent4 2 4" xfId="1556" xr:uid="{5F637F9F-4AC8-48B4-9B58-68E4B0E18EC9}"/>
    <cellStyle name="40% - Accent4 3" xfId="237" xr:uid="{447B0CD2-53AC-46E0-9B9A-0E0BB08CFE6A}"/>
    <cellStyle name="40% - Accent4 4" xfId="238" xr:uid="{3B7BF122-F8C8-49C7-B305-63AE385C82DE}"/>
    <cellStyle name="40% - Accent4 5" xfId="239" xr:uid="{C4F3B33C-40F7-4211-86F9-2A5435ABE83C}"/>
    <cellStyle name="40% - Accent4 6" xfId="240" xr:uid="{3C1C6561-A7F6-422A-B8D6-2AE50DA1EF28}"/>
    <cellStyle name="40% - Accent4 7" xfId="241" xr:uid="{9F58035A-5FDA-42DA-AD9E-4290B130CD8D}"/>
    <cellStyle name="40% - Accent4 8" xfId="242" xr:uid="{F8347329-2424-479F-B0FB-36BB9B9677F2}"/>
    <cellStyle name="40% - Accent4 9" xfId="243" xr:uid="{A7A92B1F-77C3-466D-ADF9-21AFB314A7BB}"/>
    <cellStyle name="40% - Accent5 10" xfId="244" xr:uid="{81D1D75A-6C36-43A8-9C12-2A10964CFFB6}"/>
    <cellStyle name="40% - Accent5 11" xfId="245" xr:uid="{AB6006B8-9245-460E-9CFC-248A22873C75}"/>
    <cellStyle name="40% - Accent5 12" xfId="246" xr:uid="{39A08134-1E5A-4F3F-9E4C-749CA259A973}"/>
    <cellStyle name="40% - Accent5 13" xfId="247" xr:uid="{D157AAF2-DB8C-469C-BDED-CF9D6A27508D}"/>
    <cellStyle name="40% - Accent5 14" xfId="248" xr:uid="{E27E1984-D386-4E38-A113-807A7FC56898}"/>
    <cellStyle name="40% - Accent5 15" xfId="249" xr:uid="{36634722-E327-4BC0-9113-C77D84A48DC0}"/>
    <cellStyle name="40% - Accent5 16" xfId="779" xr:uid="{E29A45F4-D81A-4E2B-8C48-738596DD8264}"/>
    <cellStyle name="40% - Accent5 2" xfId="33" xr:uid="{00000000-0005-0000-0000-000013000000}"/>
    <cellStyle name="40% - Accent5 2 2" xfId="832" xr:uid="{3A0664EE-7C38-43B4-B8FD-5C6C0FC3BDE3}"/>
    <cellStyle name="40% - Accent5 2 2 2" xfId="1594" xr:uid="{7FF59556-460A-4210-94B8-13AE8C7EA909}"/>
    <cellStyle name="40% - Accent5 2 3" xfId="250" xr:uid="{F82C0BC5-6E74-4D55-9F8B-18ADB943D5E2}"/>
    <cellStyle name="40% - Accent5 2 3 2" xfId="1627" xr:uid="{CD8D4BD0-6AB3-4F96-BDA4-3DF56BB6BDE6}"/>
    <cellStyle name="40% - Accent5 2 4" xfId="1559" xr:uid="{23DDFA9C-3BAD-4889-81B1-1ADB24ACB357}"/>
    <cellStyle name="40% - Accent5 3" xfId="251" xr:uid="{BED4D3FC-DB10-446F-9B58-67F7BB355728}"/>
    <cellStyle name="40% - Accent5 4" xfId="252" xr:uid="{146C250D-9876-48CC-A43A-80CCE03EAF69}"/>
    <cellStyle name="40% - Accent5 5" xfId="253" xr:uid="{2E069F66-4FD1-485F-812E-2D334075FE3F}"/>
    <cellStyle name="40% - Accent5 6" xfId="254" xr:uid="{A67D1C26-A7E1-4249-8F0A-B74EE22C90FC}"/>
    <cellStyle name="40% - Accent5 7" xfId="255" xr:uid="{BB2E3FCE-8470-4A39-B0B0-06985E6FAF0C}"/>
    <cellStyle name="40% - Accent5 8" xfId="256" xr:uid="{CF48EE0B-3D9A-4E8D-BA4B-93DCA00AC744}"/>
    <cellStyle name="40% - Accent5 9" xfId="257" xr:uid="{EE2A0F91-D9F0-402D-A570-F1F403F262AD}"/>
    <cellStyle name="40% - Accent6 10" xfId="258" xr:uid="{063FF286-593A-43F4-A6A4-C5FAF1B7496C}"/>
    <cellStyle name="40% - Accent6 11" xfId="259" xr:uid="{3A0D6BD3-2517-47F4-ACF6-063BCFEA6422}"/>
    <cellStyle name="40% - Accent6 12" xfId="260" xr:uid="{AFAEDE9C-9F9B-4894-8747-392B027FD40C}"/>
    <cellStyle name="40% - Accent6 13" xfId="261" xr:uid="{66721FAF-ACD8-4D7A-ACA0-DE12C31F562A}"/>
    <cellStyle name="40% - Accent6 14" xfId="262" xr:uid="{24DC32D0-C8F7-4E3B-8854-2AA9EEB4903D}"/>
    <cellStyle name="40% - Accent6 15" xfId="263" xr:uid="{5D979095-49EC-40DE-9D27-4F2C3CF8FC56}"/>
    <cellStyle name="40% - Accent6 16" xfId="780" xr:uid="{D226C986-725A-4430-BB2E-923F5DB35BE0}"/>
    <cellStyle name="40% - Accent6 2" xfId="34" xr:uid="{00000000-0005-0000-0000-000014000000}"/>
    <cellStyle name="40% - Accent6 2 2" xfId="836" xr:uid="{55D6C8D3-8343-4C9B-AF9D-E057025C2BCB}"/>
    <cellStyle name="40% - Accent6 2 2 2" xfId="1596" xr:uid="{C49DF089-6320-497B-8554-472A9BDCE42F}"/>
    <cellStyle name="40% - Accent6 2 3" xfId="264" xr:uid="{66A8F444-729A-480D-91B8-2A2A0AEADE80}"/>
    <cellStyle name="40% - Accent6 2 3 2" xfId="1629" xr:uid="{068EBA13-23E2-42BC-B850-48EE2CA1B17F}"/>
    <cellStyle name="40% - Accent6 2 4" xfId="1561" xr:uid="{94B5F9E4-8293-4E34-BF06-542E69FD43F8}"/>
    <cellStyle name="40% - Accent6 3" xfId="265" xr:uid="{30099454-2072-4D8D-A920-2C35B492A4D9}"/>
    <cellStyle name="40% - Accent6 4" xfId="266" xr:uid="{CF27A3A7-120B-4E2B-8CD6-64D7A7BC6399}"/>
    <cellStyle name="40% - Accent6 5" xfId="267" xr:uid="{A557B3E1-5E14-4490-9399-C90860D40BF4}"/>
    <cellStyle name="40% - Accent6 6" xfId="268" xr:uid="{DF3145FD-ABB6-4AD0-A84E-8B8FE4DE779A}"/>
    <cellStyle name="40% - Accent6 7" xfId="269" xr:uid="{EBA005D8-ACE1-451A-98F8-07DA1AA4DB1D}"/>
    <cellStyle name="40% - Accent6 8" xfId="270" xr:uid="{4CB26E9C-9ECA-4043-A3A1-22AA5784988E}"/>
    <cellStyle name="40% - Accent6 9" xfId="271" xr:uid="{4CCF379F-2F25-4939-A225-C4B8453ECE3A}"/>
    <cellStyle name="60% - Accent1 10" xfId="272" xr:uid="{121D0AB9-CE72-4784-9393-8E3D367A5FC1}"/>
    <cellStyle name="60% - Accent1 11" xfId="273" xr:uid="{B7F2F6D3-662C-4B06-81D7-AA81CDFFE44C}"/>
    <cellStyle name="60% - Accent1 12" xfId="274" xr:uid="{CF0770D2-01E8-4E33-BAF7-91F084A95505}"/>
    <cellStyle name="60% - Accent1 13" xfId="275" xr:uid="{7CEC125A-2191-4C31-8E75-FA3AA08AF528}"/>
    <cellStyle name="60% - Accent1 14" xfId="276" xr:uid="{4F76651C-E0C6-4828-8638-CCE7CBEF79BC}"/>
    <cellStyle name="60% - Accent1 15" xfId="277" xr:uid="{8CA670D0-8B0E-4D89-B2A5-E65A4631E0D0}"/>
    <cellStyle name="60% - Accent1 16" xfId="781" xr:uid="{EE15427E-4B7D-46C4-A810-A0149D768BE3}"/>
    <cellStyle name="60% - Accent1 2" xfId="35" xr:uid="{00000000-0005-0000-0000-000015000000}"/>
    <cellStyle name="60% - Accent1 2 2" xfId="817" xr:uid="{DA53280A-48A4-4C8D-B351-917BE633AA11}"/>
    <cellStyle name="60% - Accent1 2 3" xfId="278" xr:uid="{B22BB10A-14FF-4849-A0B3-5F4CFF0AD886}"/>
    <cellStyle name="60% - Accent1 3" xfId="279" xr:uid="{F081065D-FB71-4871-914C-CE127F402382}"/>
    <cellStyle name="60% - Accent1 4" xfId="280" xr:uid="{B2DAFC0D-440B-4325-81DF-8AACD2800598}"/>
    <cellStyle name="60% - Accent1 5" xfId="281" xr:uid="{DC694C4B-078D-4F35-B8DF-EF8AD1F9CBB4}"/>
    <cellStyle name="60% - Accent1 6" xfId="282" xr:uid="{73B8B9D5-1E27-4E10-ADCD-1AB4364307CA}"/>
    <cellStyle name="60% - Accent1 7" xfId="283" xr:uid="{04916911-431D-4FD8-AEB9-9527C7EA90A5}"/>
    <cellStyle name="60% - Accent1 8" xfId="284" xr:uid="{BEC5E216-0D73-4287-B87E-A081C003DB91}"/>
    <cellStyle name="60% - Accent1 9" xfId="285" xr:uid="{6EC31DE2-92E7-4685-8893-10EC7B245FFB}"/>
    <cellStyle name="60% - Accent2 10" xfId="286" xr:uid="{5A4C17A8-4857-4C00-BAD5-907895B2A795}"/>
    <cellStyle name="60% - Accent2 11" xfId="287" xr:uid="{AAAB4EF6-1227-4703-935B-E1144856CDEB}"/>
    <cellStyle name="60% - Accent2 12" xfId="288" xr:uid="{C8E65D39-1F04-4C71-BC79-C3FD8B4C739D}"/>
    <cellStyle name="60% - Accent2 13" xfId="289" xr:uid="{75D766B4-751F-4E61-937A-B29967B28276}"/>
    <cellStyle name="60% - Accent2 14" xfId="290" xr:uid="{B6CBCFDE-2995-4D82-A44C-9F34B0AC89A7}"/>
    <cellStyle name="60% - Accent2 15" xfId="291" xr:uid="{FCB55BF2-48F1-4DF2-B95F-AE5172C28027}"/>
    <cellStyle name="60% - Accent2 16" xfId="782" xr:uid="{77D578A0-FD5A-49D6-94E0-3A5E3FFC73D9}"/>
    <cellStyle name="60% - Accent2 2" xfId="36" xr:uid="{00000000-0005-0000-0000-000016000000}"/>
    <cellStyle name="60% - Accent2 2 2" xfId="821" xr:uid="{0000B17A-C06A-4F22-907A-3FF328F00F86}"/>
    <cellStyle name="60% - Accent2 2 3" xfId="292" xr:uid="{958FB846-B3E0-48B1-98D9-EA000ED18435}"/>
    <cellStyle name="60% - Accent2 3" xfId="293" xr:uid="{1E6A68D4-E7D6-45D5-8321-239EECB71DBD}"/>
    <cellStyle name="60% - Accent2 4" xfId="294" xr:uid="{1AB2AFBD-AA6A-41C7-8244-42E5F5D3FD1C}"/>
    <cellStyle name="60% - Accent2 5" xfId="295" xr:uid="{1C19E159-F86C-42A9-ABE1-591CDBC84F90}"/>
    <cellStyle name="60% - Accent2 6" xfId="296" xr:uid="{9EE756B7-D35D-45CE-8233-30596E37DD24}"/>
    <cellStyle name="60% - Accent2 7" xfId="297" xr:uid="{4C09B745-4F30-4B03-BF81-47729DB3CF3A}"/>
    <cellStyle name="60% - Accent2 8" xfId="298" xr:uid="{B94AA458-577F-4CDE-9BE3-2EC500D97A78}"/>
    <cellStyle name="60% - Accent2 9" xfId="299" xr:uid="{669F84EE-6D47-4B43-95F9-E73081B36D62}"/>
    <cellStyle name="60% - Accent3 10" xfId="300" xr:uid="{E004A4EC-F1DD-46A4-B225-11995009ACD1}"/>
    <cellStyle name="60% - Accent3 11" xfId="301" xr:uid="{39BED4F6-819E-4365-8C8B-40178C8674D1}"/>
    <cellStyle name="60% - Accent3 12" xfId="302" xr:uid="{49B92048-6C3F-4A6B-B81F-749B819D0DE2}"/>
    <cellStyle name="60% - Accent3 13" xfId="303" xr:uid="{89E54486-4DB7-4A0E-807A-CC52AEC1AE84}"/>
    <cellStyle name="60% - Accent3 14" xfId="304" xr:uid="{3729815D-C0C0-44FE-B70F-512CB7FC63E9}"/>
    <cellStyle name="60% - Accent3 15" xfId="305" xr:uid="{E3BCEA63-A2DB-4B83-AC76-8977550F608C}"/>
    <cellStyle name="60% - Accent3 16" xfId="783" xr:uid="{CB624445-18FF-43B8-971E-E4297F509989}"/>
    <cellStyle name="60% - Accent3 2" xfId="37" xr:uid="{00000000-0005-0000-0000-000017000000}"/>
    <cellStyle name="60% - Accent3 2 2" xfId="825" xr:uid="{44DD17FD-58C8-4F15-8A99-9B8CF79411B3}"/>
    <cellStyle name="60% - Accent3 2 3" xfId="306" xr:uid="{D6AF060B-685D-4A0E-ADAF-C6E5982631E4}"/>
    <cellStyle name="60% - Accent3 3" xfId="307" xr:uid="{066235C4-8112-4190-9BB8-40460448C492}"/>
    <cellStyle name="60% - Accent3 4" xfId="308" xr:uid="{FB275DE9-577B-4B6B-B7EB-0300703382DB}"/>
    <cellStyle name="60% - Accent3 5" xfId="309" xr:uid="{21626179-22AF-4425-B3E3-D323B8D89A3B}"/>
    <cellStyle name="60% - Accent3 6" xfId="310" xr:uid="{F2DDA026-78E1-4C8D-A288-3C57E26AD150}"/>
    <cellStyle name="60% - Accent3 7" xfId="311" xr:uid="{83E38BA6-8E54-4ABC-91A3-3ED49925CD9D}"/>
    <cellStyle name="60% - Accent3 8" xfId="312" xr:uid="{26390211-D61D-45BF-BBC5-7FE49861737C}"/>
    <cellStyle name="60% - Accent3 9" xfId="313" xr:uid="{B612C642-70BE-4649-930A-BBD649C8A156}"/>
    <cellStyle name="60% - Accent4 10" xfId="314" xr:uid="{AAF16347-5166-4508-BA3F-D490E39D1490}"/>
    <cellStyle name="60% - Accent4 11" xfId="315" xr:uid="{EB04CC85-EF0F-448E-B94C-16E0F738326D}"/>
    <cellStyle name="60% - Accent4 12" xfId="316" xr:uid="{87018657-7442-4BF1-A854-F7EF377F7D05}"/>
    <cellStyle name="60% - Accent4 13" xfId="317" xr:uid="{9F1F49B9-CB22-4964-8A30-06E5D0B30654}"/>
    <cellStyle name="60% - Accent4 14" xfId="318" xr:uid="{AD06B357-9DA6-4627-8EC8-A5220D680CE6}"/>
    <cellStyle name="60% - Accent4 15" xfId="319" xr:uid="{361052E9-8026-4A4E-A7FB-42F9CB6ED48F}"/>
    <cellStyle name="60% - Accent4 16" xfId="784" xr:uid="{47C94269-E3DE-4187-8087-4B76933C7F34}"/>
    <cellStyle name="60% - Accent4 2" xfId="38" xr:uid="{00000000-0005-0000-0000-000018000000}"/>
    <cellStyle name="60% - Accent4 2 2" xfId="829" xr:uid="{9A15E3F0-3BDC-4AE9-A088-651919D69ED0}"/>
    <cellStyle name="60% - Accent4 2 3" xfId="320" xr:uid="{72D010D9-7502-45D0-B05F-B92BABA26233}"/>
    <cellStyle name="60% - Accent4 3" xfId="321" xr:uid="{ADFC752E-942C-43E0-BF1D-F592C797999E}"/>
    <cellStyle name="60% - Accent4 4" xfId="322" xr:uid="{55B6F08B-7D92-4A8E-B30C-65C9C70CD56A}"/>
    <cellStyle name="60% - Accent4 5" xfId="323" xr:uid="{62F88DA3-F11D-4E51-9969-77F5BDD6C53F}"/>
    <cellStyle name="60% - Accent4 6" xfId="324" xr:uid="{7155239E-D1BE-44CB-8A50-536C5CC3A744}"/>
    <cellStyle name="60% - Accent4 7" xfId="325" xr:uid="{D393407F-B740-4E6D-B506-76010AAD788B}"/>
    <cellStyle name="60% - Accent4 8" xfId="326" xr:uid="{66A852E5-31EB-4F6D-8728-E8A2B5CE781F}"/>
    <cellStyle name="60% - Accent4 9" xfId="327" xr:uid="{BA84BE9B-99F1-4CD6-9C7E-856F335BE3C2}"/>
    <cellStyle name="60% - Accent5 10" xfId="328" xr:uid="{A963E034-9E64-4E89-B8F0-F115F5AAA65A}"/>
    <cellStyle name="60% - Accent5 11" xfId="329" xr:uid="{904852EA-FFB1-47CB-AE94-51F5FBF89AAD}"/>
    <cellStyle name="60% - Accent5 12" xfId="330" xr:uid="{50A01703-8CA0-48E6-98FA-415610CB0F41}"/>
    <cellStyle name="60% - Accent5 13" xfId="331" xr:uid="{E0836346-B2E1-46BA-BA3D-166D1B4193B2}"/>
    <cellStyle name="60% - Accent5 14" xfId="332" xr:uid="{31B79357-0BC4-418C-8617-8F732A50488E}"/>
    <cellStyle name="60% - Accent5 15" xfId="333" xr:uid="{4561D9AC-BAD1-4061-9A9F-6F4CC6D8E7BC}"/>
    <cellStyle name="60% - Accent5 16" xfId="785" xr:uid="{62921C0F-003F-4EB3-82B7-62379FA6FA2F}"/>
    <cellStyle name="60% - Accent5 2" xfId="39" xr:uid="{00000000-0005-0000-0000-000019000000}"/>
    <cellStyle name="60% - Accent5 2 2" xfId="833" xr:uid="{81D9616E-F32A-4263-8427-204776A10764}"/>
    <cellStyle name="60% - Accent5 2 3" xfId="334" xr:uid="{2B160FDD-523E-44FA-BBF2-A885ABBFA819}"/>
    <cellStyle name="60% - Accent5 3" xfId="335" xr:uid="{228875CA-4A37-4DD6-B065-693F85C8A0B2}"/>
    <cellStyle name="60% - Accent5 4" xfId="336" xr:uid="{03B501A0-8915-47F7-989C-079DCC58520A}"/>
    <cellStyle name="60% - Accent5 5" xfId="337" xr:uid="{DBBAEAE6-E755-4C0F-8909-F7E95E331556}"/>
    <cellStyle name="60% - Accent5 6" xfId="338" xr:uid="{6CBDED8D-5F78-4A1E-8FDF-5124269990F2}"/>
    <cellStyle name="60% - Accent5 7" xfId="339" xr:uid="{BA493134-E102-4C9E-BCA2-4E827A30352D}"/>
    <cellStyle name="60% - Accent5 8" xfId="340" xr:uid="{E5CCAB94-2F4B-4054-831E-E7E2F9CD2073}"/>
    <cellStyle name="60% - Accent5 9" xfId="341" xr:uid="{3B976BA8-CF6A-4E3E-8FE9-9FE1A613DF8A}"/>
    <cellStyle name="60% - Accent6 10" xfId="342" xr:uid="{DC2C7613-3F0A-49D1-AD17-3285665FC348}"/>
    <cellStyle name="60% - Accent6 11" xfId="343" xr:uid="{8EB07F71-F72B-44EE-A412-CA0C9E9CCEB9}"/>
    <cellStyle name="60% - Accent6 12" xfId="344" xr:uid="{CEA9548B-BB37-42BD-8290-27DFFFF7464D}"/>
    <cellStyle name="60% - Accent6 13" xfId="345" xr:uid="{05E0F87D-45F8-4B63-A506-191888AD78D6}"/>
    <cellStyle name="60% - Accent6 14" xfId="346" xr:uid="{EDB37D45-0450-4071-AD0E-5EF631CD35AC}"/>
    <cellStyle name="60% - Accent6 15" xfId="347" xr:uid="{6C7DF8D5-D93F-4C3F-8A1B-B840732D2150}"/>
    <cellStyle name="60% - Accent6 16" xfId="786" xr:uid="{AC620523-7C15-4129-8994-447C11F011E2}"/>
    <cellStyle name="60% - Accent6 2" xfId="40" xr:uid="{00000000-0005-0000-0000-00001A000000}"/>
    <cellStyle name="60% - Accent6 2 2" xfId="837" xr:uid="{C211F60E-4F1E-462D-90B1-D1C59A7CA834}"/>
    <cellStyle name="60% - Accent6 2 3" xfId="348" xr:uid="{8FEDC37A-83AA-453F-B9D4-61E8375107AA}"/>
    <cellStyle name="60% - Accent6 3" xfId="349" xr:uid="{A63D4885-BA94-4853-A7BD-AFFFAC1920B8}"/>
    <cellStyle name="60% - Accent6 4" xfId="350" xr:uid="{8A3CFC16-1705-4DF2-8A6F-AA9875D68BA0}"/>
    <cellStyle name="60% - Accent6 5" xfId="351" xr:uid="{DB292F6C-AB35-4BEF-B436-04DCF7815BDF}"/>
    <cellStyle name="60% - Accent6 6" xfId="352" xr:uid="{5024521E-5F69-4CDE-8085-03959B8B9E73}"/>
    <cellStyle name="60% - Accent6 7" xfId="353" xr:uid="{A2573E77-FB71-4184-9A07-0F342EA9BCFD}"/>
    <cellStyle name="60% - Accent6 8" xfId="354" xr:uid="{FF57B009-A40C-4C40-AD15-1BD3894F9A34}"/>
    <cellStyle name="60% - Accent6 9" xfId="355" xr:uid="{7F460525-0B9B-431B-AC5C-1E2EE8771FBF}"/>
    <cellStyle name="Accent1 10" xfId="356" xr:uid="{5D702F71-5298-448D-95F3-3C43CD194A53}"/>
    <cellStyle name="Accent1 11" xfId="357" xr:uid="{85567DA3-A5FA-4720-9124-13817F6F24CF}"/>
    <cellStyle name="Accent1 12" xfId="358" xr:uid="{9F8CB846-DD76-474F-9C05-DE4B0B7C6A62}"/>
    <cellStyle name="Accent1 13" xfId="359" xr:uid="{D44710D6-FEB4-4B8E-AA73-202B4284C3C8}"/>
    <cellStyle name="Accent1 14" xfId="360" xr:uid="{422053BA-6D94-4F2E-A1B1-ABAC4525B803}"/>
    <cellStyle name="Accent1 15" xfId="361" xr:uid="{A1875704-5ECE-4612-9772-19904B18B858}"/>
    <cellStyle name="Accent1 16" xfId="787" xr:uid="{A97D7B3B-83A4-460F-AF58-77C7E8A85F3B}"/>
    <cellStyle name="Accent1 2" xfId="41" xr:uid="{00000000-0005-0000-0000-00001B000000}"/>
    <cellStyle name="Accent1 2 2" xfId="814" xr:uid="{D8C6A5BA-9C94-42E7-B238-00124BC1E5B7}"/>
    <cellStyle name="Accent1 2 3" xfId="362" xr:uid="{A8C6951A-18E5-4626-BFDA-A274AA07EA64}"/>
    <cellStyle name="Accent1 3" xfId="363" xr:uid="{A7AD30D4-1F8B-4798-A5E8-B007655B61F5}"/>
    <cellStyle name="Accent1 4" xfId="364" xr:uid="{F70D2A21-5E75-427B-9A49-C7879FEFE499}"/>
    <cellStyle name="Accent1 5" xfId="365" xr:uid="{195574B9-FA2C-4D0E-80EC-E9D2B3E99470}"/>
    <cellStyle name="Accent1 6" xfId="366" xr:uid="{35A9CE23-BAE9-4556-9CF8-319451A6CC0B}"/>
    <cellStyle name="Accent1 7" xfId="367" xr:uid="{A92F728B-D892-42C5-9F6B-7F264DED586E}"/>
    <cellStyle name="Accent1 8" xfId="368" xr:uid="{C2C70A46-7D76-4ED2-BEF2-B25DB1E2677B}"/>
    <cellStyle name="Accent1 9" xfId="369" xr:uid="{294B5A8D-A5E3-4272-8D09-3F68D8E68C21}"/>
    <cellStyle name="Accent2 10" xfId="370" xr:uid="{84FF7D4D-1E1C-4BE7-8B9F-039C2BC638A9}"/>
    <cellStyle name="Accent2 11" xfId="371" xr:uid="{843D242C-4647-4C9E-90FD-AE74BE489C3A}"/>
    <cellStyle name="Accent2 12" xfId="372" xr:uid="{603FEADC-D8F0-43D7-89C7-CC59CBF7E923}"/>
    <cellStyle name="Accent2 13" xfId="373" xr:uid="{4B6FC0B0-2125-4593-A694-6D0F2E126E5F}"/>
    <cellStyle name="Accent2 14" xfId="374" xr:uid="{B6DC7C0E-30F8-402E-BF60-5FCEC289BFE8}"/>
    <cellStyle name="Accent2 15" xfId="375" xr:uid="{89B64ED2-BDD2-4F72-A4CB-9C8121043CEC}"/>
    <cellStyle name="Accent2 16" xfId="788" xr:uid="{0F01D3EA-A884-46AF-AF28-8FBCB7DB4F43}"/>
    <cellStyle name="Accent2 2" xfId="42" xr:uid="{00000000-0005-0000-0000-00001C000000}"/>
    <cellStyle name="Accent2 2 2" xfId="818" xr:uid="{F4A32345-D18B-422B-9E95-E9D6BCBFA8DE}"/>
    <cellStyle name="Accent2 2 3" xfId="376" xr:uid="{658ACFBF-F8A5-46A6-A4A8-BB00CA5F6D24}"/>
    <cellStyle name="Accent2 3" xfId="377" xr:uid="{0E04D4DB-0043-4EF3-B1DE-89D122024744}"/>
    <cellStyle name="Accent2 4" xfId="378" xr:uid="{ABEA153E-575F-4599-8F2D-CDDDE8620568}"/>
    <cellStyle name="Accent2 5" xfId="379" xr:uid="{B6F33499-F77A-45F7-88AF-FED3701ABE51}"/>
    <cellStyle name="Accent2 6" xfId="380" xr:uid="{3C76C1D3-42D0-4088-9FDA-A18118ACC297}"/>
    <cellStyle name="Accent2 7" xfId="381" xr:uid="{FEC8E6FD-689B-4A71-A528-6A8837063972}"/>
    <cellStyle name="Accent2 8" xfId="382" xr:uid="{A356D243-8855-4D71-ADEC-7D7F568976C0}"/>
    <cellStyle name="Accent2 9" xfId="383" xr:uid="{505F449A-057A-4060-B5A3-641E3DC0385C}"/>
    <cellStyle name="Accent3 10" xfId="384" xr:uid="{45E2612A-F1E5-49CF-9998-716AE4C7E2F0}"/>
    <cellStyle name="Accent3 11" xfId="385" xr:uid="{951959F2-B7B1-44C7-9976-25CD33D5BCBE}"/>
    <cellStyle name="Accent3 12" xfId="386" xr:uid="{0CF52F73-80A2-426A-AD4F-B3553621461F}"/>
    <cellStyle name="Accent3 13" xfId="387" xr:uid="{31A39ED5-FA8D-421D-9FFA-5B9ACD37FF6B}"/>
    <cellStyle name="Accent3 14" xfId="388" xr:uid="{A947A20A-8F2B-4C56-BF86-4257791EADE9}"/>
    <cellStyle name="Accent3 15" xfId="389" xr:uid="{D41435EB-6E64-4382-8481-BF9E91CBCF12}"/>
    <cellStyle name="Accent3 16" xfId="789" xr:uid="{C8733DC0-B5E6-4232-9A49-46F93C0D4E4F}"/>
    <cellStyle name="Accent3 2" xfId="43" xr:uid="{00000000-0005-0000-0000-00001D000000}"/>
    <cellStyle name="Accent3 2 2" xfId="822" xr:uid="{B60E2D03-5380-4C79-985E-C82533A9F749}"/>
    <cellStyle name="Accent3 2 3" xfId="390" xr:uid="{2CBCA5EE-BE77-4470-897F-E80E0D5DF163}"/>
    <cellStyle name="Accent3 3" xfId="391" xr:uid="{7E5E41E5-0AAC-4B04-8490-B57402A0F4BA}"/>
    <cellStyle name="Accent3 4" xfId="392" xr:uid="{F95D2CCE-8F67-4454-A2EA-427DF7044C56}"/>
    <cellStyle name="Accent3 5" xfId="393" xr:uid="{904401F1-D588-4BF1-8332-30B44D2882A5}"/>
    <cellStyle name="Accent3 6" xfId="394" xr:uid="{51445725-488F-4395-9089-4CD2E9935CCB}"/>
    <cellStyle name="Accent3 7" xfId="395" xr:uid="{87034619-7FBA-4BB6-9FD6-0BA43CF303E0}"/>
    <cellStyle name="Accent3 8" xfId="396" xr:uid="{95F92697-F1BE-4802-8AD6-BB4B4CC0E381}"/>
    <cellStyle name="Accent3 9" xfId="397" xr:uid="{1DC0A8BC-6398-46E9-BA7D-385A0F1E2629}"/>
    <cellStyle name="Accent4 10" xfId="398" xr:uid="{0846C6B3-8DC3-40E9-B253-B876D99D423F}"/>
    <cellStyle name="Accent4 11" xfId="399" xr:uid="{AA8A6EFE-68D5-4939-8663-F4C12ECA1874}"/>
    <cellStyle name="Accent4 12" xfId="400" xr:uid="{BCCE4523-5EAE-4B0A-A908-B2BEF07910AA}"/>
    <cellStyle name="Accent4 13" xfId="401" xr:uid="{BE8BA843-2C3B-498E-AA84-AF0EEA4A9D08}"/>
    <cellStyle name="Accent4 14" xfId="402" xr:uid="{2942FC04-1DCE-4A87-932C-CDFCD7D8C80D}"/>
    <cellStyle name="Accent4 15" xfId="403" xr:uid="{CA723D49-D18A-40A2-B08B-E9563211ABCA}"/>
    <cellStyle name="Accent4 16" xfId="871" xr:uid="{A6928AFA-45D5-4ECE-B72F-01121C16BFEF}"/>
    <cellStyle name="Accent4 2" xfId="44" xr:uid="{00000000-0005-0000-0000-00001E000000}"/>
    <cellStyle name="Accent4 2 2" xfId="826" xr:uid="{46F873C4-B866-4F77-AF9B-F232FFBB5B98}"/>
    <cellStyle name="Accent4 2 3" xfId="404" xr:uid="{975A9701-FA0E-4A13-B8DD-CDF2819CD5A2}"/>
    <cellStyle name="Accent4 3" xfId="405" xr:uid="{5B4974FB-59DB-46B5-BB8E-1D441665E735}"/>
    <cellStyle name="Accent4 4" xfId="406" xr:uid="{F373D766-E62C-4E35-B388-048F69949A2A}"/>
    <cellStyle name="Accent4 5" xfId="407" xr:uid="{2737E294-DCBF-46EF-86B0-FE5C12C02CAA}"/>
    <cellStyle name="Accent4 6" xfId="408" xr:uid="{107DD55B-0855-48BB-8177-89B07261A147}"/>
    <cellStyle name="Accent4 7" xfId="409" xr:uid="{0B450E02-87F3-46FC-ABCF-14FF49675432}"/>
    <cellStyle name="Accent4 8" xfId="410" xr:uid="{FA4F0027-AB48-4607-A2C9-2F6DFA011570}"/>
    <cellStyle name="Accent4 9" xfId="411" xr:uid="{8B350769-DEE4-4AA9-9969-CF5914B7C43B}"/>
    <cellStyle name="Accent5 10" xfId="412" xr:uid="{64E3DEE8-54E1-4E9F-815B-D01BC9343BE8}"/>
    <cellStyle name="Accent5 11" xfId="413" xr:uid="{A1144569-983B-49D4-97FA-47DD60DF1F94}"/>
    <cellStyle name="Accent5 12" xfId="414" xr:uid="{562878AE-DB2E-4827-8199-027B77329B98}"/>
    <cellStyle name="Accent5 13" xfId="415" xr:uid="{EE017235-1C02-41B2-8D9B-E1885733A643}"/>
    <cellStyle name="Accent5 14" xfId="416" xr:uid="{B350A851-0856-4638-8406-23D404FCD8BF}"/>
    <cellStyle name="Accent5 15" xfId="417" xr:uid="{00914131-44F1-47F6-A633-AF50C11D9247}"/>
    <cellStyle name="Accent5 16" xfId="866" xr:uid="{6554CF10-4167-4B33-BF47-88337BEAA272}"/>
    <cellStyle name="Accent5 2" xfId="45" xr:uid="{00000000-0005-0000-0000-00001F000000}"/>
    <cellStyle name="Accent5 2 2" xfId="830" xr:uid="{7569D6EC-EB2F-4158-AB54-D4F60CF9ED0B}"/>
    <cellStyle name="Accent5 2 3" xfId="418" xr:uid="{5179EA49-A272-41FC-993B-E4F55677CBC9}"/>
    <cellStyle name="Accent5 3" xfId="419" xr:uid="{2D1C5A73-024B-4C15-B18B-3D645AB7F0C1}"/>
    <cellStyle name="Accent5 4" xfId="420" xr:uid="{6800D9EF-155D-4AE6-942B-0EED17109F2A}"/>
    <cellStyle name="Accent5 5" xfId="421" xr:uid="{7270F192-3905-4544-A9C9-2686AF21939D}"/>
    <cellStyle name="Accent5 6" xfId="422" xr:uid="{55C18A12-D324-472C-9022-BE401BF33F42}"/>
    <cellStyle name="Accent5 7" xfId="423" xr:uid="{671DBB28-BAA0-4308-95F0-4DE0137BDC9E}"/>
    <cellStyle name="Accent5 8" xfId="424" xr:uid="{6679B65E-5BFB-4FE7-8ADE-052325510415}"/>
    <cellStyle name="Accent5 9" xfId="425" xr:uid="{12E34B9E-05B6-4F21-A899-0C0A36736E6C}"/>
    <cellStyle name="Accent6 10" xfId="426" xr:uid="{5732E225-880B-4B24-BD7E-92655A9BE055}"/>
    <cellStyle name="Accent6 11" xfId="427" xr:uid="{FE1FB0D1-F152-4328-9B56-1AAF63E4E7EC}"/>
    <cellStyle name="Accent6 12" xfId="428" xr:uid="{9F90447A-26B8-4B1E-9139-D9E47F0344C5}"/>
    <cellStyle name="Accent6 13" xfId="429" xr:uid="{A7359480-AD64-405B-8B54-22F2CDC03D6B}"/>
    <cellStyle name="Accent6 14" xfId="430" xr:uid="{5DADB6C9-F700-4288-B5EE-846044C5E251}"/>
    <cellStyle name="Accent6 15" xfId="431" xr:uid="{2F5D5605-A8B0-44BB-AFAB-DEE06114F71F}"/>
    <cellStyle name="Accent6 16" xfId="870" xr:uid="{DC8A7880-3A36-41A4-A73A-F9DB1A061A43}"/>
    <cellStyle name="Accent6 2" xfId="46" xr:uid="{00000000-0005-0000-0000-000020000000}"/>
    <cellStyle name="Accent6 2 2" xfId="834" xr:uid="{3B96CDD7-EE3D-42E0-BFB4-03DD4B8BBD24}"/>
    <cellStyle name="Accent6 2 3" xfId="432" xr:uid="{A6EF0BCD-1951-4469-A103-C10605D9C201}"/>
    <cellStyle name="Accent6 3" xfId="433" xr:uid="{937A6A4B-0827-42B7-94E1-ED48F95052E5}"/>
    <cellStyle name="Accent6 4" xfId="434" xr:uid="{02437E66-BCE1-4A90-A9A2-DA098689900A}"/>
    <cellStyle name="Accent6 5" xfId="435" xr:uid="{577460C7-DC19-4713-88DB-4CA0D0F9C622}"/>
    <cellStyle name="Accent6 6" xfId="436" xr:uid="{D59A24A9-41A8-46BF-B9B3-6D69CD3561C7}"/>
    <cellStyle name="Accent6 7" xfId="437" xr:uid="{8CBEE71B-01B1-4BCD-B271-33421739FAFD}"/>
    <cellStyle name="Accent6 8" xfId="438" xr:uid="{B7D34C19-695B-432D-910D-448C2F6E7189}"/>
    <cellStyle name="Accent6 9" xfId="439" xr:uid="{9FD4DBF2-7929-4247-B3EE-5DBD075A23D5}"/>
    <cellStyle name="Bad 10" xfId="440" xr:uid="{566576D2-7204-4BE5-8BDC-957672F81708}"/>
    <cellStyle name="Bad 11" xfId="441" xr:uid="{559A247D-7B62-4A49-9CF0-FBF489CDC04A}"/>
    <cellStyle name="Bad 12" xfId="442" xr:uid="{BF16EEDD-25D2-4EA4-8E63-E658C7170B27}"/>
    <cellStyle name="Bad 13" xfId="443" xr:uid="{98093839-534A-40C9-93AC-6ED13E1668EA}"/>
    <cellStyle name="Bad 14" xfId="444" xr:uid="{BBFC7792-30AF-4045-8C74-F38D575C7A15}"/>
    <cellStyle name="Bad 15" xfId="445" xr:uid="{4C1240DB-66C6-4BAB-8C54-D3C7417CC4C7}"/>
    <cellStyle name="Bad 16" xfId="855" xr:uid="{B7F14968-FE81-46C2-9311-818578C2F573}"/>
    <cellStyle name="Bad 2" xfId="47" xr:uid="{00000000-0005-0000-0000-000021000000}"/>
    <cellStyle name="Bad 2 2" xfId="803" xr:uid="{74E993D3-BC7E-4377-88D7-775701107076}"/>
    <cellStyle name="Bad 2 3" xfId="446" xr:uid="{41A6028F-ABDC-42B2-A98C-558E769DDBB8}"/>
    <cellStyle name="Bad 3" xfId="447" xr:uid="{D76F6138-44C3-441E-875B-A4F2C607CE4C}"/>
    <cellStyle name="Bad 4" xfId="448" xr:uid="{85042327-E6F6-4E0C-A834-E27C1FB2195B}"/>
    <cellStyle name="Bad 5" xfId="449" xr:uid="{71EA3BCB-4953-42EF-A94D-10BF71005792}"/>
    <cellStyle name="Bad 6" xfId="450" xr:uid="{EBC9A3A2-CE6B-425B-A05F-6EAEE22CBFDA}"/>
    <cellStyle name="Bad 7" xfId="451" xr:uid="{0243F4B2-A7ED-47C9-8377-E8C0C97F2BB8}"/>
    <cellStyle name="Bad 8" xfId="452" xr:uid="{5A3E1F77-EF22-4CCE-BC13-7D962668A6D2}"/>
    <cellStyle name="Bad 9" xfId="453" xr:uid="{E5DAD6C6-2824-45DA-A0AF-07DD62140BD5}"/>
    <cellStyle name="Calculation 10" xfId="454" xr:uid="{B082A5D2-CBF8-447D-9EFD-F50F2FC0995D}"/>
    <cellStyle name="Calculation 11" xfId="455" xr:uid="{47971860-E666-4C29-97F9-161A08A9FF1E}"/>
    <cellStyle name="Calculation 12" xfId="456" xr:uid="{2FC89415-36AF-4353-B5B7-78192B53DA51}"/>
    <cellStyle name="Calculation 13" xfId="457" xr:uid="{726743D5-765F-4053-A7B0-CF1E385961A9}"/>
    <cellStyle name="Calculation 14" xfId="458" xr:uid="{E82CFC78-EA29-42A0-8624-BC3BB0C4CF1B}"/>
    <cellStyle name="Calculation 15" xfId="459" xr:uid="{599CDEE9-E7D5-4FCC-9B2A-54F4711FE356}"/>
    <cellStyle name="Calculation 16" xfId="790" xr:uid="{712A35D0-6342-4FA3-89E2-CC72CF61E961}"/>
    <cellStyle name="Calculation 17" xfId="1536" xr:uid="{2EDE4944-FD14-46AE-8D88-08C84DBAA993}"/>
    <cellStyle name="Calculation 18" xfId="1539" xr:uid="{B43EC870-A144-4BBF-BFA9-B9480390D328}"/>
    <cellStyle name="Calculation 2" xfId="48" xr:uid="{00000000-0005-0000-0000-000022000000}"/>
    <cellStyle name="Calculation 2 2" xfId="807" xr:uid="{B42AAE89-5EA0-4B4D-BAFF-47773D7B4CFD}"/>
    <cellStyle name="Calculation 2 3" xfId="460" xr:uid="{C4C74B5B-8AE0-4EC3-9C78-1196B7B6FD0D}"/>
    <cellStyle name="Calculation 3" xfId="461" xr:uid="{1F8CEF80-6E40-44C7-B96B-7343048F4087}"/>
    <cellStyle name="Calculation 4" xfId="462" xr:uid="{701D28DE-684A-499C-A8BF-54C60C03DEAE}"/>
    <cellStyle name="Calculation 5" xfId="463" xr:uid="{408654D6-6674-41DB-91CE-F0969FF2081D}"/>
    <cellStyle name="Calculation 6" xfId="464" xr:uid="{5D482EDF-5266-43FF-9B1C-CBC5E37E3E6E}"/>
    <cellStyle name="Calculation 7" xfId="465" xr:uid="{083EBA3B-C5DE-464E-A820-DEC2E0B9B615}"/>
    <cellStyle name="Calculation 8" xfId="466" xr:uid="{B78FAE0F-4228-4CAA-8791-909755D8B289}"/>
    <cellStyle name="Calculation 9" xfId="467" xr:uid="{51BC4678-9144-4C80-A553-F021F0AAEB43}"/>
    <cellStyle name="Check Cell 10" xfId="468" xr:uid="{997FE835-F944-429F-9F23-526FFEECE3BE}"/>
    <cellStyle name="Check Cell 11" xfId="469" xr:uid="{DF114F21-C2B3-403B-B0D3-2CC3E61E0EE8}"/>
    <cellStyle name="Check Cell 12" xfId="470" xr:uid="{339E30AC-96AA-4CBD-A482-6CC6FCE29AC4}"/>
    <cellStyle name="Check Cell 13" xfId="471" xr:uid="{76D427B1-8257-473F-9191-F6852C679A79}"/>
    <cellStyle name="Check Cell 14" xfId="472" xr:uid="{3EBAAF24-5E78-4BDD-AFFE-0605609C6746}"/>
    <cellStyle name="Check Cell 15" xfId="473" xr:uid="{E29C7AF3-6982-4C26-A85C-9CC17498033A}"/>
    <cellStyle name="Check Cell 16" xfId="851" xr:uid="{DA86EF6C-96DC-4468-A9D7-A2B132A5CBC6}"/>
    <cellStyle name="Check Cell 2" xfId="49" xr:uid="{00000000-0005-0000-0000-000023000000}"/>
    <cellStyle name="Check Cell 2 2" xfId="809" xr:uid="{0834D282-C2F0-4E40-9F46-AC121EABF6EC}"/>
    <cellStyle name="Check Cell 2 3" xfId="474" xr:uid="{BBE0D81B-B04F-47B8-B9D9-7E418AE7ADCE}"/>
    <cellStyle name="Check Cell 3" xfId="475" xr:uid="{DC684159-56B1-431F-9DF0-56BB473ACBA0}"/>
    <cellStyle name="Check Cell 4" xfId="476" xr:uid="{F67AF96B-4B3A-4B61-B6F6-814D18FE2440}"/>
    <cellStyle name="Check Cell 5" xfId="477" xr:uid="{CB29AD73-0E65-4DA4-A542-081E7B0B7621}"/>
    <cellStyle name="Check Cell 6" xfId="478" xr:uid="{ABEDE31E-2C1B-4954-8E7C-7236B4512FFA}"/>
    <cellStyle name="Check Cell 7" xfId="479" xr:uid="{991EF724-160F-4B20-A41E-4A1F071082EB}"/>
    <cellStyle name="Check Cell 8" xfId="480" xr:uid="{6A1F5257-F00B-4E36-AD85-EBEF8E88730A}"/>
    <cellStyle name="Check Cell 9" xfId="481" xr:uid="{6B69CF47-0A5A-46F4-9DAF-FB4BA3D27483}"/>
    <cellStyle name="Comma" xfId="1" builtinId="3"/>
    <cellStyle name="Comma 10" xfId="482" xr:uid="{8FECAEF1-0324-4522-B12C-14CA6AF8D6F9}"/>
    <cellStyle name="Comma 11" xfId="1650" xr:uid="{25298E4D-5B35-4152-AA0C-B58ED9EED0BE}"/>
    <cellStyle name="Comma 2" xfId="5" xr:uid="{00000000-0005-0000-0000-000025000000}"/>
    <cellStyle name="Comma 2 10" xfId="1527" xr:uid="{0BC537A4-BE34-44C8-AA9F-9D29E2B272D0}"/>
    <cellStyle name="Comma 2 2" xfId="696" xr:uid="{5C884EC2-A2E8-4501-80D2-1AD62416BE05}"/>
    <cellStyle name="Comma 2 2 2" xfId="695" xr:uid="{45356556-BBB8-4BAC-AD32-6D82C625287D}"/>
    <cellStyle name="Comma 2 2 3" xfId="1598" xr:uid="{6B31B1F2-0BE4-40C6-9AA7-6AC72AA3B3EE}"/>
    <cellStyle name="Comma 2 3" xfId="734" xr:uid="{27F51AD3-0C7D-4B0F-B4B0-08BB7C60AE6D}"/>
    <cellStyle name="Comma 2 3 2" xfId="1631" xr:uid="{97BACC60-7486-4E1C-9DEF-041ACF924BB4}"/>
    <cellStyle name="Comma 2 4" xfId="839" xr:uid="{51C41699-2F14-4740-B30A-17757AFCA611}"/>
    <cellStyle name="Comma 2 5" xfId="1529" xr:uid="{D042C698-5BF5-4C4E-A832-9FA411884923}"/>
    <cellStyle name="Comma 2 6" xfId="1563" xr:uid="{711DB856-27D7-4708-B216-B536633DE10D}"/>
    <cellStyle name="Comma 3" xfId="6" xr:uid="{00000000-0005-0000-0000-000026000000}"/>
    <cellStyle name="Comma 3 2" xfId="50" xr:uid="{00000000-0005-0000-0000-000027000000}"/>
    <cellStyle name="Comma 3 2 2" xfId="845" xr:uid="{06F33135-4716-4593-9B2D-3B6B69144D17}"/>
    <cellStyle name="Comma 3 2 2 2" xfId="1611" xr:uid="{9D697535-BF40-42F1-B8DA-2257CEB21307}"/>
    <cellStyle name="Comma 3 2 3" xfId="697" xr:uid="{2385347A-A18A-44FB-B93F-BA54E6114382}"/>
    <cellStyle name="Comma 3 2 3 2" xfId="1641" xr:uid="{768B1C9F-FA1F-4427-A789-A0C74DA40ECD}"/>
    <cellStyle name="Comma 3 2 4" xfId="1576" xr:uid="{3138837E-8DD2-4EA7-9C15-583C8E21D09D}"/>
    <cellStyle name="Comma 3 2 5" xfId="98" xr:uid="{00000000-0005-0000-0000-000028000000}"/>
    <cellStyle name="Comma 3 3" xfId="841" xr:uid="{6F3B3E26-3FC8-4A18-8614-A92B20C5AF9B}"/>
    <cellStyle name="Comma 3 3 2" xfId="1601" xr:uid="{AA3C8A3C-D478-4AA2-8E24-619BEA3F7829}"/>
    <cellStyle name="Comma 3 4" xfId="1013" xr:uid="{93DBB256-1BC0-48FF-9C75-641FCC229582}"/>
    <cellStyle name="Comma 3 4 2" xfId="1634" xr:uid="{C034EDFB-859B-4BB2-BD5F-1B572BB2EDDF}"/>
    <cellStyle name="Comma 3 5" xfId="483" xr:uid="{F7718869-6A96-4AF3-81D7-69A99B2C7D27}"/>
    <cellStyle name="Comma 3 6" xfId="1566" xr:uid="{0341A5C9-6337-4E00-8AD0-91A483843BFF}"/>
    <cellStyle name="Comma 36" xfId="1653" xr:uid="{076D641D-97E9-445E-9AC5-A4CD88BE16E3}"/>
    <cellStyle name="Comma 4" xfId="13" xr:uid="{00000000-0005-0000-0000-000029000000}"/>
    <cellStyle name="Comma 4 10" xfId="1571" xr:uid="{59A05CAD-A77A-404C-9BCA-17D6F7F90762}"/>
    <cellStyle name="Comma 4 2" xfId="718" xr:uid="{D0DD6974-E7F0-4910-AA4F-6BBA504B5857}"/>
    <cellStyle name="Comma 4 2 2" xfId="755" xr:uid="{F6DD45F6-AA08-4067-8760-3140FB1C46EE}"/>
    <cellStyle name="Comma 4 2 2 2" xfId="910" xr:uid="{AB3D9A1D-98A3-4322-A683-8C09853113F7}"/>
    <cellStyle name="Comma 4 2 2 2 2" xfId="1241" xr:uid="{AA2F7961-ECF3-4EBC-90A1-9D7D8B40F223}"/>
    <cellStyle name="Comma 4 2 2 2 2 2" xfId="1474" xr:uid="{21270ADF-E7D8-464A-BC26-DE8E50AFECD9}"/>
    <cellStyle name="Comma 4 2 2 2 3" xfId="1358" xr:uid="{BA5C24C9-1D6A-4368-8680-4AE2FCDC3F8B}"/>
    <cellStyle name="Comma 4 2 2 2 4" xfId="1122" xr:uid="{10FB19E0-5D9C-41C7-8B76-8FD8F1367963}"/>
    <cellStyle name="Comma 4 2 2 3" xfId="980" xr:uid="{124C35C6-121E-48BC-B4E2-4A86CAACA293}"/>
    <cellStyle name="Comma 4 2 2 3 2" xfId="1418" xr:uid="{E9D209CB-A116-47DC-82B1-A39F9EE0AFEE}"/>
    <cellStyle name="Comma 4 2 2 3 3" xfId="1185" xr:uid="{0326AC30-ABE8-4986-8663-1F0E856C12E3}"/>
    <cellStyle name="Comma 4 2 2 4" xfId="1302" xr:uid="{D8140800-B9AD-48FE-A30D-80226EB45111}"/>
    <cellStyle name="Comma 4 2 2 5" xfId="1065" xr:uid="{CD31EEDF-D1FF-431C-9685-02F421699DC0}"/>
    <cellStyle name="Comma 4 2 3" xfId="877" xr:uid="{911F8651-F3EA-4CE8-8564-FEF8B0403898}"/>
    <cellStyle name="Comma 4 2 3 2" xfId="1211" xr:uid="{DA551323-8739-4FD7-A3C1-37A7F4683952}"/>
    <cellStyle name="Comma 4 2 3 2 2" xfId="1444" xr:uid="{6D689856-4D13-4705-A1DF-6BA472F4AF93}"/>
    <cellStyle name="Comma 4 2 3 3" xfId="1328" xr:uid="{2664CE71-23FD-4C73-97D7-14BF4346EA3D}"/>
    <cellStyle name="Comma 4 2 3 4" xfId="1092" xr:uid="{F1050FED-08FE-46E5-A0B9-3619004886D2}"/>
    <cellStyle name="Comma 4 2 4" xfId="950" xr:uid="{537C12F2-00D3-490C-B1C6-0FF5719159D3}"/>
    <cellStyle name="Comma 4 2 4 2" xfId="1392" xr:uid="{C7AF5BEC-A755-4741-8E3C-C34268932174}"/>
    <cellStyle name="Comma 4 2 4 3" xfId="1159" xr:uid="{212B962E-FEA4-4A3E-9652-0DDE300E3E39}"/>
    <cellStyle name="Comma 4 2 5" xfId="1276" xr:uid="{D5CAA9EF-8912-4D00-BF61-F9BC7A4772B2}"/>
    <cellStyle name="Comma 4 2 6" xfId="1039" xr:uid="{CE49E489-05BC-4A71-8EC3-FD661246633E}"/>
    <cellStyle name="Comma 4 2 7" xfId="1607" xr:uid="{4E30939D-2574-440C-8B14-B830349B47A9}"/>
    <cellStyle name="Comma 4 3" xfId="726" xr:uid="{67127201-94F5-40AA-8AE2-FB81460347C4}"/>
    <cellStyle name="Comma 4 3 2" xfId="763" xr:uid="{5B7EC4E5-ECF7-4B15-A09D-23B645B4F88C}"/>
    <cellStyle name="Comma 4 3 2 2" xfId="918" xr:uid="{E658FB33-1557-4651-8E1C-BA142126A1E8}"/>
    <cellStyle name="Comma 4 3 2 2 2" xfId="1249" xr:uid="{C596C76D-ECDE-4A0D-9747-26845C136FB2}"/>
    <cellStyle name="Comma 4 3 2 2 2 2" xfId="1482" xr:uid="{92D06D19-0813-437A-80F1-ED18C108F715}"/>
    <cellStyle name="Comma 4 3 2 2 3" xfId="1366" xr:uid="{A7B0B188-956E-4DBD-99A4-E5758BECC5FE}"/>
    <cellStyle name="Comma 4 3 2 2 4" xfId="1130" xr:uid="{8A0EEEAE-AE6C-4963-BBA5-59EDC018D60A}"/>
    <cellStyle name="Comma 4 3 2 3" xfId="988" xr:uid="{C03078A6-19C3-4289-81C7-E8AA019F220E}"/>
    <cellStyle name="Comma 4 3 2 3 2" xfId="1426" xr:uid="{FFEE48A5-F665-4DF0-B7B7-4E37A8A4A939}"/>
    <cellStyle name="Comma 4 3 2 3 3" xfId="1193" xr:uid="{09AAF5DC-B974-42A4-AF2D-32BD1EC925FE}"/>
    <cellStyle name="Comma 4 3 2 4" xfId="1310" xr:uid="{AF59D94F-F15B-48EA-B21F-AC432AC23454}"/>
    <cellStyle name="Comma 4 3 2 5" xfId="1073" xr:uid="{26067BA4-3E55-4DA0-8E34-9551523DB588}"/>
    <cellStyle name="Comma 4 3 3" xfId="885" xr:uid="{8A87DA2E-AA61-4561-B5E8-4813CC7D4658}"/>
    <cellStyle name="Comma 4 3 3 2" xfId="1219" xr:uid="{575DA251-2CA0-401E-B426-9076F102FB9E}"/>
    <cellStyle name="Comma 4 3 3 2 2" xfId="1452" xr:uid="{4E9F9CAD-E96D-4636-92B0-707D07BC2F48}"/>
    <cellStyle name="Comma 4 3 3 3" xfId="1336" xr:uid="{30E8549D-535B-4380-B876-0EE75E63C991}"/>
    <cellStyle name="Comma 4 3 3 4" xfId="1100" xr:uid="{047C5DE1-2659-45EB-A103-18F7B40CFCE4}"/>
    <cellStyle name="Comma 4 3 4" xfId="958" xr:uid="{85799808-3E9F-42A6-BF19-48433923D002}"/>
    <cellStyle name="Comma 4 3 4 2" xfId="1400" xr:uid="{0550F9F1-B02D-454E-94D7-589ACB208F92}"/>
    <cellStyle name="Comma 4 3 4 3" xfId="1167" xr:uid="{1C29E861-3E06-47A1-94E3-8AF606845AC6}"/>
    <cellStyle name="Comma 4 3 5" xfId="1284" xr:uid="{CF437CAC-360E-4884-AF60-368B11CB6458}"/>
    <cellStyle name="Comma 4 3 6" xfId="1047" xr:uid="{C0A5D906-73E8-49A9-A601-A6CE3F8B5C5D}"/>
    <cellStyle name="Comma 4 3 7" xfId="1639" xr:uid="{161C6614-5553-4531-A455-85DD98A38AB3}"/>
    <cellStyle name="Comma 4 4" xfId="747" xr:uid="{0B9BCA44-DFFA-4CC3-A75B-421218FEFFE8}"/>
    <cellStyle name="Comma 4 4 2" xfId="902" xr:uid="{C8BDA6AB-74B3-4D08-A410-54F4E97BF3FC}"/>
    <cellStyle name="Comma 4 4 2 2" xfId="1233" xr:uid="{E77F1A97-F579-4335-A04C-D57E5835BC85}"/>
    <cellStyle name="Comma 4 4 2 2 2" xfId="1466" xr:uid="{A4D9D4A8-EF3C-496E-9E8D-C9F187AF6641}"/>
    <cellStyle name="Comma 4 4 2 3" xfId="1350" xr:uid="{19A4DDEC-1099-4BCC-BFB7-B0554E937F32}"/>
    <cellStyle name="Comma 4 4 2 4" xfId="1114" xr:uid="{215A50F9-63DE-436F-ABB5-D560B8641C69}"/>
    <cellStyle name="Comma 4 4 3" xfId="972" xr:uid="{01CD0DAF-2A1A-45AC-A428-611E56F68FA8}"/>
    <cellStyle name="Comma 4 4 3 2" xfId="1410" xr:uid="{451E20B6-7523-4933-83F0-6F2A8A63B3C5}"/>
    <cellStyle name="Comma 4 4 3 3" xfId="1177" xr:uid="{01ED00B4-BAD8-4B65-B432-748338A35FA0}"/>
    <cellStyle name="Comma 4 4 4" xfId="1294" xr:uid="{D2908565-DD96-4CD4-A8F9-F79AF8BDE1F7}"/>
    <cellStyle name="Comma 4 4 5" xfId="1057" xr:uid="{E0EAB927-C99B-4228-BC3E-8F0B521DA070}"/>
    <cellStyle name="Comma 4 5" xfId="863" xr:uid="{3EFD697D-D6C4-4CA7-B04E-B6412980BE8E}"/>
    <cellStyle name="Comma 4 5 2" xfId="1203" xr:uid="{AF133694-6241-4138-ABAC-4AB6FC6ECA78}"/>
    <cellStyle name="Comma 4 5 2 2" xfId="1436" xr:uid="{A37C04A3-570D-4FE6-BD1A-17C18A9E005E}"/>
    <cellStyle name="Comma 4 5 3" xfId="1320" xr:uid="{B197301A-741B-4433-973F-5E1E0E023447}"/>
    <cellStyle name="Comma 4 5 4" xfId="1084" xr:uid="{1EE9568E-58C4-415B-AF12-B388F50F8338}"/>
    <cellStyle name="Comma 4 6" xfId="942" xr:uid="{61C3D071-B490-470C-976E-9FEA44632C71}"/>
    <cellStyle name="Comma 4 6 2" xfId="1384" xr:uid="{2AE5B1D2-6D68-4937-9D3D-0CD5365CB6DC}"/>
    <cellStyle name="Comma 4 6 3" xfId="1151" xr:uid="{05EEA04F-4961-47B1-9E84-9A4BFDCDDA3D}"/>
    <cellStyle name="Comma 4 7" xfId="1268" xr:uid="{7F0F30CE-4CA9-4A1E-9660-386E4D681100}"/>
    <cellStyle name="Comma 4 8" xfId="1031" xr:uid="{1C1658A9-D38B-4BE5-916F-FA668E383A19}"/>
    <cellStyle name="Comma 4 9" xfId="698" xr:uid="{403C2BF1-19F8-4B11-8FB8-2357CD776909}"/>
    <cellStyle name="Comma 5" xfId="51" xr:uid="{00000000-0005-0000-0000-00002A000000}"/>
    <cellStyle name="Comma 5 2" xfId="741" xr:uid="{D478268A-DF0C-4B5B-BBEF-00FA1734E830}"/>
    <cellStyle name="Comma 6" xfId="52" xr:uid="{00000000-0005-0000-0000-00002B000000}"/>
    <cellStyle name="Comma 6 2" xfId="895" xr:uid="{F255B425-0280-4CF8-89B6-EBB2DEB02552}"/>
    <cellStyle name="Comma 6 2 2" xfId="1255" xr:uid="{704A244E-5A2F-4111-8E9C-2B938158BD5D}"/>
    <cellStyle name="Comma 6 2 2 2" xfId="1488" xr:uid="{9297EA6E-2CCB-4112-AF77-09EC4E4C5152}"/>
    <cellStyle name="Comma 6 2 3" xfId="1372" xr:uid="{7E23E9E1-6CEE-4A2F-8C5E-CE28F4FE14D3}"/>
    <cellStyle name="Comma 6 2 4" xfId="1136" xr:uid="{350B5B09-4779-4312-8758-D4340CF22AA9}"/>
    <cellStyle name="Comma 6 3" xfId="966" xr:uid="{6A26894F-FD4A-4F90-BFB9-AE902B473A5C}"/>
    <cellStyle name="Comma 6 3 2" xfId="1460" xr:uid="{39475F79-9885-4357-B4C1-05F47188DE1B}"/>
    <cellStyle name="Comma 6 3 3" xfId="1227" xr:uid="{18FF843B-5F8B-4F38-B119-D2C05ADBC0D3}"/>
    <cellStyle name="Comma 6 4" xfId="1344" xr:uid="{DBD9FCEF-F0D2-4017-9B9B-19883A39E7D5}"/>
    <cellStyle name="Comma 6 5" xfId="1108" xr:uid="{F50B1894-6A6C-4E4A-AB3F-58439678ADF2}"/>
    <cellStyle name="Comma 6 6" xfId="738" xr:uid="{A9251E0A-8C2F-49D9-A754-368AFE55B188}"/>
    <cellStyle name="Comma 7" xfId="102" xr:uid="{D5206E47-2A95-4FF1-9589-DA112C04A81A}"/>
    <cellStyle name="Comma 7 2" xfId="1139" xr:uid="{59452356-5177-4B48-872B-45F54E602F39}"/>
    <cellStyle name="Comma 7 3" xfId="872" xr:uid="{E7864F6D-C031-4AC2-9E32-1C2D4D8E89CF}"/>
    <cellStyle name="Comma 7 4" xfId="1528" xr:uid="{9114E8B8-6A58-43C1-A5B1-35829673A44E}"/>
    <cellStyle name="Comma 8" xfId="1143" xr:uid="{0FD88E57-14A1-40FC-9477-C96E25492CE0}"/>
    <cellStyle name="Comma 8 2" xfId="1373" xr:uid="{0BB19685-7025-45A9-8241-45B89BCC565C}"/>
    <cellStyle name="Comma 9" xfId="1257" xr:uid="{971631FA-90B2-4CD7-93DD-3F784E81F85A}"/>
    <cellStyle name="Comma0" xfId="7" xr:uid="{00000000-0005-0000-0000-00002D000000}"/>
    <cellStyle name="Currency 2" xfId="12" xr:uid="{00000000-0005-0000-0000-00002F000000}"/>
    <cellStyle name="Currency 2 2" xfId="699" xr:uid="{CCB3356E-8847-428F-9561-B52CF2B5D2E2}"/>
    <cellStyle name="Currency 2 2 2" xfId="1606" xr:uid="{208E9C23-43B5-4F69-8B65-01537819225E}"/>
    <cellStyle name="Currency 2 3" xfId="690" xr:uid="{9C4D7435-CAEA-4E1C-AF51-D7C33A5A362E}"/>
    <cellStyle name="Currency 2 3 2" xfId="1638" xr:uid="{69C8B5FF-9F26-4822-879B-C9763D573929}"/>
    <cellStyle name="Currency 2 4" xfId="865" xr:uid="{8C3B8BBD-B628-4F2B-8D55-97666F333DE1}"/>
    <cellStyle name="Currency 2 5" xfId="1012" xr:uid="{2B08C812-A7E7-4016-93C8-C0DB4CB6968D}"/>
    <cellStyle name="Currency 2 6" xfId="484" xr:uid="{85D9DD75-2F9D-4F20-9400-0DF1B67F12D8}"/>
    <cellStyle name="Currency 2 7" xfId="1570" xr:uid="{F70DAD11-0C4F-4AEC-8C4F-9D99939DBE4C}"/>
    <cellStyle name="Currency 3" xfId="53" xr:uid="{00000000-0005-0000-0000-000030000000}"/>
    <cellStyle name="Currency 3 2" xfId="700" xr:uid="{F12677A6-4868-46D1-8874-DF53244EE9F2}"/>
    <cellStyle name="Currency 3 3" xfId="691" xr:uid="{8C0C9F5B-7CBC-4E61-B5B1-D7F321083EB5}"/>
    <cellStyle name="Currency 3 4" xfId="847" xr:uid="{A9840730-335F-4017-8C21-E00A0D19E2FE}"/>
    <cellStyle name="Currency 4" xfId="54" xr:uid="{00000000-0005-0000-0000-000031000000}"/>
    <cellStyle name="Currency 4 2" xfId="1024" xr:uid="{C7D9E384-5727-432F-96D9-82CF94516DD6}"/>
    <cellStyle name="Currency 5" xfId="485" xr:uid="{C7B28150-23F3-45C8-963D-555E5B2F35A2}"/>
    <cellStyle name="Currency 6" xfId="1651" xr:uid="{1D36D290-9B8D-4366-9EA3-7B24D5CEBF63}"/>
    <cellStyle name="Currency0" xfId="8" xr:uid="{00000000-0005-0000-0000-000032000000}"/>
    <cellStyle name="Currency0 2" xfId="1572" xr:uid="{A67DA7F1-FDCC-4193-82F7-5AAABD13B541}"/>
    <cellStyle name="Date" xfId="9" xr:uid="{00000000-0005-0000-0000-000033000000}"/>
    <cellStyle name="Explanatory Text 10" xfId="486" xr:uid="{3F568998-35F7-44A2-9AEC-A813F95A59CE}"/>
    <cellStyle name="Explanatory Text 11" xfId="487" xr:uid="{5FC0FBBC-85B9-45FD-8B6D-CA82D2F1478C}"/>
    <cellStyle name="Explanatory Text 12" xfId="488" xr:uid="{444080BA-CCBC-47B4-82A2-112260A77878}"/>
    <cellStyle name="Explanatory Text 13" xfId="489" xr:uid="{2C2D7632-5C19-4DCD-98DD-F85174427DE2}"/>
    <cellStyle name="Explanatory Text 14" xfId="490" xr:uid="{09616D64-CBE4-4F8D-B345-186D66FA5AFB}"/>
    <cellStyle name="Explanatory Text 15" xfId="491" xr:uid="{C1D71F60-2F1B-47F4-A1FF-22279A29821E}"/>
    <cellStyle name="Explanatory Text 16" xfId="858" xr:uid="{5E0802C2-FAC0-4F40-B18D-7EDA62AA95A1}"/>
    <cellStyle name="Explanatory Text 2" xfId="55" xr:uid="{00000000-0005-0000-0000-000034000000}"/>
    <cellStyle name="Explanatory Text 2 2" xfId="812" xr:uid="{0AC47521-27F7-42DA-B27B-6855D64DA743}"/>
    <cellStyle name="Explanatory Text 2 3" xfId="492" xr:uid="{B8CAF406-178C-404F-AE8E-50A5F2C419F4}"/>
    <cellStyle name="Explanatory Text 3" xfId="493" xr:uid="{3DE7E739-A21D-4074-8DD5-9A974430DDFB}"/>
    <cellStyle name="Explanatory Text 4" xfId="494" xr:uid="{156BF659-3287-4DEB-BCA8-8C04E0893A73}"/>
    <cellStyle name="Explanatory Text 5" xfId="495" xr:uid="{48106F97-63CD-40B9-9462-C458763860F2}"/>
    <cellStyle name="Explanatory Text 6" xfId="496" xr:uid="{EE422B80-A024-477E-8C69-0FAAC5D0CFAC}"/>
    <cellStyle name="Explanatory Text 7" xfId="497" xr:uid="{AFDE6411-3EEE-44AC-B8BF-FA204E5051BF}"/>
    <cellStyle name="Explanatory Text 8" xfId="498" xr:uid="{7BB4893F-B03E-4570-9C80-D4AA4418FA3D}"/>
    <cellStyle name="Explanatory Text 9" xfId="499" xr:uid="{F05F9865-3553-41D8-830A-071B8A90EE20}"/>
    <cellStyle name="Fixed" xfId="10" xr:uid="{00000000-0005-0000-0000-000035000000}"/>
    <cellStyle name="Good 10" xfId="500" xr:uid="{C451AD54-ABF5-4565-B12E-1F6E359DC56B}"/>
    <cellStyle name="Good 11" xfId="501" xr:uid="{477B308C-2A42-4289-8388-841D4F3C01F2}"/>
    <cellStyle name="Good 12" xfId="502" xr:uid="{EED55874-ACA9-43D4-B0F8-9F8CFA3B7EBB}"/>
    <cellStyle name="Good 13" xfId="503" xr:uid="{06738BA4-B842-4E0D-8F29-E7AABAC7C2D0}"/>
    <cellStyle name="Good 14" xfId="504" xr:uid="{F6D303B6-E67A-47E9-8A88-DA7D3C546EB6}"/>
    <cellStyle name="Good 15" xfId="505" xr:uid="{07A1B848-DAF0-4DF4-A5A8-C1DA38F2899A}"/>
    <cellStyle name="Good 16" xfId="854" xr:uid="{99305D87-F9C9-4A92-A870-2CE2C13B233B}"/>
    <cellStyle name="Good 2" xfId="56" xr:uid="{00000000-0005-0000-0000-000036000000}"/>
    <cellStyle name="Good 2 2" xfId="802" xr:uid="{C8062E05-3AC3-4A7D-B3D2-A8C659F209A7}"/>
    <cellStyle name="Good 2 3" xfId="506" xr:uid="{E6E0D2CD-8100-4FCE-A179-F74656B8C726}"/>
    <cellStyle name="Good 3" xfId="507" xr:uid="{D412163F-CAF5-4F3E-B5D9-154CD32B3649}"/>
    <cellStyle name="Good 4" xfId="508" xr:uid="{5163F374-85F1-45C6-A3BF-73D9F4281B84}"/>
    <cellStyle name="Good 5" xfId="509" xr:uid="{E41196D2-18A9-4FAB-A024-99F795C3A322}"/>
    <cellStyle name="Good 6" xfId="510" xr:uid="{686E4C23-FE4E-424C-86B5-FF2A3875654A}"/>
    <cellStyle name="Good 7" xfId="511" xr:uid="{DDFE59F5-E3FE-489A-A546-D535A98225B7}"/>
    <cellStyle name="Good 8" xfId="512" xr:uid="{1D6A403A-D8BE-4EE0-AF00-FBA64FF55CB2}"/>
    <cellStyle name="Good 9" xfId="513" xr:uid="{BCA1139F-F4D8-4CFA-B409-BE5FF150E196}"/>
    <cellStyle name="Grey" xfId="57" xr:uid="{00000000-0005-0000-0000-000037000000}"/>
    <cellStyle name="Grey 2" xfId="58" xr:uid="{00000000-0005-0000-0000-000038000000}"/>
    <cellStyle name="Heading 1 10" xfId="514" xr:uid="{9E624CDE-0423-440C-A4ED-02BA57126B0A}"/>
    <cellStyle name="Heading 1 11" xfId="515" xr:uid="{420CD4AA-C500-43DA-857C-C54649CDD88B}"/>
    <cellStyle name="Heading 1 12" xfId="516" xr:uid="{ED610558-97CF-4C75-8634-AC453831E2A7}"/>
    <cellStyle name="Heading 1 13" xfId="517" xr:uid="{DF3CBB7A-DAC3-43DE-9208-7E0509BE0979}"/>
    <cellStyle name="Heading 1 14" xfId="518" xr:uid="{E35E3306-7E01-4D7E-A942-2DA12E860C2B}"/>
    <cellStyle name="Heading 1 15" xfId="519" xr:uid="{8A590370-8506-4CB7-9C25-363C8FC5ADB6}"/>
    <cellStyle name="Heading 1 16" xfId="859" xr:uid="{F31F6FF6-09B3-4267-84F6-6FFB2F75E5BE}"/>
    <cellStyle name="Heading 1 2" xfId="59" xr:uid="{00000000-0005-0000-0000-000039000000}"/>
    <cellStyle name="Heading 1 2 2" xfId="798" xr:uid="{42114794-85CD-4DC9-9E32-AF5DC4D513C5}"/>
    <cellStyle name="Heading 1 2 3" xfId="520" xr:uid="{442B69F2-4020-4257-9FF0-33B86FEEF72F}"/>
    <cellStyle name="Heading 1 3" xfId="521" xr:uid="{B734E738-71C1-413E-BBE8-89B6B36CE6B8}"/>
    <cellStyle name="Heading 1 4" xfId="522" xr:uid="{F7EF0496-19E7-4393-998C-58E5A1034A4D}"/>
    <cellStyle name="Heading 1 5" xfId="523" xr:uid="{56A7BF5C-A8A0-425C-95B1-EA1F23847572}"/>
    <cellStyle name="Heading 1 6" xfId="524" xr:uid="{C2B4BA43-BB9D-4D8F-B5DA-134E183331EF}"/>
    <cellStyle name="Heading 1 7" xfId="525" xr:uid="{9F6A45B5-23B9-47B1-AEB6-7E721373A1AC}"/>
    <cellStyle name="Heading 1 8" xfId="526" xr:uid="{798AA96D-96A8-4B59-802A-BA99B94902A4}"/>
    <cellStyle name="Heading 1 9" xfId="527" xr:uid="{EF77EB25-2DAB-4D59-921C-0131F9D0B75F}"/>
    <cellStyle name="Heading 2 10" xfId="528" xr:uid="{B5AA27F0-304F-4E99-B21C-8B8712FA4165}"/>
    <cellStyle name="Heading 2 11" xfId="529" xr:uid="{A1D4FE1F-312F-43DB-8CFD-F201869E9B3C}"/>
    <cellStyle name="Heading 2 12" xfId="530" xr:uid="{4007DB4B-D3E9-426D-A7FA-ED0A696AAAF6}"/>
    <cellStyle name="Heading 2 13" xfId="531" xr:uid="{B28FA389-45DF-4AB1-8897-277C23CC3FA7}"/>
    <cellStyle name="Heading 2 14" xfId="532" xr:uid="{5A8C742C-DB19-4EC4-835D-AFC511F93C94}"/>
    <cellStyle name="Heading 2 15" xfId="533" xr:uid="{FA6DE6E7-A037-4E73-AA35-579E61882E7D}"/>
    <cellStyle name="Heading 2 16" xfId="857" xr:uid="{BAC56A11-6A84-4DC7-8A7C-A95273358D05}"/>
    <cellStyle name="Heading 2 2" xfId="60" xr:uid="{00000000-0005-0000-0000-00003A000000}"/>
    <cellStyle name="Heading 2 2 2" xfId="797" xr:uid="{1EC90361-A88E-41E1-B673-8AE5818ECE13}"/>
    <cellStyle name="Heading 2 2 3" xfId="534" xr:uid="{7FC0C457-DBDB-41AD-BEED-45FB73286358}"/>
    <cellStyle name="Heading 2 3" xfId="535" xr:uid="{CB578845-A402-4794-8ECA-F4A5BC80A61C}"/>
    <cellStyle name="Heading 2 4" xfId="536" xr:uid="{DC34F801-A50C-4B02-8269-B1A07F547300}"/>
    <cellStyle name="Heading 2 5" xfId="537" xr:uid="{E412664C-4AC0-4537-9FDD-E07EFCA87B1B}"/>
    <cellStyle name="Heading 2 6" xfId="538" xr:uid="{D4DB2174-C562-4ADE-9FA7-0FEE935AAAB7}"/>
    <cellStyle name="Heading 2 7" xfId="539" xr:uid="{DEDC2B60-1B69-4826-9336-1B2BC2A3B799}"/>
    <cellStyle name="Heading 2 8" xfId="540" xr:uid="{ECA80A98-A669-4991-B231-3FF18FE8AE11}"/>
    <cellStyle name="Heading 2 9" xfId="541" xr:uid="{74B44C0C-BC2A-46CE-879D-E71314F03F44}"/>
    <cellStyle name="Heading 3 10" xfId="542" xr:uid="{0056499D-0B1B-48E3-AFF7-E47A76DDBBFE}"/>
    <cellStyle name="Heading 3 11" xfId="543" xr:uid="{CC48EB8F-6D56-4FAF-95CE-0BFFDB329924}"/>
    <cellStyle name="Heading 3 12" xfId="544" xr:uid="{ED196745-9F63-4C62-9954-D54724F889B3}"/>
    <cellStyle name="Heading 3 13" xfId="545" xr:uid="{2ADA19A8-28E1-4633-BE46-D04DCBD133BE}"/>
    <cellStyle name="Heading 3 14" xfId="546" xr:uid="{D269FC63-B8A0-4224-A885-4DFBDC82C17F}"/>
    <cellStyle name="Heading 3 15" xfId="547" xr:uid="{5C574794-0860-4AF0-805D-7059BDDF9022}"/>
    <cellStyle name="Heading 3 16" xfId="856" xr:uid="{F9DBED36-4DDE-44EA-B350-14A3ED9668CA}"/>
    <cellStyle name="Heading 3 2" xfId="61" xr:uid="{00000000-0005-0000-0000-00003B000000}"/>
    <cellStyle name="Heading 3 2 2" xfId="800" xr:uid="{E3A44095-41C1-4888-B770-A3C44C563613}"/>
    <cellStyle name="Heading 3 2 3" xfId="548" xr:uid="{CD0C936A-A37F-45B3-A551-1CCD5983472B}"/>
    <cellStyle name="Heading 3 3" xfId="549" xr:uid="{4B632B50-B86A-4BD6-B70A-410C94453E8F}"/>
    <cellStyle name="Heading 3 4" xfId="550" xr:uid="{A35712B7-3017-47E0-81A2-4EB9F398CD91}"/>
    <cellStyle name="Heading 3 5" xfId="551" xr:uid="{14F4B2F7-EA1B-4CD7-8338-A3B55E765F77}"/>
    <cellStyle name="Heading 3 6" xfId="552" xr:uid="{642493DE-887B-4A06-A06A-6297B3FF8999}"/>
    <cellStyle name="Heading 3 7" xfId="553" xr:uid="{6E4F8E46-5828-4BAE-A973-606B191C211D}"/>
    <cellStyle name="Heading 3 8" xfId="554" xr:uid="{DB0E6BED-7A26-4E75-B093-BD43156578FD}"/>
    <cellStyle name="Heading 3 9" xfId="555" xr:uid="{358BCA0B-38E7-4986-A011-02C672C2C349}"/>
    <cellStyle name="Heading 4 10" xfId="556" xr:uid="{8B115146-7BB8-4B81-861F-32A38D1DBE13}"/>
    <cellStyle name="Heading 4 11" xfId="557" xr:uid="{BA5FBD86-1D09-487F-B698-4D3B26279FC9}"/>
    <cellStyle name="Heading 4 12" xfId="558" xr:uid="{AE6058B7-193F-4532-A06B-9F23221B3D5D}"/>
    <cellStyle name="Heading 4 13" xfId="559" xr:uid="{7A980230-E901-4F9D-816D-5ACD164F95CD}"/>
    <cellStyle name="Heading 4 14" xfId="560" xr:uid="{F1EC93E7-7A54-45EF-B8C6-A9AACB5D888E}"/>
    <cellStyle name="Heading 4 15" xfId="561" xr:uid="{8AAD284E-8998-43F6-A97F-9397F17CCAAE}"/>
    <cellStyle name="Heading 4 16" xfId="899" xr:uid="{7CF9C2C5-5603-43A8-932A-DF6B5880F72B}"/>
    <cellStyle name="Heading 4 2" xfId="62" xr:uid="{00000000-0005-0000-0000-00003C000000}"/>
    <cellStyle name="Heading 4 2 2" xfId="801" xr:uid="{AF5481CE-3F5B-4067-AC2F-59C876B89B71}"/>
    <cellStyle name="Heading 4 2 3" xfId="562" xr:uid="{4DBCF3A6-B5C3-4771-885C-DA6694A7F581}"/>
    <cellStyle name="Heading 4 3" xfId="563" xr:uid="{53D5D40A-B907-4F0D-BBC7-B9A14AD06670}"/>
    <cellStyle name="Heading 4 4" xfId="564" xr:uid="{F6074E72-6FB2-42ED-8CA7-1E28CCAA9BD5}"/>
    <cellStyle name="Heading 4 5" xfId="565" xr:uid="{DDA30D74-ADE2-4D38-ADB8-C2E6CF93F16A}"/>
    <cellStyle name="Heading 4 6" xfId="566" xr:uid="{76AC7961-3DBE-4A30-871C-01E62F713E82}"/>
    <cellStyle name="Heading 4 7" xfId="567" xr:uid="{4974BFD7-F728-4875-9874-91F45EDDA4BB}"/>
    <cellStyle name="Heading 4 8" xfId="568" xr:uid="{BB57A0B3-EE28-4776-BAEF-6376EF2FAFC8}"/>
    <cellStyle name="Heading 4 9" xfId="569" xr:uid="{BFED68BB-B5AF-46C2-8CBF-5080D92E4AFB}"/>
    <cellStyle name="Hyperlink 2" xfId="860" xr:uid="{19815D14-47F1-4C40-8908-1673DE960848}"/>
    <cellStyle name="Hyperlink 2 2" xfId="1079" xr:uid="{B7941911-38B4-4FE7-BACD-288A82ABB0C8}"/>
    <cellStyle name="Hyperlink 3" xfId="791" xr:uid="{7A09522E-D196-42F7-B014-32412D80B9F6}"/>
    <cellStyle name="Hyperlink 4" xfId="1523" xr:uid="{235BE327-B228-457D-94C2-FC138186B686}"/>
    <cellStyle name="Hyperlink 5" xfId="1530" xr:uid="{91A199C1-5D5B-498A-9C86-73CB2DB0B42E}"/>
    <cellStyle name="Input [yellow]" xfId="63" xr:uid="{00000000-0005-0000-0000-00003D000000}"/>
    <cellStyle name="Input [yellow] 2" xfId="64" xr:uid="{00000000-0005-0000-0000-00003E000000}"/>
    <cellStyle name="Input [yellow] 3" xfId="1573" xr:uid="{D16E7B25-5563-4B06-ACDF-0D7B628DC97A}"/>
    <cellStyle name="Input [yellow] 4" xfId="1644" xr:uid="{35359276-7EED-4A9F-A48F-A426D1C05BF9}"/>
    <cellStyle name="Input 10" xfId="570" xr:uid="{069DF234-84A1-4E00-A14F-7863896AA320}"/>
    <cellStyle name="Input 11" xfId="571" xr:uid="{CE6A837F-79AF-4FC5-9784-7ED9953EC354}"/>
    <cellStyle name="Input 12" xfId="572" xr:uid="{18AB055D-95D5-40A6-B334-75565775AAAA}"/>
    <cellStyle name="Input 13" xfId="573" xr:uid="{E9EDB48C-7B77-456C-8AAE-14670AEFC864}"/>
    <cellStyle name="Input 14" xfId="574" xr:uid="{373C56A7-1B4E-4846-9B18-50CE4B182894}"/>
    <cellStyle name="Input 15" xfId="575" xr:uid="{EB3C41C1-EA4C-4F90-B9E4-615EC0280012}"/>
    <cellStyle name="Input 16" xfId="852" xr:uid="{AA092E4D-9BD3-4E34-9B51-C1A7AB92F3D9}"/>
    <cellStyle name="Input 17" xfId="928" xr:uid="{A5FC5402-8443-4CFE-B8BB-04E05BF3122A}"/>
    <cellStyle name="Input 18" xfId="927" xr:uid="{5DD1FDA6-9E91-44BF-9711-D61B26D3FD88}"/>
    <cellStyle name="Input 19" xfId="926" xr:uid="{3BB892ED-CF61-4FBA-B3DD-F8D4B74AE053}"/>
    <cellStyle name="Input 2" xfId="65" xr:uid="{00000000-0005-0000-0000-00003F000000}"/>
    <cellStyle name="Input 2 2" xfId="805" xr:uid="{E3715E8F-709E-4A08-AEF7-D54EB62A7FD8}"/>
    <cellStyle name="Input 2 3" xfId="576" xr:uid="{D34BDCDB-1998-43C6-BC40-5E036E8649E0}"/>
    <cellStyle name="Input 20" xfId="934" xr:uid="{38FAA33F-2AF3-476E-B1B1-E5248307639C}"/>
    <cellStyle name="Input 21" xfId="1540" xr:uid="{48F8FE0A-D177-44BC-AC5D-C6B1B009C84D}"/>
    <cellStyle name="Input 22" xfId="1538" xr:uid="{7AC07D71-37BC-48AF-95B4-5171B3D34CD9}"/>
    <cellStyle name="Input 23" xfId="1646" xr:uid="{C4E14F13-BFA4-45FE-9BC7-1AE1E056399D}"/>
    <cellStyle name="Input 24" xfId="1643" xr:uid="{1842796D-12E1-43C2-8712-D61AC4CD2DEA}"/>
    <cellStyle name="Input 25" xfId="1546" xr:uid="{6DFEB0B4-0CAA-48EE-B83F-B3AD170702E4}"/>
    <cellStyle name="Input 26" xfId="1557" xr:uid="{3FA2D9F5-E587-4AEA-9A78-8B0C129D5290}"/>
    <cellStyle name="Input 3" xfId="577" xr:uid="{F53E2F5D-33EB-4FE2-AF79-C2A1FAA86F0E}"/>
    <cellStyle name="Input 4" xfId="578" xr:uid="{49058892-9165-4E66-8EEA-2AFA430B8DEC}"/>
    <cellStyle name="Input 5" xfId="579" xr:uid="{A312C826-AEF1-48B7-AA47-DF7CA0243D79}"/>
    <cellStyle name="Input 6" xfId="580" xr:uid="{7D67E213-7EB0-4F3E-91C3-FA387B1DEDF1}"/>
    <cellStyle name="Input 7" xfId="581" xr:uid="{ECEB7560-00DD-4419-BBFD-1D266401279E}"/>
    <cellStyle name="Input 8" xfId="582" xr:uid="{E9882AD8-260E-4025-B4A7-6164E193ADA4}"/>
    <cellStyle name="Input 9" xfId="583" xr:uid="{A42343CE-E863-4020-9ACF-21FF6F93DA8F}"/>
    <cellStyle name="Linked Cell 10" xfId="584" xr:uid="{B21F4A40-B749-4006-BA69-DD93F4F95645}"/>
    <cellStyle name="Linked Cell 11" xfId="585" xr:uid="{7C5E111D-2754-40AF-85CF-BD920860561D}"/>
    <cellStyle name="Linked Cell 12" xfId="586" xr:uid="{67355B33-B838-4142-A59A-DA682EDD41CA}"/>
    <cellStyle name="Linked Cell 13" xfId="587" xr:uid="{C24ABC20-0F0E-42C9-A66D-46C1DF61572A}"/>
    <cellStyle name="Linked Cell 14" xfId="588" xr:uid="{7BAC505C-1347-47BB-94C1-4BF5F93D8489}"/>
    <cellStyle name="Linked Cell 15" xfId="589" xr:uid="{F2314CE8-4249-40BB-9A62-8E163E0150B8}"/>
    <cellStyle name="Linked Cell 16" xfId="893" xr:uid="{83678AE8-03BC-4101-8573-36E493C3A34D}"/>
    <cellStyle name="Linked Cell 2" xfId="66" xr:uid="{00000000-0005-0000-0000-000040000000}"/>
    <cellStyle name="Linked Cell 2 2" xfId="808" xr:uid="{CFF4BC8D-A982-40A0-B526-0EA910458D3B}"/>
    <cellStyle name="Linked Cell 2 3" xfId="590" xr:uid="{49F0270A-FD95-4073-B548-2A0E4E22E41C}"/>
    <cellStyle name="Linked Cell 3" xfId="591" xr:uid="{A4ABCC8F-849D-4690-826F-522012C9B1E0}"/>
    <cellStyle name="Linked Cell 4" xfId="592" xr:uid="{F5055E08-3357-44CC-8CA5-30AAE9D24F9C}"/>
    <cellStyle name="Linked Cell 5" xfId="593" xr:uid="{D07BE249-6F9C-440A-9641-503066FDD0F7}"/>
    <cellStyle name="Linked Cell 6" xfId="594" xr:uid="{39D6E0B0-9681-4C5A-87A3-87A5B4900297}"/>
    <cellStyle name="Linked Cell 7" xfId="595" xr:uid="{ECFB7E7E-23BD-4786-921E-428DFD12CEC7}"/>
    <cellStyle name="Linked Cell 8" xfId="596" xr:uid="{A13B6203-94E6-465B-88C0-8333B7EFF1CB}"/>
    <cellStyle name="Linked Cell 9" xfId="597" xr:uid="{814C020F-504A-49DB-B60F-40E62953FEEF}"/>
    <cellStyle name="M" xfId="67" xr:uid="{00000000-0005-0000-0000-000041000000}"/>
    <cellStyle name="M.00" xfId="68" xr:uid="{00000000-0005-0000-0000-000042000000}"/>
    <cellStyle name="M_9. Rev2Cost_GDPIPI" xfId="69" xr:uid="{00000000-0005-0000-0000-000043000000}"/>
    <cellStyle name="M_lists" xfId="70" xr:uid="{00000000-0005-0000-0000-000044000000}"/>
    <cellStyle name="M_lists_4. Current Monthly Fixed Charge" xfId="71" xr:uid="{00000000-0005-0000-0000-000045000000}"/>
    <cellStyle name="M_Sheet4" xfId="72" xr:uid="{00000000-0005-0000-0000-000046000000}"/>
    <cellStyle name="Neutral 10" xfId="598" xr:uid="{6F95EAEC-D219-47AA-818A-6412A59B782E}"/>
    <cellStyle name="Neutral 11" xfId="599" xr:uid="{AB5A434D-7685-4E7B-B984-3B12A50B68C8}"/>
    <cellStyle name="Neutral 12" xfId="600" xr:uid="{F94ACB22-8D04-4F3E-98E2-E51863D5BA55}"/>
    <cellStyle name="Neutral 13" xfId="601" xr:uid="{A23CA9BD-6F4B-4D44-82A7-D0BFD3375E7E}"/>
    <cellStyle name="Neutral 14" xfId="602" xr:uid="{4FD47164-5B43-454C-9A4A-9FDC9E9FEA35}"/>
    <cellStyle name="Neutral 15" xfId="603" xr:uid="{66C52A4E-60B4-4372-B326-1C34BBB46852}"/>
    <cellStyle name="Neutral 16" xfId="792" xr:uid="{E81E74C4-7F10-4522-AC98-50BD1DACA006}"/>
    <cellStyle name="Neutral 2" xfId="73" xr:uid="{00000000-0005-0000-0000-000047000000}"/>
    <cellStyle name="Neutral 2 2" xfId="804" xr:uid="{0A0FF0D2-A479-4191-A737-74B8277B8933}"/>
    <cellStyle name="Neutral 2 3" xfId="604" xr:uid="{94DE363B-90BE-4EC8-B725-DBD4849CAC16}"/>
    <cellStyle name="Neutral 3" xfId="605" xr:uid="{F6D2C34F-C9FB-4B15-884C-D3923FF3B004}"/>
    <cellStyle name="Neutral 4" xfId="606" xr:uid="{FB913938-7725-4FCF-B496-056091105E82}"/>
    <cellStyle name="Neutral 5" xfId="607" xr:uid="{5C7C171D-5911-4DC5-A06C-8C9929ECE242}"/>
    <cellStyle name="Neutral 6" xfId="608" xr:uid="{9FAE97F8-66CD-4CC8-BAD3-EC4497EF96E6}"/>
    <cellStyle name="Neutral 7" xfId="609" xr:uid="{8B9C3F4B-0AE1-4039-AE99-0B371EA450AC}"/>
    <cellStyle name="Neutral 8" xfId="610" xr:uid="{EBF9C081-925B-4056-AB2C-324936527996}"/>
    <cellStyle name="Neutral 9" xfId="611" xr:uid="{690673FD-C651-44D2-AAFE-9267319BA234}"/>
    <cellStyle name="Normal" xfId="0" builtinId="0"/>
    <cellStyle name="Normal - Style1" xfId="74" xr:uid="{00000000-0005-0000-0000-000049000000}"/>
    <cellStyle name="Normal 10" xfId="612" xr:uid="{352B99B7-E791-44FE-A409-3B6B22DBC66D}"/>
    <cellStyle name="Normal 10 2" xfId="1614" xr:uid="{9FDA585C-C9A8-49A2-ACEA-42CFE0957DE8}"/>
    <cellStyle name="Normal 11" xfId="613" xr:uid="{893E931D-4E9C-4905-A23B-BFF0440FB9E0}"/>
    <cellStyle name="Normal 11 2" xfId="1609" xr:uid="{DE524E45-84B4-466E-9A9E-98FAF53DA18C}"/>
    <cellStyle name="Normal 12" xfId="614" xr:uid="{8AE0198E-883C-4F6F-97E3-9C75B3AE60CE}"/>
    <cellStyle name="Normal 12 2" xfId="1613" xr:uid="{5B537B38-FD59-4F6C-B84A-A1E356E858B8}"/>
    <cellStyle name="Normal 13" xfId="615" xr:uid="{643DD5FB-F07D-4293-A038-42E059C88DDB}"/>
    <cellStyle name="Normal 13 2" xfId="1608" xr:uid="{BC588223-551B-491E-B4FF-F4EDD1F4A6AB}"/>
    <cellStyle name="Normal 14" xfId="616" xr:uid="{985BC5CD-E9C0-45ED-A7A9-F3178E7A8ACE}"/>
    <cellStyle name="Normal 14 2" xfId="1579" xr:uid="{00C23F26-461F-45C3-ACBC-06EEDF191C88}"/>
    <cellStyle name="Normal 15" xfId="617" xr:uid="{746CEED5-D31C-4B5E-B01C-999F254D400E}"/>
    <cellStyle name="Normal 15 2" xfId="1578" xr:uid="{E4793A64-8823-4FC0-806B-9DBBD0F66E99}"/>
    <cellStyle name="Normal 16" xfId="618" xr:uid="{8DB39564-67F8-484F-B1B0-00D66C338C64}"/>
    <cellStyle name="Normal 16 10" xfId="1259" xr:uid="{D11C47E5-D4E7-45C3-BB82-0A752B1F0015}"/>
    <cellStyle name="Normal 16 11" xfId="1015" xr:uid="{57D040D4-503F-40A1-90CD-1615B5E01440}"/>
    <cellStyle name="Normal 16 12" xfId="1525" xr:uid="{A8C1394D-571A-4DF2-9A7A-F3A896CB1989}"/>
    <cellStyle name="Normal 16 13" xfId="1603" xr:uid="{7393DD1E-A530-4689-AEE2-1C96D163242C}"/>
    <cellStyle name="Normal 16 2" xfId="702" xr:uid="{B5CB81A1-FB5B-4416-AC23-B698BDCF35B9}"/>
    <cellStyle name="Normal 16 2 2" xfId="719" xr:uid="{5B176D0D-6DDB-4F20-AC89-9B6D4F4B0722}"/>
    <cellStyle name="Normal 16 2 2 2" xfId="756" xr:uid="{CCED57E6-7CA4-42AD-800A-C43BD096FC98}"/>
    <cellStyle name="Normal 16 2 2 2 2" xfId="911" xr:uid="{EE8A9668-9D87-4B4A-BE05-070C101A8FA1}"/>
    <cellStyle name="Normal 16 2 2 2 2 2" xfId="1242" xr:uid="{8D2422FC-6AEF-4678-A368-A8C1CFEFEE16}"/>
    <cellStyle name="Normal 16 2 2 2 2 2 2" xfId="1475" xr:uid="{4298163A-3ADA-4F1D-AC69-9D98741656A0}"/>
    <cellStyle name="Normal 16 2 2 2 2 3" xfId="1359" xr:uid="{2E131CCB-E43A-4F00-BA88-6385D22F28ED}"/>
    <cellStyle name="Normal 16 2 2 2 2 4" xfId="1123" xr:uid="{37527739-35E6-4706-BBB9-48C6880812AD}"/>
    <cellStyle name="Normal 16 2 2 2 3" xfId="981" xr:uid="{8BCD1CF9-8159-48C3-A165-AB962B87DDD7}"/>
    <cellStyle name="Normal 16 2 2 2 3 2" xfId="1419" xr:uid="{2E9F9722-3CA5-438D-8D6D-7738B0984467}"/>
    <cellStyle name="Normal 16 2 2 2 3 3" xfId="1186" xr:uid="{0E503507-8660-44E0-94C7-F4E10870FF0B}"/>
    <cellStyle name="Normal 16 2 2 2 4" xfId="1303" xr:uid="{979F8276-91F2-47BD-99EF-32588E3605B6}"/>
    <cellStyle name="Normal 16 2 2 2 5" xfId="1066" xr:uid="{86B17F5B-CA6B-4804-949E-F7C2D7ECC56E}"/>
    <cellStyle name="Normal 16 2 2 3" xfId="878" xr:uid="{6FAF650D-7924-4E92-A807-3B59CA51A462}"/>
    <cellStyle name="Normal 16 2 2 3 2" xfId="1212" xr:uid="{BB7F1923-A612-4363-8D4D-F99B8D66B336}"/>
    <cellStyle name="Normal 16 2 2 3 2 2" xfId="1445" xr:uid="{C0CB804A-C941-42EF-8135-ACB20316F4A0}"/>
    <cellStyle name="Normal 16 2 2 3 3" xfId="1329" xr:uid="{026C5EC5-B00A-428E-B16E-AF795C02B991}"/>
    <cellStyle name="Normal 16 2 2 3 4" xfId="1093" xr:uid="{4214FC4B-0897-4487-97F8-6039ABE03C3E}"/>
    <cellStyle name="Normal 16 2 2 4" xfId="951" xr:uid="{89A58685-58FB-4DDC-81B9-B8F938BFE0FA}"/>
    <cellStyle name="Normal 16 2 2 4 2" xfId="1393" xr:uid="{1005D80C-7C29-4324-AE76-4D671E24769A}"/>
    <cellStyle name="Normal 16 2 2 4 3" xfId="1160" xr:uid="{06DDA56E-8B4F-42F1-ABFE-7C780EBB1C9A}"/>
    <cellStyle name="Normal 16 2 2 5" xfId="1277" xr:uid="{EDBECFEE-4A06-4E5F-AB9B-FDDD8FB34AA6}"/>
    <cellStyle name="Normal 16 2 2 6" xfId="1040" xr:uid="{7A69416D-089B-4BE5-8DA8-8A862B132B79}"/>
    <cellStyle name="Normal 16 2 3" xfId="727" xr:uid="{8181242A-1029-403B-A479-2C6824647F65}"/>
    <cellStyle name="Normal 16 2 3 2" xfId="764" xr:uid="{78E809B7-D6B6-4C18-A303-F0AA97DDBDF7}"/>
    <cellStyle name="Normal 16 2 3 2 2" xfId="919" xr:uid="{357A0A9F-B97F-4B6F-9EBD-E523BC482569}"/>
    <cellStyle name="Normal 16 2 3 2 2 2" xfId="1250" xr:uid="{D598DA34-F80F-4574-BBC9-6E38E030DE9C}"/>
    <cellStyle name="Normal 16 2 3 2 2 2 2" xfId="1483" xr:uid="{D252604A-7F20-4973-8D31-A5183EB044BD}"/>
    <cellStyle name="Normal 16 2 3 2 2 3" xfId="1367" xr:uid="{872C178D-A946-4E4A-A209-F681FC201A68}"/>
    <cellStyle name="Normal 16 2 3 2 2 4" xfId="1131" xr:uid="{4F94F7D6-5F4C-4C58-A10F-3D93FB5A55EC}"/>
    <cellStyle name="Normal 16 2 3 2 3" xfId="989" xr:uid="{1480CC62-9DAF-46C4-AD79-E2B7813983F4}"/>
    <cellStyle name="Normal 16 2 3 2 3 2" xfId="1427" xr:uid="{EEA6FC4A-320C-474D-9ACF-041CAE492F1E}"/>
    <cellStyle name="Normal 16 2 3 2 3 3" xfId="1194" xr:uid="{5FB7FA9C-C8C8-42E6-AE95-C79E305A6BA6}"/>
    <cellStyle name="Normal 16 2 3 2 4" xfId="1311" xr:uid="{1D1584EB-8D99-4475-80BF-CA938E0FF133}"/>
    <cellStyle name="Normal 16 2 3 2 5" xfId="1074" xr:uid="{8CE72E2A-58BB-4597-B672-E5D5D011747D}"/>
    <cellStyle name="Normal 16 2 3 3" xfId="886" xr:uid="{5DA7AE01-DF8F-4A33-A683-FA46AF0BB6FF}"/>
    <cellStyle name="Normal 16 2 3 3 2" xfId="1220" xr:uid="{83029381-99CF-447A-9F99-46DD7D22EBF4}"/>
    <cellStyle name="Normal 16 2 3 3 2 2" xfId="1453" xr:uid="{C29BBBF3-C86B-464A-8894-7BD0B0CE222E}"/>
    <cellStyle name="Normal 16 2 3 3 3" xfId="1337" xr:uid="{FC98BCE8-3FCF-4A57-A930-2B978B575E32}"/>
    <cellStyle name="Normal 16 2 3 3 4" xfId="1101" xr:uid="{7C7F496A-2C9B-4DB1-9C43-F623F0CB6591}"/>
    <cellStyle name="Normal 16 2 3 4" xfId="959" xr:uid="{FDA52B70-09C9-4EA2-A9AE-07EF412D60B4}"/>
    <cellStyle name="Normal 16 2 3 4 2" xfId="1401" xr:uid="{B01EF6BA-5909-47FB-94D8-990C9F7ABCE2}"/>
    <cellStyle name="Normal 16 2 3 4 3" xfId="1168" xr:uid="{87AAA9C8-38FB-4BA1-B6D4-52E6F91A1C4C}"/>
    <cellStyle name="Normal 16 2 3 5" xfId="1285" xr:uid="{97EE116A-7435-49E1-9080-E3B0765CF90B}"/>
    <cellStyle name="Normal 16 2 3 6" xfId="1048" xr:uid="{F1C4B3D3-061F-4A83-9412-5A316539AC10}"/>
    <cellStyle name="Normal 16 2 4" xfId="748" xr:uid="{003B8D2F-52A8-48F4-9228-654CB9468373}"/>
    <cellStyle name="Normal 16 2 4 2" xfId="903" xr:uid="{72E27FE8-97D9-4F89-AE82-E538AEEA42F2}"/>
    <cellStyle name="Normal 16 2 4 2 2" xfId="1234" xr:uid="{E797BDCF-554C-47DF-99C3-F7811DA4E312}"/>
    <cellStyle name="Normal 16 2 4 2 2 2" xfId="1467" xr:uid="{8A537419-5CB5-4956-B41F-351C1B7B1E04}"/>
    <cellStyle name="Normal 16 2 4 2 3" xfId="1351" xr:uid="{4B24532C-C426-4608-99ED-8DE66DB46408}"/>
    <cellStyle name="Normal 16 2 4 2 4" xfId="1115" xr:uid="{F96E555E-18E3-48D0-A7CF-EDFFCF8B6C48}"/>
    <cellStyle name="Normal 16 2 4 3" xfId="973" xr:uid="{80BE72E1-5B95-4FF6-81A6-5C3E36BA1281}"/>
    <cellStyle name="Normal 16 2 4 3 2" xfId="1385" xr:uid="{E1836667-345E-4348-AB82-6807F54570EB}"/>
    <cellStyle name="Normal 16 2 4 3 3" xfId="1152" xr:uid="{48A3CDD0-4359-4D55-A277-EF0A326D1B73}"/>
    <cellStyle name="Normal 16 2 4 4" xfId="1269" xr:uid="{25BE4342-2353-4828-9B45-469672BDA3F8}"/>
    <cellStyle name="Normal 16 2 4 5" xfId="1032" xr:uid="{D8FEFC3C-03C0-436A-B6F0-54ABB8426012}"/>
    <cellStyle name="Normal 16 2 5" xfId="867" xr:uid="{94397E37-06A9-4C98-8C7A-3F080653F666}"/>
    <cellStyle name="Normal 16 2 5 2" xfId="1178" xr:uid="{36857F4C-D30B-45F2-A807-D90702A26108}"/>
    <cellStyle name="Normal 16 2 5 2 2" xfId="1411" xr:uid="{57D3B334-254F-4A04-B084-BF45905564AB}"/>
    <cellStyle name="Normal 16 2 5 3" xfId="1295" xr:uid="{2EB076AC-55BB-4FAD-B567-D01CF76CD668}"/>
    <cellStyle name="Normal 16 2 5 4" xfId="1058" xr:uid="{701C20DC-C784-4E88-BCFC-3A954897E3D8}"/>
    <cellStyle name="Normal 16 2 6" xfId="943" xr:uid="{EB8BF13E-CA49-442A-A21B-491C54C4EF03}"/>
    <cellStyle name="Normal 16 2 6 2" xfId="1204" xr:uid="{6CBAC271-C332-4BB7-9C98-A5674A9D977F}"/>
    <cellStyle name="Normal 16 2 6 2 2" xfId="1437" xr:uid="{58294802-60FB-4308-8041-E761EAD08C59}"/>
    <cellStyle name="Normal 16 2 6 3" xfId="1321" xr:uid="{6AB800DB-38E9-406C-A358-173ABD9F97E2}"/>
    <cellStyle name="Normal 16 2 6 4" xfId="1085" xr:uid="{0800CD92-0CED-44DA-87C1-D87CB2577BE9}"/>
    <cellStyle name="Normal 16 2 7" xfId="1145" xr:uid="{5BEA8471-93C4-4F4A-B01A-D3C2D15F52F8}"/>
    <cellStyle name="Normal 16 2 7 2" xfId="1378" xr:uid="{E286ACE1-416B-4AE7-A618-A2950CA5912D}"/>
    <cellStyle name="Normal 16 2 8" xfId="1262" xr:uid="{9667BC3C-4D98-4C69-85D7-DF0356E78227}"/>
    <cellStyle name="Normal 16 2 9" xfId="1025" xr:uid="{F6FA6B5F-B0B8-4489-A2DF-9B1AA05F7B3E}"/>
    <cellStyle name="Normal 16 3" xfId="692" xr:uid="{75AFC1AB-C96C-4A7A-B1F8-1CBE54E53C8B}"/>
    <cellStyle name="Normal 16 3 2" xfId="745" xr:uid="{7ACC2397-C183-488E-BAB0-A35AF22A0232}"/>
    <cellStyle name="Normal 16 3 2 2" xfId="900" xr:uid="{CC56C255-3000-4976-B11A-C22C6006C2BD}"/>
    <cellStyle name="Normal 16 3 2 2 2" xfId="1231" xr:uid="{9102B0EE-CEED-4C5B-85B3-5CD58E587B30}"/>
    <cellStyle name="Normal 16 3 2 2 2 2" xfId="1464" xr:uid="{FAF5085B-5263-435D-A101-F7DA350026F5}"/>
    <cellStyle name="Normal 16 3 2 2 3" xfId="1348" xr:uid="{7A3F7C50-18E7-4F81-A568-30789E504B05}"/>
    <cellStyle name="Normal 16 3 2 2 4" xfId="1112" xr:uid="{33033AB1-B54C-4D0E-A57A-B5F4EAF19085}"/>
    <cellStyle name="Normal 16 3 2 3" xfId="970" xr:uid="{592E2029-CE45-42F4-A5F0-68CB25F990C5}"/>
    <cellStyle name="Normal 16 3 2 3 2" xfId="1408" xr:uid="{D0BB00D9-8E74-4835-8172-2500BF090980}"/>
    <cellStyle name="Normal 16 3 2 3 3" xfId="1175" xr:uid="{555F11FC-0FFA-4D50-B298-0B2BD0EC417C}"/>
    <cellStyle name="Normal 16 3 2 4" xfId="1292" xr:uid="{9EB1F452-8282-42A8-A521-AED9E558438D}"/>
    <cellStyle name="Normal 16 3 2 5" xfId="1055" xr:uid="{1ECE2BC0-98B3-4C95-9627-9350827B8964}"/>
    <cellStyle name="Normal 16 3 3" xfId="861" xr:uid="{AA74D108-1E6D-4538-BBBF-22C23DEA3B92}"/>
    <cellStyle name="Normal 16 3 3 2" xfId="1201" xr:uid="{3F2079A9-ADA6-474F-8A80-5ABBBFA141E3}"/>
    <cellStyle name="Normal 16 3 3 2 2" xfId="1434" xr:uid="{3610F4DB-46A2-4A87-9212-45C779594343}"/>
    <cellStyle name="Normal 16 3 3 3" xfId="1318" xr:uid="{40650D26-9659-4451-94DE-50DDC58FA0FC}"/>
    <cellStyle name="Normal 16 3 3 4" xfId="1082" xr:uid="{112FBEDC-618C-4338-9BE5-A0890D22D505}"/>
    <cellStyle name="Normal 16 3 4" xfId="940" xr:uid="{DF1E51C7-A3C3-441D-8D06-72D100FFB01E}"/>
    <cellStyle name="Normal 16 3 4 2" xfId="1382" xr:uid="{E5702181-C0C8-4BA9-A193-592F6C671E0E}"/>
    <cellStyle name="Normal 16 3 4 3" xfId="1149" xr:uid="{2596E483-19F4-47AA-BA41-34E801339111}"/>
    <cellStyle name="Normal 16 3 5" xfId="1266" xr:uid="{D9CE3EBE-49F0-4D58-ABE3-0F7215A9BC85}"/>
    <cellStyle name="Normal 16 3 6" xfId="1029" xr:uid="{EE401F4A-9970-4582-83DC-88A28DD98B3C}"/>
    <cellStyle name="Normal 16 4" xfId="716" xr:uid="{F94CDDB1-AC0E-45C9-9E5D-42E8F8937EC7}"/>
    <cellStyle name="Normal 16 4 2" xfId="753" xr:uid="{0F30F6BB-A628-408F-AFF4-147C9727888A}"/>
    <cellStyle name="Normal 16 4 2 2" xfId="908" xr:uid="{C2B5C1E4-D43C-48E5-B24E-A5FE2C7ADE62}"/>
    <cellStyle name="Normal 16 4 2 2 2" xfId="1239" xr:uid="{CDB9DCED-6BC2-47C6-AC63-504FA1793D4C}"/>
    <cellStyle name="Normal 16 4 2 2 2 2" xfId="1472" xr:uid="{29CD4C29-E0CA-4058-A84D-BB1FE7C39A66}"/>
    <cellStyle name="Normal 16 4 2 2 3" xfId="1356" xr:uid="{22F798B6-306F-4DF2-9EDF-C39A69EF75F7}"/>
    <cellStyle name="Normal 16 4 2 2 4" xfId="1120" xr:uid="{918BAB90-6D29-492C-8E36-770CE13C6185}"/>
    <cellStyle name="Normal 16 4 2 3" xfId="978" xr:uid="{C743BE88-30B7-4A77-BFDE-0D65DA21EDF9}"/>
    <cellStyle name="Normal 16 4 2 3 2" xfId="1416" xr:uid="{07469379-CAD4-46AD-913C-9C8844F80971}"/>
    <cellStyle name="Normal 16 4 2 3 3" xfId="1183" xr:uid="{CE51430F-DE24-4741-BF15-4356FEC478DC}"/>
    <cellStyle name="Normal 16 4 2 4" xfId="1300" xr:uid="{13188033-950F-4035-9540-8F761AB2F1BB}"/>
    <cellStyle name="Normal 16 4 2 5" xfId="1063" xr:uid="{E71989F3-B066-4A3D-9A41-D6457AA038F5}"/>
    <cellStyle name="Normal 16 4 3" xfId="875" xr:uid="{6B1972C1-3BDC-4BC2-9C6C-BE908A3AFF67}"/>
    <cellStyle name="Normal 16 4 3 2" xfId="1209" xr:uid="{C2B55D3C-6699-41B9-AB15-5A45144CEFF1}"/>
    <cellStyle name="Normal 16 4 3 2 2" xfId="1442" xr:uid="{1E535E8F-931B-40A4-B39E-B787ECC9506A}"/>
    <cellStyle name="Normal 16 4 3 3" xfId="1326" xr:uid="{BE5C968D-05EC-447B-B945-E2F3CC2206BC}"/>
    <cellStyle name="Normal 16 4 3 4" xfId="1090" xr:uid="{11A2E6CB-F2E4-4E5B-928C-62F98322B322}"/>
    <cellStyle name="Normal 16 4 4" xfId="948" xr:uid="{9B328873-1806-4082-B064-C7A23B75314F}"/>
    <cellStyle name="Normal 16 4 4 2" xfId="1390" xr:uid="{7AEB1605-5FD2-4024-91D9-891CD1546843}"/>
    <cellStyle name="Normal 16 4 4 3" xfId="1157" xr:uid="{0D92C57B-0246-46A8-A079-53C6CB3C8803}"/>
    <cellStyle name="Normal 16 4 5" xfId="1274" xr:uid="{BB64F024-BAC7-44C7-B8F7-13A1FAEC51DD}"/>
    <cellStyle name="Normal 16 4 6" xfId="1037" xr:uid="{A4933E40-6FC5-405E-A940-AA6D0C52D173}"/>
    <cellStyle name="Normal 16 5" xfId="724" xr:uid="{7ABCE511-FB84-43D8-8AFF-E536CB54C775}"/>
    <cellStyle name="Normal 16 5 2" xfId="761" xr:uid="{66781CC8-3178-4CC0-9384-C80324B91394}"/>
    <cellStyle name="Normal 16 5 2 2" xfId="916" xr:uid="{3D47E10A-E3FA-4933-AF77-389A88B36C62}"/>
    <cellStyle name="Normal 16 5 2 2 2" xfId="1247" xr:uid="{9EEE97D1-8904-4026-AFCB-1AE58CA518B4}"/>
    <cellStyle name="Normal 16 5 2 2 2 2" xfId="1480" xr:uid="{65162FBC-5C17-4D71-883C-7E26DC4617E8}"/>
    <cellStyle name="Normal 16 5 2 2 3" xfId="1364" xr:uid="{ECBD7176-25D0-4351-82B7-A206A0C35428}"/>
    <cellStyle name="Normal 16 5 2 2 4" xfId="1128" xr:uid="{B0005392-6A58-4646-9B1C-DB806894FBC0}"/>
    <cellStyle name="Normal 16 5 2 3" xfId="986" xr:uid="{2E26093C-AB4E-4760-B265-60BE2F318FB5}"/>
    <cellStyle name="Normal 16 5 2 3 2" xfId="1424" xr:uid="{1C563250-2DE2-49D5-A64A-CDC7D41AE731}"/>
    <cellStyle name="Normal 16 5 2 3 3" xfId="1191" xr:uid="{81C1BDF8-F98F-4459-AC5A-02C501FB301C}"/>
    <cellStyle name="Normal 16 5 2 4" xfId="1308" xr:uid="{34855590-3299-46E8-8AEF-DB5FAFD98962}"/>
    <cellStyle name="Normal 16 5 2 5" xfId="1071" xr:uid="{9B94545B-F5F1-4BA5-87C1-5BD7763A2A19}"/>
    <cellStyle name="Normal 16 5 3" xfId="883" xr:uid="{C7BEDDA9-3EA0-4519-8044-963237B8C57F}"/>
    <cellStyle name="Normal 16 5 3 2" xfId="1217" xr:uid="{6FD1A33E-7A6D-437F-BAAE-78F5BF240666}"/>
    <cellStyle name="Normal 16 5 3 2 2" xfId="1450" xr:uid="{6A67D5BC-98E4-4E92-A4C5-4B37B80254D6}"/>
    <cellStyle name="Normal 16 5 3 3" xfId="1334" xr:uid="{1C2E214E-6433-4C88-B51A-FCCF7270D323}"/>
    <cellStyle name="Normal 16 5 3 4" xfId="1098" xr:uid="{944A7916-B300-4BE8-92A0-56F7A459E40A}"/>
    <cellStyle name="Normal 16 5 4" xfId="956" xr:uid="{0BF55E71-56B9-4AED-B999-3F4BAD64225C}"/>
    <cellStyle name="Normal 16 5 4 2" xfId="1398" xr:uid="{9372F4C0-4C76-48A7-82FA-4E4DC2B6579C}"/>
    <cellStyle name="Normal 16 5 4 3" xfId="1165" xr:uid="{B6D83829-DBBE-44A9-A070-F40F3B710B59}"/>
    <cellStyle name="Normal 16 5 5" xfId="1282" xr:uid="{C2A1EC7C-8B6D-4FB3-8405-87E4108A8508}"/>
    <cellStyle name="Normal 16 5 6" xfId="1045" xr:uid="{7F9190FF-B1C3-4A13-AC17-4E3DCC037934}"/>
    <cellStyle name="Normal 16 6" xfId="742" xr:uid="{7C4D855B-77D0-4FD9-84A4-C646DB9A1136}"/>
    <cellStyle name="Normal 16 6 2" xfId="897" xr:uid="{92B84C2B-CD15-4FAE-ABCB-7F82DE028B7F}"/>
    <cellStyle name="Normal 16 6 2 2" xfId="1229" xr:uid="{3525B0DE-9753-4275-97BD-E94095C42BDD}"/>
    <cellStyle name="Normal 16 6 2 2 2" xfId="1462" xr:uid="{483AADAC-EDAA-4729-A915-4CFD2899E48B}"/>
    <cellStyle name="Normal 16 6 2 3" xfId="1346" xr:uid="{5E032A8D-DFE9-4B53-81BB-D6592597D222}"/>
    <cellStyle name="Normal 16 6 2 4" xfId="1110" xr:uid="{ED2CFEC9-EF56-4378-9B0A-9239B876CA55}"/>
    <cellStyle name="Normal 16 6 3" xfId="968" xr:uid="{E638FDF6-C53D-4113-883F-5F6B8E25A712}"/>
    <cellStyle name="Normal 16 6 3 2" xfId="1380" xr:uid="{5B87E875-39C3-4476-BC67-131E3C1BCF5D}"/>
    <cellStyle name="Normal 16 6 3 3" xfId="1147" xr:uid="{31A7468B-9D98-4F5A-9CFD-7A85237A6C52}"/>
    <cellStyle name="Normal 16 6 4" xfId="1264" xr:uid="{9031939C-395B-46CA-AC12-69BC813952AD}"/>
    <cellStyle name="Normal 16 6 5" xfId="1027" xr:uid="{E279AB78-14E9-4C44-882F-410D7439A979}"/>
    <cellStyle name="Normal 16 7" xfId="848" xr:uid="{E5C65F03-6086-43BE-9428-3E10061B96C8}"/>
    <cellStyle name="Normal 16 7 2" xfId="1173" xr:uid="{DF7B8223-8079-4A11-AA14-B842A1AB986C}"/>
    <cellStyle name="Normal 16 7 2 2" xfId="1406" xr:uid="{5BD90DF6-C9EE-4E63-B7B5-4243D1A33C2C}"/>
    <cellStyle name="Normal 16 7 3" xfId="1290" xr:uid="{1BB29B83-1557-44DD-829F-12EC44F3FB73}"/>
    <cellStyle name="Normal 16 7 4" xfId="1053" xr:uid="{1FD5B3C2-B6E5-42B2-B381-84051E674AED}"/>
    <cellStyle name="Normal 16 8" xfId="937" xr:uid="{DF0E4876-8E87-423C-BC2F-71A503FB00BC}"/>
    <cellStyle name="Normal 16 8 2" xfId="1199" xr:uid="{E4D6D739-EACB-4E1F-94EC-CA8554E496DF}"/>
    <cellStyle name="Normal 16 8 2 2" xfId="1432" xr:uid="{39ECDD55-84A6-4955-825C-E5B06481C532}"/>
    <cellStyle name="Normal 16 8 3" xfId="1316" xr:uid="{88801C65-8F38-43C1-AA37-1BE4356B18A7}"/>
    <cellStyle name="Normal 16 8 4" xfId="1080" xr:uid="{3D817D99-C614-4377-AB8D-D9735607212A}"/>
    <cellStyle name="Normal 16 9" xfId="1140" xr:uid="{8534E94A-8D28-48DF-973A-AC8924C02445}"/>
    <cellStyle name="Normal 16 9 2" xfId="1375" xr:uid="{7EAD7DFC-98F1-4BD8-8F03-C79EDBB3DB4C}"/>
    <cellStyle name="Normal 17" xfId="619" xr:uid="{0C8ADA19-BD56-4582-8D5B-93133CD00AB2}"/>
    <cellStyle name="Normal 17 10" xfId="1260" xr:uid="{9D0FD28E-A9D9-4E0F-9A5D-B2697CB29779}"/>
    <cellStyle name="Normal 17 11" xfId="1016" xr:uid="{0E12EE3F-6CC6-4ABA-9011-C6505CBD1CB3}"/>
    <cellStyle name="Normal 17 12" xfId="1615" xr:uid="{94E3AD69-6DC5-4B2F-A52C-BADDE5888D4E}"/>
    <cellStyle name="Normal 17 2" xfId="703" xr:uid="{CFA2D5BB-9ED6-4529-AC96-8FE18C873E09}"/>
    <cellStyle name="Normal 17 2 2" xfId="720" xr:uid="{1EBE8604-2098-4E49-B17A-54E83EAC3E11}"/>
    <cellStyle name="Normal 17 2 2 2" xfId="757" xr:uid="{3DAF6FA3-C3EF-4D1F-8BE1-3263E59AC999}"/>
    <cellStyle name="Normal 17 2 2 2 2" xfId="912" xr:uid="{ACD4999E-093B-4FE1-8F29-4A2660D07D12}"/>
    <cellStyle name="Normal 17 2 2 2 2 2" xfId="1243" xr:uid="{502652A6-FAEA-4566-9776-309606FBB2D8}"/>
    <cellStyle name="Normal 17 2 2 2 2 2 2" xfId="1476" xr:uid="{75EE7E14-43D6-4A1A-BC47-72F4E2D9CE68}"/>
    <cellStyle name="Normal 17 2 2 2 2 3" xfId="1360" xr:uid="{BE93CB78-B43F-4E69-9AB5-8A9DFD95F185}"/>
    <cellStyle name="Normal 17 2 2 2 2 4" xfId="1124" xr:uid="{2DB3CD64-076E-4A80-82B3-EF8884AFB89D}"/>
    <cellStyle name="Normal 17 2 2 2 3" xfId="982" xr:uid="{B6605F7C-8B2F-4700-BB67-4306C9A47B08}"/>
    <cellStyle name="Normal 17 2 2 2 3 2" xfId="1420" xr:uid="{B79E8AF8-9E4C-4800-B097-E2D7638853F3}"/>
    <cellStyle name="Normal 17 2 2 2 3 3" xfId="1187" xr:uid="{FD380C7F-5973-4C40-8322-842654ED9E0B}"/>
    <cellStyle name="Normal 17 2 2 2 4" xfId="1304" xr:uid="{1E2B48F7-05F7-429B-9AE4-A67EB43A46A8}"/>
    <cellStyle name="Normal 17 2 2 2 5" xfId="1067" xr:uid="{402E278B-6047-48DA-A4F6-EE347BD0179D}"/>
    <cellStyle name="Normal 17 2 2 3" xfId="879" xr:uid="{05EEBCB2-86EC-4B17-83C9-DE3E35814002}"/>
    <cellStyle name="Normal 17 2 2 3 2" xfId="1213" xr:uid="{B3E7D3E9-7A9F-4382-8FB5-B95996F878C3}"/>
    <cellStyle name="Normal 17 2 2 3 2 2" xfId="1446" xr:uid="{D5A0F440-E2C1-42C3-AA08-F8C78AF7C7DD}"/>
    <cellStyle name="Normal 17 2 2 3 3" xfId="1330" xr:uid="{EFB53BCB-A63D-4239-9B75-96911782A9D1}"/>
    <cellStyle name="Normal 17 2 2 3 4" xfId="1094" xr:uid="{09291D5B-5481-449F-8581-C71B007BA015}"/>
    <cellStyle name="Normal 17 2 2 4" xfId="952" xr:uid="{8F89E512-C697-4EB4-87D5-E20F9B8BE6C5}"/>
    <cellStyle name="Normal 17 2 2 4 2" xfId="1394" xr:uid="{62905811-7623-43EC-AF28-3997FF25E1B7}"/>
    <cellStyle name="Normal 17 2 2 4 3" xfId="1161" xr:uid="{3AE1D3FA-E391-429C-90E3-243DA4DA4CD5}"/>
    <cellStyle name="Normal 17 2 2 5" xfId="1278" xr:uid="{A06D7E4B-18CC-401C-AEF8-F55BE35F20AC}"/>
    <cellStyle name="Normal 17 2 2 6" xfId="1041" xr:uid="{B0335D1D-3383-4AB6-96D4-2C6755759FB6}"/>
    <cellStyle name="Normal 17 2 3" xfId="728" xr:uid="{A5C8C1FC-D8A5-4ABB-8CDB-365D53932044}"/>
    <cellStyle name="Normal 17 2 3 2" xfId="765" xr:uid="{13DD6223-EC1E-44C1-BE8B-37BF2213068C}"/>
    <cellStyle name="Normal 17 2 3 2 2" xfId="920" xr:uid="{337F0F65-7E7A-4069-9F28-F9B76104CDC2}"/>
    <cellStyle name="Normal 17 2 3 2 2 2" xfId="1251" xr:uid="{353A8B5D-C86D-4FD6-A322-69D8086D1BFB}"/>
    <cellStyle name="Normal 17 2 3 2 2 2 2" xfId="1484" xr:uid="{E73AC069-ADB5-42A5-8BED-1D1260F38E0E}"/>
    <cellStyle name="Normal 17 2 3 2 2 3" xfId="1368" xr:uid="{6756039F-96D3-4FF1-9D9A-6916EF4C2BC6}"/>
    <cellStyle name="Normal 17 2 3 2 2 4" xfId="1132" xr:uid="{4456BF40-DE8B-4B1C-8F07-6B5E8CFBFEF9}"/>
    <cellStyle name="Normal 17 2 3 2 3" xfId="990" xr:uid="{4B4725F8-97A7-4550-A7FD-7674EE55DECC}"/>
    <cellStyle name="Normal 17 2 3 2 3 2" xfId="1428" xr:uid="{2FBD4D6E-89E2-432B-AA58-37C443125F2A}"/>
    <cellStyle name="Normal 17 2 3 2 3 3" xfId="1195" xr:uid="{F2302B83-FA35-49F4-B655-6E419E2C146C}"/>
    <cellStyle name="Normal 17 2 3 2 4" xfId="1312" xr:uid="{03BBE647-9889-45E6-8EDE-22D34B532DF4}"/>
    <cellStyle name="Normal 17 2 3 2 5" xfId="1075" xr:uid="{37D26FD2-B030-409E-BC75-B9C9BE9031CB}"/>
    <cellStyle name="Normal 17 2 3 3" xfId="887" xr:uid="{E04AE7F0-ABAA-4296-B02E-E4974C8BF1BA}"/>
    <cellStyle name="Normal 17 2 3 3 2" xfId="1221" xr:uid="{C7C0A8C4-46E2-437A-A238-16A07BA036ED}"/>
    <cellStyle name="Normal 17 2 3 3 2 2" xfId="1454" xr:uid="{610FF6C8-6014-406B-BC99-69F61A1BBAE7}"/>
    <cellStyle name="Normal 17 2 3 3 3" xfId="1338" xr:uid="{24C071E4-3A93-46B3-94AF-F09564D638C2}"/>
    <cellStyle name="Normal 17 2 3 3 4" xfId="1102" xr:uid="{6BCB2BAD-477D-4DBB-9EE6-BE5C5ED5802B}"/>
    <cellStyle name="Normal 17 2 3 4" xfId="960" xr:uid="{FB8C2E85-0E24-45B3-B267-1EEC5CA239CF}"/>
    <cellStyle name="Normal 17 2 3 4 2" xfId="1402" xr:uid="{BD38EF6A-752D-400D-BC68-CCF1F161F409}"/>
    <cellStyle name="Normal 17 2 3 4 3" xfId="1169" xr:uid="{5893B61A-AAF4-43D7-817D-BAAFB720A6EC}"/>
    <cellStyle name="Normal 17 2 3 5" xfId="1286" xr:uid="{014A2F42-A31D-488D-BC4B-F5406149A7EA}"/>
    <cellStyle name="Normal 17 2 3 6" xfId="1049" xr:uid="{88F855C4-35BA-403E-B11A-3CE533AF9D05}"/>
    <cellStyle name="Normal 17 2 4" xfId="749" xr:uid="{3620A05B-98C5-43C6-9109-9F78263B8D89}"/>
    <cellStyle name="Normal 17 2 4 2" xfId="904" xr:uid="{8FA468AB-59EE-4DBE-9073-AB6ACC11F80F}"/>
    <cellStyle name="Normal 17 2 4 2 2" xfId="1235" xr:uid="{FFC613AE-E90A-408D-AC26-98D373A92CF0}"/>
    <cellStyle name="Normal 17 2 4 2 2 2" xfId="1468" xr:uid="{F4A75714-AC0B-4520-B5EF-338128CCE0F1}"/>
    <cellStyle name="Normal 17 2 4 2 3" xfId="1352" xr:uid="{6F86C44D-248C-47A5-BF71-384E7AB9F270}"/>
    <cellStyle name="Normal 17 2 4 2 4" xfId="1116" xr:uid="{C0A56955-4A7A-43FE-A985-1A486B07AA09}"/>
    <cellStyle name="Normal 17 2 4 3" xfId="974" xr:uid="{E07C0DBA-0A41-4290-8C7D-0005CEEF785B}"/>
    <cellStyle name="Normal 17 2 4 3 2" xfId="1386" xr:uid="{BCC36A8E-574A-469C-801E-52339ADF5917}"/>
    <cellStyle name="Normal 17 2 4 3 3" xfId="1153" xr:uid="{F0987453-FE76-41F8-B449-6AAD9F2CD659}"/>
    <cellStyle name="Normal 17 2 4 4" xfId="1270" xr:uid="{9FEBB37E-357F-455A-BEF0-719929976BF5}"/>
    <cellStyle name="Normal 17 2 4 5" xfId="1033" xr:uid="{4615AA88-DC6E-4468-A058-078599A32863}"/>
    <cellStyle name="Normal 17 2 5" xfId="868" xr:uid="{DD595C49-348E-40B5-AF66-7185CB735A47}"/>
    <cellStyle name="Normal 17 2 5 2" xfId="1179" xr:uid="{85575C0E-CFFB-44B5-B935-E86718699990}"/>
    <cellStyle name="Normal 17 2 5 2 2" xfId="1412" xr:uid="{5667843E-41FE-4245-BBAC-FC7BF7B4AFB1}"/>
    <cellStyle name="Normal 17 2 5 3" xfId="1296" xr:uid="{157B2810-8A51-4642-8977-37F15DA19DEF}"/>
    <cellStyle name="Normal 17 2 5 4" xfId="1059" xr:uid="{20F594DB-88CD-46CD-BEA6-662207481C20}"/>
    <cellStyle name="Normal 17 2 6" xfId="944" xr:uid="{AA5B70BC-C7AB-4483-8E85-6EF4B06EDA7D}"/>
    <cellStyle name="Normal 17 2 6 2" xfId="1205" xr:uid="{A522744E-6128-4326-ABDE-67EDC8A47D64}"/>
    <cellStyle name="Normal 17 2 6 2 2" xfId="1438" xr:uid="{52E2928F-B969-4ECA-975A-E325E67F422E}"/>
    <cellStyle name="Normal 17 2 6 3" xfId="1322" xr:uid="{CE4E576F-6AC8-406F-AD31-EBBC5BDF9071}"/>
    <cellStyle name="Normal 17 2 6 4" xfId="1086" xr:uid="{9D5AA504-4ECE-4186-B183-083996743460}"/>
    <cellStyle name="Normal 17 2 7" xfId="1146" xr:uid="{D3EBE66E-40A4-4180-8BA8-68688CEA24BE}"/>
    <cellStyle name="Normal 17 2 7 2" xfId="1379" xr:uid="{7256A73C-A3E1-4713-8FAF-A9C3A42D5B6D}"/>
    <cellStyle name="Normal 17 2 8" xfId="1263" xr:uid="{1F819A75-CA1B-48DC-8079-05677AE1A6E4}"/>
    <cellStyle name="Normal 17 2 9" xfId="1026" xr:uid="{8F222D93-5250-4C15-A997-2EF0D52B852C}"/>
    <cellStyle name="Normal 17 3" xfId="693" xr:uid="{68935E0D-1D5C-4414-8497-28224F03542D}"/>
    <cellStyle name="Normal 17 3 2" xfId="746" xr:uid="{206CDE47-5A3E-423C-A9C3-7B81011D390F}"/>
    <cellStyle name="Normal 17 3 2 2" xfId="901" xr:uid="{4C8DF936-1C1D-4E51-B2E9-F0007B05ACA8}"/>
    <cellStyle name="Normal 17 3 2 2 2" xfId="1232" xr:uid="{8DB694D3-9CD5-4F14-AEB9-FD83367C156C}"/>
    <cellStyle name="Normal 17 3 2 2 2 2" xfId="1465" xr:uid="{42B57218-640D-48F4-975D-DBA82F606C0C}"/>
    <cellStyle name="Normal 17 3 2 2 3" xfId="1349" xr:uid="{08C15CB4-F96C-44B2-BA2F-F254F0255E97}"/>
    <cellStyle name="Normal 17 3 2 2 4" xfId="1113" xr:uid="{698B24CD-66FD-4E57-A84E-E77E663D8542}"/>
    <cellStyle name="Normal 17 3 2 3" xfId="971" xr:uid="{16E6F15B-4210-41DB-B163-B7A34BD63DEB}"/>
    <cellStyle name="Normal 17 3 2 3 2" xfId="1409" xr:uid="{B452BCB9-47C5-459F-A327-3EA043FEA36B}"/>
    <cellStyle name="Normal 17 3 2 3 3" xfId="1176" xr:uid="{ADC19205-746F-4D16-90D9-8DCF15CFD2D9}"/>
    <cellStyle name="Normal 17 3 2 4" xfId="1293" xr:uid="{847C85AA-4340-4C83-B5FC-2DC2B5EF0FBA}"/>
    <cellStyle name="Normal 17 3 2 5" xfId="1056" xr:uid="{59588DBB-D53C-422A-86E6-D973A2EFC67D}"/>
    <cellStyle name="Normal 17 3 3" xfId="862" xr:uid="{E821CCC4-2ED2-48AF-9BE5-9DEDE9BBAA13}"/>
    <cellStyle name="Normal 17 3 3 2" xfId="1202" xr:uid="{88B82FD4-9A99-49FD-B21F-689F1DF79D8C}"/>
    <cellStyle name="Normal 17 3 3 2 2" xfId="1435" xr:uid="{EF2E9229-CECC-4276-BAEE-8672D79758B7}"/>
    <cellStyle name="Normal 17 3 3 3" xfId="1319" xr:uid="{9C8A78C1-845A-4F29-AF1D-56911F602A99}"/>
    <cellStyle name="Normal 17 3 3 4" xfId="1083" xr:uid="{FB019EEA-7D0A-469F-BC6A-1285D612795D}"/>
    <cellStyle name="Normal 17 3 4" xfId="941" xr:uid="{52867957-FFF7-48B6-9B17-A989E6C8A0B2}"/>
    <cellStyle name="Normal 17 3 4 2" xfId="1383" xr:uid="{C48C4861-227D-4B95-85DE-E4C0370B926D}"/>
    <cellStyle name="Normal 17 3 4 3" xfId="1150" xr:uid="{5EFD09B4-E4D0-46F5-90C6-E375600417DC}"/>
    <cellStyle name="Normal 17 3 5" xfId="1267" xr:uid="{62979EED-BD06-46FB-9101-F36E293C0670}"/>
    <cellStyle name="Normal 17 3 6" xfId="1030" xr:uid="{6F40A419-61CA-4C7F-95CA-044B2716B425}"/>
    <cellStyle name="Normal 17 4" xfId="717" xr:uid="{35F0E75A-F324-441A-B6E2-1D0F2335A49B}"/>
    <cellStyle name="Normal 17 4 2" xfId="754" xr:uid="{25264894-6F5F-4DDE-B8F2-8D17C95AA2E7}"/>
    <cellStyle name="Normal 17 4 2 2" xfId="909" xr:uid="{8EEB88AF-EFBC-4D1C-9C5D-E3D185023C8E}"/>
    <cellStyle name="Normal 17 4 2 2 2" xfId="1240" xr:uid="{6F9D1665-4F6D-4EA6-A822-014B836AA3C7}"/>
    <cellStyle name="Normal 17 4 2 2 2 2" xfId="1473" xr:uid="{CD23C841-4A82-4FC3-803B-E1D1DAB2CD2B}"/>
    <cellStyle name="Normal 17 4 2 2 3" xfId="1357" xr:uid="{220BA773-23DF-433E-922E-C9B85B8C8E05}"/>
    <cellStyle name="Normal 17 4 2 2 4" xfId="1121" xr:uid="{865E67F9-CBCC-42D3-9CAF-E63504F7A099}"/>
    <cellStyle name="Normal 17 4 2 3" xfId="979" xr:uid="{8E203D50-73A4-4CF3-8509-EADCB9D4FC31}"/>
    <cellStyle name="Normal 17 4 2 3 2" xfId="1417" xr:uid="{86509580-1F4F-4EAE-9176-4D556341A209}"/>
    <cellStyle name="Normal 17 4 2 3 3" xfId="1184" xr:uid="{E0474D88-2F72-4786-A49E-55F57A32B388}"/>
    <cellStyle name="Normal 17 4 2 4" xfId="1301" xr:uid="{5324FA6F-2DB8-4E3B-BC31-CEEF42E0E3CB}"/>
    <cellStyle name="Normal 17 4 2 5" xfId="1064" xr:uid="{6C4E3330-023B-4453-91BA-B4B6E22DC740}"/>
    <cellStyle name="Normal 17 4 3" xfId="876" xr:uid="{1592777B-A6B4-4F98-8804-6D326395896C}"/>
    <cellStyle name="Normal 17 4 3 2" xfId="1210" xr:uid="{2FD04ACF-6506-4C5D-89DD-748D25DD653A}"/>
    <cellStyle name="Normal 17 4 3 2 2" xfId="1443" xr:uid="{2F2BCFFD-A177-4BBA-AE1F-484628EE067D}"/>
    <cellStyle name="Normal 17 4 3 3" xfId="1327" xr:uid="{42995D10-73E0-49A5-9C20-F37A7928C69F}"/>
    <cellStyle name="Normal 17 4 3 4" xfId="1091" xr:uid="{177943BF-07D7-4559-97FC-3BA18A03138C}"/>
    <cellStyle name="Normal 17 4 4" xfId="949" xr:uid="{DFC7FAE4-3643-41C2-94B8-F090B0519A05}"/>
    <cellStyle name="Normal 17 4 4 2" xfId="1391" xr:uid="{CC7678E2-BDF9-468F-BB28-05D2134E690B}"/>
    <cellStyle name="Normal 17 4 4 3" xfId="1158" xr:uid="{4F1766F4-C329-4FBB-A0C1-7155F5D19FE0}"/>
    <cellStyle name="Normal 17 4 5" xfId="1275" xr:uid="{C8534591-2672-4F75-B65B-7DD9E55B5E39}"/>
    <cellStyle name="Normal 17 4 6" xfId="1038" xr:uid="{77F65398-7BD2-4D4F-BF5A-58102FBB3652}"/>
    <cellStyle name="Normal 17 5" xfId="725" xr:uid="{A24DFF2F-6B8A-4767-997E-88A4AFDD2B85}"/>
    <cellStyle name="Normal 17 5 2" xfId="762" xr:uid="{75CF2383-B76B-4F21-8C17-A0D363E7C3DF}"/>
    <cellStyle name="Normal 17 5 2 2" xfId="917" xr:uid="{ADEBF3E4-E659-4346-8FAE-A828D31F6B43}"/>
    <cellStyle name="Normal 17 5 2 2 2" xfId="1248" xr:uid="{F57928BE-4B83-4A2E-98F1-DB72774D2E88}"/>
    <cellStyle name="Normal 17 5 2 2 2 2" xfId="1481" xr:uid="{2FAD08A2-5C61-45BE-A519-528B62B00B02}"/>
    <cellStyle name="Normal 17 5 2 2 3" xfId="1365" xr:uid="{8B81E238-58EE-45FC-87B8-4D04211DF775}"/>
    <cellStyle name="Normal 17 5 2 2 4" xfId="1129" xr:uid="{97879DD8-2561-4A7A-B6EB-E2414F87926A}"/>
    <cellStyle name="Normal 17 5 2 3" xfId="987" xr:uid="{11F9E366-F13C-4D97-AB0F-D9FB3F32ABC9}"/>
    <cellStyle name="Normal 17 5 2 3 2" xfId="1425" xr:uid="{3E928DE1-B53B-48EF-BA4E-E7A6DD4D737F}"/>
    <cellStyle name="Normal 17 5 2 3 3" xfId="1192" xr:uid="{9FEA8468-90DD-4247-89AA-16FEA54D859D}"/>
    <cellStyle name="Normal 17 5 2 4" xfId="1309" xr:uid="{B43775D6-0ED0-41A4-99D6-150F2F2CC7CB}"/>
    <cellStyle name="Normal 17 5 2 5" xfId="1072" xr:uid="{3F5DC931-95AF-40DD-91E6-BA2EDC3555A9}"/>
    <cellStyle name="Normal 17 5 3" xfId="884" xr:uid="{163864C0-9935-40BE-A215-A01A44F0F7B6}"/>
    <cellStyle name="Normal 17 5 3 2" xfId="1218" xr:uid="{5FB9DEAE-FFF5-4FD2-BAAA-4B6F35C26FE0}"/>
    <cellStyle name="Normal 17 5 3 2 2" xfId="1451" xr:uid="{DE1A967D-9801-4126-AA85-5C8D923D3368}"/>
    <cellStyle name="Normal 17 5 3 3" xfId="1335" xr:uid="{5782A3BC-0B11-47DB-A211-BA8AD8F7FA2C}"/>
    <cellStyle name="Normal 17 5 3 4" xfId="1099" xr:uid="{B7E96E4C-FB8D-4B95-A3B1-62B343EDACF1}"/>
    <cellStyle name="Normal 17 5 4" xfId="957" xr:uid="{EC4AF60B-D2FC-4643-95C3-FEDD34ED0D2F}"/>
    <cellStyle name="Normal 17 5 4 2" xfId="1399" xr:uid="{92A4151B-4D7B-4769-8D96-4EB63D0EA207}"/>
    <cellStyle name="Normal 17 5 4 3" xfId="1166" xr:uid="{067C92E1-A9CF-43C1-BD13-690C7944B320}"/>
    <cellStyle name="Normal 17 5 5" xfId="1283" xr:uid="{065AFA6A-A4F8-464A-9C88-74A22307F767}"/>
    <cellStyle name="Normal 17 5 6" xfId="1046" xr:uid="{4700386D-A247-4FD2-B19D-0B1EA4B0E255}"/>
    <cellStyle name="Normal 17 6" xfId="743" xr:uid="{A4540657-B022-4F85-AFC4-A340C870A792}"/>
    <cellStyle name="Normal 17 6 2" xfId="898" xr:uid="{7A42F428-6670-4A18-BB59-CAFEFAE0DE1A}"/>
    <cellStyle name="Normal 17 6 2 2" xfId="1230" xr:uid="{67370C1E-DAD0-487F-B6E6-B41F8D1B508C}"/>
    <cellStyle name="Normal 17 6 2 2 2" xfId="1463" xr:uid="{0CF29D3F-9D6B-4765-B508-332F6BEE3D7D}"/>
    <cellStyle name="Normal 17 6 2 3" xfId="1347" xr:uid="{1E92CFAF-5D1E-43E9-9250-8BA75DEB512A}"/>
    <cellStyle name="Normal 17 6 2 4" xfId="1111" xr:uid="{4D229EF9-1901-4FC3-865F-ABAFD90C1AA5}"/>
    <cellStyle name="Normal 17 6 3" xfId="969" xr:uid="{EE84494F-BDA9-4741-98DD-9C7ED8C29EF0}"/>
    <cellStyle name="Normal 17 6 3 2" xfId="1381" xr:uid="{5D7C942F-AA4C-4336-B1FD-810FF7D084B2}"/>
    <cellStyle name="Normal 17 6 3 3" xfId="1148" xr:uid="{42620923-1847-4C00-9464-5952F4800321}"/>
    <cellStyle name="Normal 17 6 4" xfId="1265" xr:uid="{B873A1EC-0097-40D5-83B2-AF5FC909A94A}"/>
    <cellStyle name="Normal 17 6 5" xfId="1028" xr:uid="{AC834ABA-6672-425E-9FA4-10EBC7E2196A}"/>
    <cellStyle name="Normal 17 7" xfId="849" xr:uid="{34B84DEA-A298-4EA0-A7A7-95D392CD29F1}"/>
    <cellStyle name="Normal 17 7 2" xfId="1174" xr:uid="{04B7D608-EB86-4A13-9654-42CD872B979A}"/>
    <cellStyle name="Normal 17 7 2 2" xfId="1407" xr:uid="{1956920F-67E2-4BC9-B803-A34B5EA324CA}"/>
    <cellStyle name="Normal 17 7 3" xfId="1291" xr:uid="{B5DCE034-9942-40F8-98A6-73AEE4016414}"/>
    <cellStyle name="Normal 17 7 4" xfId="1054" xr:uid="{26FCC237-0C2F-4CB3-891B-D0324D0D6621}"/>
    <cellStyle name="Normal 17 8" xfId="938" xr:uid="{863D58B4-67A7-46A3-BE9F-33041A17C191}"/>
    <cellStyle name="Normal 17 8 2" xfId="1200" xr:uid="{90782097-25FB-4664-8A77-EEB7A3B6145A}"/>
    <cellStyle name="Normal 17 8 2 2" xfId="1433" xr:uid="{1119AC7F-CA67-43C1-9456-F7C030F2D556}"/>
    <cellStyle name="Normal 17 8 3" xfId="1317" xr:uid="{C5BD4232-BB8B-4895-BB9E-4F56BDC4CF17}"/>
    <cellStyle name="Normal 17 8 4" xfId="1081" xr:uid="{3D464836-DDE2-40A4-9965-B5AB95DD4544}"/>
    <cellStyle name="Normal 17 9" xfId="1141" xr:uid="{27FF594B-3426-4334-AC30-72A95E6ED509}"/>
    <cellStyle name="Normal 17 9 2" xfId="1376" xr:uid="{B677D755-B870-4A19-9DF0-7951320D29DD}"/>
    <cellStyle name="Normal 18" xfId="620" xr:uid="{09A9475D-00B9-41C7-B868-A5CF0338B76F}"/>
    <cellStyle name="Normal 19" xfId="621" xr:uid="{B973DB66-FA23-46B4-9FF6-CA79D11B2E33}"/>
    <cellStyle name="Normal 19 2" xfId="704" xr:uid="{225131FA-D994-4E42-B7C9-15F0E63BA725}"/>
    <cellStyle name="Normal 19 3" xfId="694" xr:uid="{36CABFBA-090E-429A-8EB8-9CF02AE4E5D3}"/>
    <cellStyle name="Normal 2" xfId="4" xr:uid="{00000000-0005-0000-0000-00004A000000}"/>
    <cellStyle name="Normal 2 2" xfId="75" xr:uid="{00000000-0005-0000-0000-00004B000000}"/>
    <cellStyle name="Normal 2 2 10" xfId="705" xr:uid="{CA1BBAB5-9838-44F4-A3C7-C547B1B82236}"/>
    <cellStyle name="Normal 2 2 11" xfId="1526" xr:uid="{57271AA0-5F05-42AE-B8D2-D414B40CCC90}"/>
    <cellStyle name="Normal 2 2 2" xfId="721" xr:uid="{81119045-5A70-4725-8384-9E5E44ABD044}"/>
    <cellStyle name="Normal 2 2 2 2" xfId="758" xr:uid="{72174117-546D-4704-8FF4-6D5F2A81DA61}"/>
    <cellStyle name="Normal 2 2 2 2 2" xfId="913" xr:uid="{0C582D7A-694B-42A9-9C38-109820C7D571}"/>
    <cellStyle name="Normal 2 2 2 2 2 2" xfId="1244" xr:uid="{077F67D4-A6C7-4473-A2D1-2FA00BAB1F66}"/>
    <cellStyle name="Normal 2 2 2 2 2 2 2" xfId="1477" xr:uid="{F38D73C5-9CB3-46AE-8555-C3D428026777}"/>
    <cellStyle name="Normal 2 2 2 2 2 3" xfId="1361" xr:uid="{4BBE02DC-4C8E-41F1-9740-627396D6E249}"/>
    <cellStyle name="Normal 2 2 2 2 2 4" xfId="1125" xr:uid="{022ABC52-05D5-4556-9219-79815A02FCBB}"/>
    <cellStyle name="Normal 2 2 2 2 3" xfId="983" xr:uid="{8BE6A34C-EAF3-4C95-A4BD-FE3EF66F6588}"/>
    <cellStyle name="Normal 2 2 2 2 3 2" xfId="1421" xr:uid="{1C613E25-3945-4ED8-AF2F-7A5E9BEF855D}"/>
    <cellStyle name="Normal 2 2 2 2 3 3" xfId="1188" xr:uid="{5EABED71-0C03-45DF-9FAE-79C064ED7440}"/>
    <cellStyle name="Normal 2 2 2 2 4" xfId="1305" xr:uid="{6EE571EA-39CF-4979-8AF0-2B337C76DAFD}"/>
    <cellStyle name="Normal 2 2 2 2 5" xfId="1068" xr:uid="{A2199429-685F-4F4C-AA7D-FC1057DD5885}"/>
    <cellStyle name="Normal 2 2 2 3" xfId="880" xr:uid="{6AA8A082-7AFA-4A11-A3F6-3B5FC3B71A4F}"/>
    <cellStyle name="Normal 2 2 2 3 2" xfId="1214" xr:uid="{FAFDC8D5-1C87-419B-9E9A-E03BF6995A88}"/>
    <cellStyle name="Normal 2 2 2 3 2 2" xfId="1447" xr:uid="{7655CE8C-3B8C-44AF-9C50-EEE8829E1B66}"/>
    <cellStyle name="Normal 2 2 2 3 3" xfId="1331" xr:uid="{4674F0CB-21D6-41E7-8B82-7F0E14278A38}"/>
    <cellStyle name="Normal 2 2 2 3 4" xfId="1095" xr:uid="{DD327DFF-F19A-4E2E-BE46-8FAC7FE49EC6}"/>
    <cellStyle name="Normal 2 2 2 4" xfId="953" xr:uid="{9DBE9E37-E803-4CBA-8F1B-10E7C19DBADD}"/>
    <cellStyle name="Normal 2 2 2 4 2" xfId="1395" xr:uid="{E70F19D2-AB14-451B-B5CD-82C50138C78F}"/>
    <cellStyle name="Normal 2 2 2 4 3" xfId="1162" xr:uid="{75E2EDE9-F4BD-4E39-AD96-7762D6DB71DB}"/>
    <cellStyle name="Normal 2 2 2 5" xfId="1279" xr:uid="{3E25AA25-8913-46C9-B689-C4FA6F331DFA}"/>
    <cellStyle name="Normal 2 2 2 6" xfId="1042" xr:uid="{5916A03E-A346-4288-B952-171E8A3E873C}"/>
    <cellStyle name="Normal 2 2 3" xfId="729" xr:uid="{5BDCD611-EE52-4191-A0FF-979F64C33CE7}"/>
    <cellStyle name="Normal 2 2 3 2" xfId="766" xr:uid="{7DB5C444-4376-462B-A22B-49898CA5BAA2}"/>
    <cellStyle name="Normal 2 2 3 2 2" xfId="921" xr:uid="{971C25AF-0870-44E1-B9CD-91DB230146E1}"/>
    <cellStyle name="Normal 2 2 3 2 2 2" xfId="1252" xr:uid="{47E5B946-CB13-4F41-89B4-499E5B9ED1CB}"/>
    <cellStyle name="Normal 2 2 3 2 2 2 2" xfId="1485" xr:uid="{B39FC8D3-28A8-4C73-BE1C-E8F278F86545}"/>
    <cellStyle name="Normal 2 2 3 2 2 3" xfId="1369" xr:uid="{5A436301-99CA-4528-962C-32004EB383A5}"/>
    <cellStyle name="Normal 2 2 3 2 2 4" xfId="1133" xr:uid="{CC378B41-ECE0-4D32-A8FF-732A3010345A}"/>
    <cellStyle name="Normal 2 2 3 2 3" xfId="991" xr:uid="{3300C1A9-2DD4-45B9-933F-C71F262FEE86}"/>
    <cellStyle name="Normal 2 2 3 2 3 2" xfId="1429" xr:uid="{EFBCE65B-5044-4357-A2EE-474FF6DD7698}"/>
    <cellStyle name="Normal 2 2 3 2 3 3" xfId="1196" xr:uid="{C9E52917-7157-4F83-AC0F-2D69E873B98D}"/>
    <cellStyle name="Normal 2 2 3 2 4" xfId="1313" xr:uid="{F83E3E6B-7162-427D-A2AF-256B98FFFFD0}"/>
    <cellStyle name="Normal 2 2 3 2 5" xfId="1076" xr:uid="{89D981D5-1E03-4E3B-B829-5FD43A7CE54D}"/>
    <cellStyle name="Normal 2 2 3 3" xfId="888" xr:uid="{5C137E0E-2634-4791-A619-089A80E8A734}"/>
    <cellStyle name="Normal 2 2 3 3 2" xfId="1222" xr:uid="{D575FA7D-06C1-4407-BED9-A03937FF2D5B}"/>
    <cellStyle name="Normal 2 2 3 3 2 2" xfId="1455" xr:uid="{952CCB6E-E946-4D79-8B84-B40AE0449FB9}"/>
    <cellStyle name="Normal 2 2 3 3 3" xfId="1339" xr:uid="{98994242-29FA-4237-9FD3-6393E280C930}"/>
    <cellStyle name="Normal 2 2 3 3 4" xfId="1103" xr:uid="{D2BEC730-BEAA-4F5F-B460-7B29AB48361E}"/>
    <cellStyle name="Normal 2 2 3 4" xfId="961" xr:uid="{491A03AB-82B4-422B-88B9-9A915CD6F0FF}"/>
    <cellStyle name="Normal 2 2 3 4 2" xfId="1403" xr:uid="{852C08CE-94B0-4E50-A4F5-0ACBDFEF0CFD}"/>
    <cellStyle name="Normal 2 2 3 4 3" xfId="1170" xr:uid="{9C3885E1-066A-4562-845E-5718110E0644}"/>
    <cellStyle name="Normal 2 2 3 5" xfId="1287" xr:uid="{76B3816F-B917-4295-8E8B-EBBEDBDFF6A2}"/>
    <cellStyle name="Normal 2 2 3 6" xfId="1050" xr:uid="{8DC77C8C-D4A5-48D2-8A41-7AB28EE08B4A}"/>
    <cellStyle name="Normal 2 2 4" xfId="750" xr:uid="{D441E215-E076-49B4-AE91-D71CE69118C7}"/>
    <cellStyle name="Normal 2 2 4 2" xfId="905" xr:uid="{B4BF33B0-A35D-41DB-88A4-A40A227B8128}"/>
    <cellStyle name="Normal 2 2 4 2 2" xfId="1236" xr:uid="{FF85D3D6-7CAC-4208-AEBA-605FC2700B14}"/>
    <cellStyle name="Normal 2 2 4 2 2 2" xfId="1469" xr:uid="{94AF6012-0CEF-41C2-8823-47C2F8676E27}"/>
    <cellStyle name="Normal 2 2 4 2 3" xfId="1353" xr:uid="{F68652A5-901F-4AAF-B36B-2B435ABC6F44}"/>
    <cellStyle name="Normal 2 2 4 2 4" xfId="1117" xr:uid="{763C6FE0-4B52-4C7A-A409-5FC2C65A5ED3}"/>
    <cellStyle name="Normal 2 2 4 3" xfId="975" xr:uid="{4EFB6F37-6FD4-4E78-AF45-8E51BA63D988}"/>
    <cellStyle name="Normal 2 2 4 3 2" xfId="1387" xr:uid="{3E3AB025-2811-4579-A30B-19E844F49AC5}"/>
    <cellStyle name="Normal 2 2 4 3 3" xfId="1154" xr:uid="{049912C6-3E80-4E6B-A150-8056E204EEFB}"/>
    <cellStyle name="Normal 2 2 4 4" xfId="1271" xr:uid="{3D78D77E-9A2F-4340-999B-9F401326FC1E}"/>
    <cellStyle name="Normal 2 2 4 5" xfId="1034" xr:uid="{648A0206-8C15-4EFC-A860-CFF636B8FC17}"/>
    <cellStyle name="Normal 2 2 5" xfId="869" xr:uid="{66A3480A-78C5-453B-9F10-540DBC43B4DF}"/>
    <cellStyle name="Normal 2 2 5 2" xfId="1180" xr:uid="{9ED73892-E0E0-4EB3-8700-F0A516FF5823}"/>
    <cellStyle name="Normal 2 2 5 2 2" xfId="1413" xr:uid="{2DCDB3B5-3B99-4F1C-82C1-7DC98D0CF14D}"/>
    <cellStyle name="Normal 2 2 5 3" xfId="1297" xr:uid="{5A0D06E8-8ACC-4875-9CE9-F2268D6C6651}"/>
    <cellStyle name="Normal 2 2 5 4" xfId="1060" xr:uid="{78493F0E-4902-4231-BB33-339A7026B37C}"/>
    <cellStyle name="Normal 2 2 6" xfId="945" xr:uid="{7F6590EE-9E2B-4222-8306-2E71B8A640C0}"/>
    <cellStyle name="Normal 2 2 6 2" xfId="1206" xr:uid="{03152B51-C091-49BC-B213-1F867D9BB45F}"/>
    <cellStyle name="Normal 2 2 6 2 2" xfId="1439" xr:uid="{BD8F962C-6F0B-42C4-818A-17AEBC707021}"/>
    <cellStyle name="Normal 2 2 6 3" xfId="1323" xr:uid="{3DA4F678-1861-4B1A-A97F-1A38C0D4D346}"/>
    <cellStyle name="Normal 2 2 6 4" xfId="1087" xr:uid="{0FD44BDA-0617-474B-980A-FC4115BFCA1F}"/>
    <cellStyle name="Normal 2 2 7" xfId="1144" xr:uid="{732CB926-CA48-43D8-8ED5-1EAEEFE07A55}"/>
    <cellStyle name="Normal 2 2 7 2" xfId="1377" xr:uid="{B4B0F0D8-9DD0-4FE8-B284-B03C330BE379}"/>
    <cellStyle name="Normal 2 2 8" xfId="1261" xr:uid="{C4A2DAD3-271A-4F32-8D36-F70E6A130CDD}"/>
    <cellStyle name="Normal 2 2 9" xfId="1023" xr:uid="{5C46BC3A-8350-4893-8274-380D32A67AD3}"/>
    <cellStyle name="Normal 2 3" xfId="736" xr:uid="{5D999D92-2638-4729-98F0-A4C5158AB11A}"/>
    <cellStyle name="Normal 2 4" xfId="796" xr:uid="{2F3DBAA9-94D0-4A22-BC64-D62E21FD8832}"/>
    <cellStyle name="Normal 2 5" xfId="622" xr:uid="{52236977-69EE-43CE-978C-781C2B31DF6B}"/>
    <cellStyle name="Normal 20" xfId="623" xr:uid="{8B19251C-5490-410D-B5FC-05DDFDB381FB}"/>
    <cellStyle name="Normal 21" xfId="706" xr:uid="{73936943-F6B4-4180-94F4-96D1E1525801}"/>
    <cellStyle name="Normal 22" xfId="732" xr:uid="{ECE93BD4-AAB9-4E01-9BC8-E553EAD11CA6}"/>
    <cellStyle name="Normal 22 2" xfId="740" xr:uid="{2C19312B-F0BD-48A8-AD4A-DCE66515DB63}"/>
    <cellStyle name="Normal 22 3" xfId="891" xr:uid="{848E9D7F-F877-40AE-A485-C2398A2606A8}"/>
    <cellStyle name="Normal 22 3 2" xfId="1458" xr:uid="{C37F1FC4-C87A-445C-AFAF-EEEC874C963F}"/>
    <cellStyle name="Normal 22 3 3" xfId="1225" xr:uid="{BBAB6D9F-8302-4C91-B202-8DB48F373F08}"/>
    <cellStyle name="Normal 22 4" xfId="964" xr:uid="{E8690419-9D5D-45F4-AA2F-45398A042D5B}"/>
    <cellStyle name="Normal 22 4 2" xfId="1342" xr:uid="{557109F6-5A9B-47CC-AC61-D1B850FF4E70}"/>
    <cellStyle name="Normal 22 5" xfId="1106" xr:uid="{8760330B-4CB1-4B35-A979-FFC0CB19D8CB}"/>
    <cellStyle name="Normal 23" xfId="737" xr:uid="{D262FC73-2B79-43E0-A9A3-3B4A1830FC31}"/>
    <cellStyle name="Normal 23 2" xfId="894" xr:uid="{29E72DC0-12C2-4E8E-8A71-1B9C79159BF4}"/>
    <cellStyle name="Normal 23 2 2" xfId="1459" xr:uid="{29B7CA17-14DB-4D2A-84CD-C618F9CB2038}"/>
    <cellStyle name="Normal 23 2 3" xfId="1226" xr:uid="{065EE220-D577-49E6-BE90-5A71E2BF8A48}"/>
    <cellStyle name="Normal 23 3" xfId="965" xr:uid="{B39082DB-010D-4A23-8DE1-FBA352901F86}"/>
    <cellStyle name="Normal 23 3 2" xfId="1343" xr:uid="{B0E63C77-E165-4CE6-876C-E9C1E79155CD}"/>
    <cellStyle name="Normal 23 4" xfId="1107" xr:uid="{ACA2EA91-9CEE-4C60-A69A-050B08813299}"/>
    <cellStyle name="Normal 24" xfId="924" xr:uid="{31235064-FEE9-42F1-A8CD-4379E59DAE0B}"/>
    <cellStyle name="Normal 24 2" xfId="1138" xr:uid="{D501E2FD-CD72-4412-88EE-8F087D437134}"/>
    <cellStyle name="Normal 25" xfId="935" xr:uid="{139ABBEC-6429-4E74-9965-C58CC1601E8E}"/>
    <cellStyle name="Normal 25 2" xfId="1374" xr:uid="{A53E9708-A192-44B2-8E94-ABB8A267ED5C}"/>
    <cellStyle name="Normal 25 3" xfId="1137" xr:uid="{15A61BF5-5478-48F7-B307-4B6226F7FDED}"/>
    <cellStyle name="Normal 26" xfId="925" xr:uid="{8F86AA81-1B5B-4B8B-B2BD-5B9D903B78F6}"/>
    <cellStyle name="Normal 26 2" xfId="1256" xr:uid="{4B7D146E-FD15-47E7-BE08-3499F7960DD7}"/>
    <cellStyle name="Normal 27" xfId="931" xr:uid="{84BFC054-4661-4393-B984-77DB8F0E82AF}"/>
    <cellStyle name="Normal 28" xfId="936" xr:uid="{C800E3AB-A60F-47CA-9833-7A49F9B65DCA}"/>
    <cellStyle name="Normal 29" xfId="1006" xr:uid="{44E895C8-637A-4FCB-BE03-C15F1784E928}"/>
    <cellStyle name="Normal 3" xfId="11" xr:uid="{00000000-0005-0000-0000-00004C000000}"/>
    <cellStyle name="Normal 3 2" xfId="707" xr:uid="{D65206B1-1563-4F4F-BEFA-71E190E67CD7}"/>
    <cellStyle name="Normal 3 2 2" xfId="1583" xr:uid="{43BC6A37-160F-4BD3-98F8-B4D62D851E8F}"/>
    <cellStyle name="Normal 3 3" xfId="708" xr:uid="{9864E9AE-E37B-4FF2-A146-6D85B6CDD8FE}"/>
    <cellStyle name="Normal 3 3 2" xfId="701" xr:uid="{1D66177E-6151-41F7-B2EE-7C5EDFE1CB71}"/>
    <cellStyle name="Normal 3 3 3" xfId="1616" xr:uid="{5CF45649-4C77-457D-B31A-7562F865F1E5}"/>
    <cellStyle name="Normal 3 4" xfId="733" xr:uid="{A7A7F0F3-8B89-4D5B-99DB-883CFA1B0AB8}"/>
    <cellStyle name="Normal 3 4 2" xfId="892" xr:uid="{DE4A5A07-29E1-4A94-BFB4-D1D13D27A01E}"/>
    <cellStyle name="Normal 3 5" xfId="799" xr:uid="{D84FD27D-4F8D-4E1F-872A-4A3BD1D16E5B}"/>
    <cellStyle name="Normal 3 6" xfId="999" xr:uid="{8202992F-BAF8-44F3-8D2C-7901D2C69288}"/>
    <cellStyle name="Normal 3 7" xfId="624" xr:uid="{CCA486E0-110F-48D0-96E3-E1B5723E5A1E}"/>
    <cellStyle name="Normal 3 8" xfId="1545" xr:uid="{BB944EB7-6483-49E9-85DA-D9C3F57A3E78}"/>
    <cellStyle name="Normal 30" xfId="1002" xr:uid="{D71AAE61-B41E-4E2E-8C79-22AC7024A045}"/>
    <cellStyle name="Normal 31" xfId="1489" xr:uid="{DDBCD9E8-0303-4EEC-9B9E-5EFF33963772}"/>
    <cellStyle name="Normal 32" xfId="1000" xr:uid="{C56C40F9-D546-4507-B411-55FF0568CD46}"/>
    <cellStyle name="Normal 33" xfId="1004" xr:uid="{27E7B7E6-176C-4087-A1AF-4428A5A31B76}"/>
    <cellStyle name="Normal 34" xfId="1014" xr:uid="{D5BF7374-D31F-4352-B495-27C26D6F44DF}"/>
    <cellStyle name="Normal 35" xfId="1498" xr:uid="{64B2E403-9017-4256-8729-C5DC6166F9E7}"/>
    <cellStyle name="Normal 36" xfId="1500" xr:uid="{36AD661F-D9FA-431A-B1C6-8F3411C2B1FB}"/>
    <cellStyle name="Normal 37" xfId="1502" xr:uid="{0CDBD015-684B-4EA7-BC9C-7C9A9885E122}"/>
    <cellStyle name="Normal 38" xfId="1504" xr:uid="{A30F1ED4-9DAE-4847-AC49-35B7B94C492E}"/>
    <cellStyle name="Normal 39" xfId="1506" xr:uid="{96FFF111-080E-4963-B1EE-62224FE61868}"/>
    <cellStyle name="Normal 4" xfId="76" xr:uid="{00000000-0005-0000-0000-00004D000000}"/>
    <cellStyle name="Normal 4 2" xfId="709" xr:uid="{81E4A1C3-85D5-4122-8A76-9BB54D819642}"/>
    <cellStyle name="Normal 4 2 2" xfId="1597" xr:uid="{3D9CD546-22F8-46AE-906A-A052E50C9D65}"/>
    <cellStyle name="Normal 4 3" xfId="838" xr:uid="{F8577DCA-F3CC-455B-9CE2-FD746A551677}"/>
    <cellStyle name="Normal 4 3 2" xfId="1630" xr:uid="{59696BD0-08BF-4A00-9DE8-DAA3A1EE4D44}"/>
    <cellStyle name="Normal 4 4" xfId="625" xr:uid="{8D21A86B-11FF-4EC6-BA39-8F59D63C9E59}"/>
    <cellStyle name="Normal 4 5" xfId="1531" xr:uid="{31923F63-10F6-4C0A-AD6B-45FE62E25968}"/>
    <cellStyle name="Normal 4 5 2" xfId="1652" xr:uid="{2A9AE1CD-AF8D-4A51-81DF-029D51AB8D1B}"/>
    <cellStyle name="Normal 4 6" xfId="1562" xr:uid="{3E8CC19A-597F-4F2C-A14C-222ED5FED6F2}"/>
    <cellStyle name="Normal 40" xfId="1508" xr:uid="{0678ED52-D772-40A4-A050-8422512AC453}"/>
    <cellStyle name="Normal 41" xfId="1510" xr:uid="{7DE8DAF9-80C6-450A-904E-7A79ED52CED1}"/>
    <cellStyle name="Normal 42" xfId="1512" xr:uid="{74D01AFB-BE4F-4FEF-9279-C38C89CBA31C}"/>
    <cellStyle name="Normal 43" xfId="1514" xr:uid="{F8035CA1-C432-45B1-B491-68C37027D628}"/>
    <cellStyle name="Normal 44" xfId="1516" xr:uid="{2A029B41-DE16-46A8-9636-243F012740C6}"/>
    <cellStyle name="Normal 45" xfId="1518" xr:uid="{6146693A-C26D-48DB-ABFB-A6180A76ED26}"/>
    <cellStyle name="Normal 46" xfId="1520" xr:uid="{6D70D31A-3CE0-457F-9352-EAD798906D71}"/>
    <cellStyle name="Normal 47" xfId="103" xr:uid="{07BB6707-B6DD-4770-B647-F614C56E2EBA}"/>
    <cellStyle name="Normal 48" xfId="1524" xr:uid="{0CF4069A-DC85-425D-9C92-AEC24AB13F57}"/>
    <cellStyle name="Normal 49" xfId="1533" xr:uid="{C9EAF9DB-3F77-4EE8-A0F3-CB71506A42D0}"/>
    <cellStyle name="Normal 5" xfId="77" xr:uid="{00000000-0005-0000-0000-00004E000000}"/>
    <cellStyle name="Normal 5 2" xfId="78" xr:uid="{00000000-0005-0000-0000-00004F000000}"/>
    <cellStyle name="Normal 5 2 2" xfId="1522" xr:uid="{4F6B48E3-82A2-4FB2-A4DA-88FF8A3F24DE}"/>
    <cellStyle name="Normal 5 2 2 2" xfId="1610" xr:uid="{0B6A2321-A1FC-4A78-BCD5-BD5A0CE7EB51}"/>
    <cellStyle name="Normal 5 2 3" xfId="79" xr:uid="{00000000-0005-0000-0000-000050000000}"/>
    <cellStyle name="Normal 5 2 3 2" xfId="97" xr:uid="{00000000-0005-0000-0000-000051000000}"/>
    <cellStyle name="Normal 5 2 3 3" xfId="100" xr:uid="{00000000-0005-0000-0000-000052000000}"/>
    <cellStyle name="Normal 5 2 3 3 2" xfId="1532" xr:uid="{EDE8BB89-AB18-479F-A06D-10BB1D3F4B85}"/>
    <cellStyle name="Normal 5 2 3 4" xfId="1640" xr:uid="{2E54A4A0-3ED7-4892-9BC9-153D4262FD89}"/>
    <cellStyle name="Normal 5 2 4" xfId="844" xr:uid="{E5ED4AF3-FB2C-445E-AD98-836387592AA0}"/>
    <cellStyle name="Normal 5 2 5" xfId="1575" xr:uid="{342AFFB9-C072-4776-8B05-33A2D52D4255}"/>
    <cellStyle name="Normal 5 3" xfId="840" xr:uid="{6F900A40-2CC6-4DF6-9E52-39DACFBB9333}"/>
    <cellStyle name="Normal 5 3 2" xfId="1600" xr:uid="{016B417D-6BE7-42EE-AB41-64CF17C581FC}"/>
    <cellStyle name="Normal 5 4" xfId="626" xr:uid="{1FAB166A-B1F1-49B7-9742-8EEB87263E54}"/>
    <cellStyle name="Normal 5 4 2" xfId="1633" xr:uid="{1AEFD97D-EB08-4369-87C3-D361F9435454}"/>
    <cellStyle name="Normal 5 5" xfId="1565" xr:uid="{62BBE788-3710-4EB5-8310-379D4C8E96D6}"/>
    <cellStyle name="Normal 50" xfId="1544" xr:uid="{7A973A52-FCB0-4512-B9DE-39384F1B1582}"/>
    <cellStyle name="Normal 51" xfId="1534" xr:uid="{971FB22C-377F-4E25-A099-3FC4D9A3E693}"/>
    <cellStyle name="Normal 52" xfId="1645" xr:uid="{C8DF7F4F-3DE3-44FA-98D5-0ABB0D889318}"/>
    <cellStyle name="Normal 53" xfId="1574" xr:uid="{9C6B2AEF-42CA-44CB-A0D1-6FBFAFB60886}"/>
    <cellStyle name="Normal 54" xfId="1648" xr:uid="{B323E6AB-6F97-433F-AEB2-47F72AEB8590}"/>
    <cellStyle name="Normal 55" xfId="1649" xr:uid="{21C5970C-140A-4642-A9F6-D50D9071FC30}"/>
    <cellStyle name="Normal 56" xfId="1654" xr:uid="{48A3E1BD-70CA-45CC-A563-B7F8349A20E2}"/>
    <cellStyle name="Normal 57" xfId="1655" xr:uid="{E8F97C2F-954C-41DF-A884-7353801A97C3}"/>
    <cellStyle name="Normal 58" xfId="1657" xr:uid="{AB3C08B4-7190-4D4C-8967-7767C57E1587}"/>
    <cellStyle name="Normal 6" xfId="80" xr:uid="{00000000-0005-0000-0000-000053000000}"/>
    <cellStyle name="Normal 6 2" xfId="843" xr:uid="{213AA290-D736-4DDA-A4D4-2EF27A647389}"/>
    <cellStyle name="Normal 6 2 2" xfId="1604" xr:uid="{981C84C6-DE44-4C20-92CF-FB2392451696}"/>
    <cellStyle name="Normal 6 3" xfId="627" xr:uid="{4A26A58B-7FCB-41A0-981C-8E1A21369BCB}"/>
    <cellStyle name="Normal 6 3 2" xfId="1636" xr:uid="{BBBB43E1-0D6C-404F-AE2D-BEB135A28257}"/>
    <cellStyle name="Normal 6 4" xfId="1568" xr:uid="{55488A95-04F8-42C5-A919-531BF6ADDF6F}"/>
    <cellStyle name="Normal 7" xfId="81" xr:uid="{00000000-0005-0000-0000-000054000000}"/>
    <cellStyle name="Normal 7 2" xfId="628" xr:uid="{13E091AF-29C3-4863-8FB8-0E8A765159CD}"/>
    <cellStyle name="Normal 8" xfId="101" xr:uid="{947A62E7-9B13-4125-8F42-56423315674A}"/>
    <cellStyle name="Normal 8 2" xfId="629" xr:uid="{6582A769-8B2B-4D65-B887-379AD44BDFA1}"/>
    <cellStyle name="Normal 8 3" xfId="1582" xr:uid="{73F06497-77A8-4349-9DEC-CF3147FE8E4B}"/>
    <cellStyle name="Normal 9" xfId="630" xr:uid="{1308C8C4-F275-4DBD-A9E8-E228AB03DA1C}"/>
    <cellStyle name="Normal 9 2" xfId="1580" xr:uid="{A92C3FE1-8FE0-4539-A9E7-A59774DD92C3}"/>
    <cellStyle name="Note 10" xfId="631" xr:uid="{35EB5A95-A177-4B20-9CA8-FDBCC671FD84}"/>
    <cellStyle name="Note 11" xfId="632" xr:uid="{DD8908E4-84DE-45EA-B7BC-C557752625C8}"/>
    <cellStyle name="Note 12" xfId="633" xr:uid="{68F04D36-2740-4F78-83FA-8F74E024A676}"/>
    <cellStyle name="Note 13" xfId="634" xr:uid="{5D21E44C-0A5A-42B8-93C2-5BF90A920C88}"/>
    <cellStyle name="Note 14" xfId="635" xr:uid="{647CC37C-98B8-4CEF-BCF8-D50D5CDAC4E6}"/>
    <cellStyle name="Note 15" xfId="636" xr:uid="{CADABAD8-6058-424E-B810-088BEF2266A5}"/>
    <cellStyle name="Note 16" xfId="853" xr:uid="{F0178167-BA7F-43D7-A57C-AB12C251AE24}"/>
    <cellStyle name="Note 17" xfId="1541" xr:uid="{E1653CB8-264D-4A32-8DCE-5DF1C782DAE8}"/>
    <cellStyle name="Note 18" xfId="1547" xr:uid="{DEA9A86E-F245-43FF-81DB-721FD600E8AB}"/>
    <cellStyle name="Note 2" xfId="82" xr:uid="{00000000-0005-0000-0000-000055000000}"/>
    <cellStyle name="Note 2 2" xfId="811" xr:uid="{88EE9475-8459-4E92-B64E-E25ACC6A51C7}"/>
    <cellStyle name="Note 2 2 2" xfId="1584" xr:uid="{1F85A3D8-AD6E-4049-AA4B-E30F2D26ED10}"/>
    <cellStyle name="Note 2 3" xfId="637" xr:uid="{CF50727E-2C77-407C-AC31-2D4DB5D30CFE}"/>
    <cellStyle name="Note 2 3 2" xfId="1617" xr:uid="{358680A1-CE85-4911-AF8D-F2668E0509D9}"/>
    <cellStyle name="Note 2 4" xfId="1548" xr:uid="{C93E4656-5D6E-461E-9195-344D5ED1B639}"/>
    <cellStyle name="Note 3" xfId="638" xr:uid="{19CEE5A5-BE22-42FF-910F-F069B3250C44}"/>
    <cellStyle name="Note 3 2" xfId="1581" xr:uid="{9E9807CA-B7C2-43A0-A5FA-A97763CD76DE}"/>
    <cellStyle name="Note 3 3" xfId="1647" xr:uid="{E633B5F4-851F-4DFA-94F4-BB0394006E03}"/>
    <cellStyle name="Note 4" xfId="639" xr:uid="{7AAED23A-34C0-4215-94F7-C4B1D21960EC}"/>
    <cellStyle name="Note 5" xfId="640" xr:uid="{3103A930-B420-44AE-8895-D819302C9BDA}"/>
    <cellStyle name="Note 6" xfId="641" xr:uid="{C572E38B-6B5D-494E-8559-22C9EAB31C47}"/>
    <cellStyle name="Note 7" xfId="642" xr:uid="{3E7F198A-42F7-4B61-99ED-E2D3DCC08E12}"/>
    <cellStyle name="Note 8" xfId="643" xr:uid="{25454A26-39A3-4DBB-88AA-CA12323CA64D}"/>
    <cellStyle name="Note 9" xfId="644" xr:uid="{00A3A72B-FBB4-4FAD-806E-3FCEF69DB47B}"/>
    <cellStyle name="Output 10" xfId="645" xr:uid="{948DCE6F-F3AD-49C7-90BE-C0A77BA0A473}"/>
    <cellStyle name="Output 11" xfId="646" xr:uid="{41BB4598-CBAA-49B3-BCA1-F91656EA7BA5}"/>
    <cellStyle name="Output 12" xfId="647" xr:uid="{D44A6A04-6B8C-4AC3-8451-ACF4F4536437}"/>
    <cellStyle name="Output 13" xfId="648" xr:uid="{A1C840EB-126E-476B-9DB7-9F9FD513C45C}"/>
    <cellStyle name="Output 14" xfId="649" xr:uid="{209CA6CB-EBC5-4833-A448-26231E2C1D8F}"/>
    <cellStyle name="Output 15" xfId="650" xr:uid="{E30BF09A-1449-4208-A811-33F74229B6CB}"/>
    <cellStyle name="Output 16" xfId="850" xr:uid="{09A8C6D2-A18C-40CA-ADA3-B844F231D36B}"/>
    <cellStyle name="Output 17" xfId="1542" xr:uid="{64AB2EF3-E341-4D11-9281-8032EB7008D0}"/>
    <cellStyle name="Output 18" xfId="1537" xr:uid="{C9E53BC3-C0FE-4A2A-82A1-60E937FF9C47}"/>
    <cellStyle name="Output 2" xfId="83" xr:uid="{00000000-0005-0000-0000-000056000000}"/>
    <cellStyle name="Output 2 2" xfId="806" xr:uid="{868B9F9B-667E-4F4E-AC42-FC4F489CB68D}"/>
    <cellStyle name="Output 2 3" xfId="651" xr:uid="{B5A3D20B-4584-4D4F-B9C7-E8488A6C23BE}"/>
    <cellStyle name="Output 3" xfId="652" xr:uid="{06436D1D-8BB7-4628-9EA9-12D6FC22BB0A}"/>
    <cellStyle name="Output 4" xfId="653" xr:uid="{6FD8334D-DB5B-4630-81A8-BD868D298189}"/>
    <cellStyle name="Output 5" xfId="654" xr:uid="{1D3CCAC3-AAD0-459B-B647-1D3C3BE34F01}"/>
    <cellStyle name="Output 6" xfId="655" xr:uid="{26FD6B34-F510-4192-9020-53C7C8AA0209}"/>
    <cellStyle name="Output 7" xfId="656" xr:uid="{E462345A-6513-4121-9711-FF362BF6DCF1}"/>
    <cellStyle name="Output 8" xfId="657" xr:uid="{94957617-06E5-49AE-AB00-F8F922E700A8}"/>
    <cellStyle name="Output 9" xfId="658" xr:uid="{9DC6D9F4-C9EC-4F7E-B76A-0C28FDD3DEC9}"/>
    <cellStyle name="Percent" xfId="2" builtinId="5"/>
    <cellStyle name="Percent [2]" xfId="84" xr:uid="{00000000-0005-0000-0000-000058000000}"/>
    <cellStyle name="Percent 10" xfId="932" xr:uid="{FB1570F1-7578-4FAD-BB88-C18527592552}"/>
    <cellStyle name="Percent 11" xfId="939" xr:uid="{7AE6E81E-F411-42C0-A1D6-589223235D82}"/>
    <cellStyle name="Percent 12" xfId="1017" xr:uid="{13BBC6A7-4A41-4785-B24C-CEC1AD4782DA}"/>
    <cellStyle name="Percent 13" xfId="1001" xr:uid="{11B89A78-EBF2-4925-A9DD-72416425FF84}"/>
    <cellStyle name="Percent 14" xfId="1005" xr:uid="{315724E4-062B-4765-9C10-C07216F846DA}"/>
    <cellStyle name="Percent 15" xfId="994" xr:uid="{7DB09506-9926-4C30-A23C-6154A44DC063}"/>
    <cellStyle name="Percent 16" xfId="1490" xr:uid="{C4D6394C-3D02-4661-9E8C-77AA478929E7}"/>
    <cellStyle name="Percent 17" xfId="1010" xr:uid="{1F9FB357-76B2-48C6-9E1F-444336BFB2C0}"/>
    <cellStyle name="Percent 18" xfId="1019" xr:uid="{276BE303-10C9-4C7C-AD95-CCB0C7BDCA45}"/>
    <cellStyle name="Percent 19" xfId="996" xr:uid="{5CEBFF43-1967-4B66-A658-E098DB32EC52}"/>
    <cellStyle name="Percent 2" xfId="85" xr:uid="{00000000-0005-0000-0000-000059000000}"/>
    <cellStyle name="Percent 2 2" xfId="710" xr:uid="{5F566A33-788D-4491-BA80-85773E6ABBA7}"/>
    <cellStyle name="Percent 2 2 2" xfId="722" xr:uid="{BDD03D9D-A05C-45DE-B7D8-9F969CC45511}"/>
    <cellStyle name="Percent 2 2 2 2" xfId="759" xr:uid="{7D0A15BA-9EB9-4B73-89D5-75F2F55338A9}"/>
    <cellStyle name="Percent 2 2 2 2 2" xfId="914" xr:uid="{99B3F488-4664-4E01-BFAB-C0FABD9C30A8}"/>
    <cellStyle name="Percent 2 2 2 2 2 2" xfId="1245" xr:uid="{41688BAB-4B30-4E89-969D-FD0B5B4D6AEB}"/>
    <cellStyle name="Percent 2 2 2 2 2 2 2" xfId="1478" xr:uid="{AAD5EAEB-A357-42D6-86FB-6D478523F5C3}"/>
    <cellStyle name="Percent 2 2 2 2 2 3" xfId="1362" xr:uid="{0FB9F9BB-5D75-4020-82D7-2C4364DA421F}"/>
    <cellStyle name="Percent 2 2 2 2 2 4" xfId="1126" xr:uid="{EF1AA621-7718-46D6-AC53-D2FB3F60416D}"/>
    <cellStyle name="Percent 2 2 2 2 3" xfId="984" xr:uid="{B1F05F6C-B390-40EA-B343-C566D8DD604C}"/>
    <cellStyle name="Percent 2 2 2 2 3 2" xfId="1422" xr:uid="{BBD119E7-0FC4-4E68-B34A-A90D652EEE0C}"/>
    <cellStyle name="Percent 2 2 2 2 3 3" xfId="1189" xr:uid="{6C317745-1C34-4BBA-82D2-4F24D0D8C069}"/>
    <cellStyle name="Percent 2 2 2 2 4" xfId="1306" xr:uid="{8A14BC25-43A7-47D0-8C1C-78F2081802AB}"/>
    <cellStyle name="Percent 2 2 2 2 5" xfId="1069" xr:uid="{CB0CE082-3FD8-4C7A-BC45-D657324A4C73}"/>
    <cellStyle name="Percent 2 2 2 3" xfId="881" xr:uid="{79E3FAC0-D3ED-4B7C-8C40-AAF91A32B3F2}"/>
    <cellStyle name="Percent 2 2 2 3 2" xfId="1215" xr:uid="{16D41656-864B-4625-85C3-899CC98BD310}"/>
    <cellStyle name="Percent 2 2 2 3 2 2" xfId="1448" xr:uid="{E1453BE3-5FF1-4B5C-887E-F8C2872DC576}"/>
    <cellStyle name="Percent 2 2 2 3 3" xfId="1332" xr:uid="{C36D18BC-0C1A-4676-B3D9-8FEFF81F12E3}"/>
    <cellStyle name="Percent 2 2 2 3 4" xfId="1096" xr:uid="{E9D05171-8549-4045-95DE-D2677DB08E9D}"/>
    <cellStyle name="Percent 2 2 2 4" xfId="954" xr:uid="{2BC70880-FB56-4C6D-B3C1-D1D222A4FF4B}"/>
    <cellStyle name="Percent 2 2 2 4 2" xfId="1396" xr:uid="{DE582128-E9D5-4F43-923A-E3CD7F05F6D4}"/>
    <cellStyle name="Percent 2 2 2 4 3" xfId="1163" xr:uid="{FFC31374-59B4-461A-B16A-6A38C5AF4DCB}"/>
    <cellStyle name="Percent 2 2 2 5" xfId="1280" xr:uid="{BDB68D74-C350-4EDC-A83C-9006A8FA1F85}"/>
    <cellStyle name="Percent 2 2 2 6" xfId="1043" xr:uid="{F79B9E8B-24CA-419A-A2E1-D4C5134BA55B}"/>
    <cellStyle name="Percent 2 2 3" xfId="730" xr:uid="{F32A737C-2306-44ED-9157-B3D163846A14}"/>
    <cellStyle name="Percent 2 2 3 2" xfId="767" xr:uid="{E657F6D9-E0AA-4D8B-92C4-EABED89B476E}"/>
    <cellStyle name="Percent 2 2 3 2 2" xfId="922" xr:uid="{BC6D34E9-33EF-433C-902A-20A87DE028F5}"/>
    <cellStyle name="Percent 2 2 3 2 2 2" xfId="1253" xr:uid="{DC2D2E41-3FC5-4180-B6BA-4B927EA723B8}"/>
    <cellStyle name="Percent 2 2 3 2 2 2 2" xfId="1486" xr:uid="{4B7EA963-8402-4E59-8139-012705EA26BE}"/>
    <cellStyle name="Percent 2 2 3 2 2 3" xfId="1370" xr:uid="{A1B37527-05B3-46E3-A0A4-DAC5ABBF2FBF}"/>
    <cellStyle name="Percent 2 2 3 2 2 4" xfId="1134" xr:uid="{77B232BD-EF62-4D0A-B9C3-B0DF78598044}"/>
    <cellStyle name="Percent 2 2 3 2 3" xfId="992" xr:uid="{B690CDB8-EDC9-44D9-8D4E-39F1E9A35023}"/>
    <cellStyle name="Percent 2 2 3 2 3 2" xfId="1430" xr:uid="{08EEE802-44F5-4F43-96F8-92A9476EE4D6}"/>
    <cellStyle name="Percent 2 2 3 2 3 3" xfId="1197" xr:uid="{5C1C04E1-7084-4333-910C-D20285CC2BE5}"/>
    <cellStyle name="Percent 2 2 3 2 4" xfId="1314" xr:uid="{D823029D-21EE-41FC-B92C-38976A279C31}"/>
    <cellStyle name="Percent 2 2 3 2 5" xfId="1077" xr:uid="{955D8B21-0F5E-4361-8715-390646E07FE5}"/>
    <cellStyle name="Percent 2 2 3 3" xfId="889" xr:uid="{9EF5348F-4454-449B-89AE-C2C15C4F53A9}"/>
    <cellStyle name="Percent 2 2 3 3 2" xfId="1223" xr:uid="{558A92A8-DE44-42E9-911A-14AA6455D021}"/>
    <cellStyle name="Percent 2 2 3 3 2 2" xfId="1456" xr:uid="{B97C0724-5A35-409F-846A-809D6DF8C35E}"/>
    <cellStyle name="Percent 2 2 3 3 3" xfId="1340" xr:uid="{DC1F1817-3C6B-4CEC-A655-7E63A634A07D}"/>
    <cellStyle name="Percent 2 2 3 3 4" xfId="1104" xr:uid="{D1860A29-6BD6-451F-A9B3-CEF347F16220}"/>
    <cellStyle name="Percent 2 2 3 4" xfId="962" xr:uid="{95D78603-66E8-4024-A783-3BEEEFD9FEC0}"/>
    <cellStyle name="Percent 2 2 3 4 2" xfId="1404" xr:uid="{3EAB58BA-5BA4-44A8-B4EE-E6301138CFFF}"/>
    <cellStyle name="Percent 2 2 3 4 3" xfId="1171" xr:uid="{F500D14E-AF25-4979-8E0F-8A6D777664FF}"/>
    <cellStyle name="Percent 2 2 3 5" xfId="1288" xr:uid="{6B444173-8074-4761-BC65-0A84B7BA2D3D}"/>
    <cellStyle name="Percent 2 2 3 6" xfId="1051" xr:uid="{61119096-C3F9-47C9-872A-BABE34AA5001}"/>
    <cellStyle name="Percent 2 2 4" xfId="751" xr:uid="{67C08EE6-CC85-474D-9333-46CD53D7D965}"/>
    <cellStyle name="Percent 2 2 4 2" xfId="906" xr:uid="{78D525A1-AB0A-4D6B-A580-B5C2B6A2642F}"/>
    <cellStyle name="Percent 2 2 4 2 2" xfId="1237" xr:uid="{AD0C68EA-2396-4546-802F-535480E3F6A7}"/>
    <cellStyle name="Percent 2 2 4 2 2 2" xfId="1470" xr:uid="{E39EABB1-29B7-43EA-ABBE-7A912A3DA402}"/>
    <cellStyle name="Percent 2 2 4 2 3" xfId="1354" xr:uid="{7EF0AEBC-96D9-464F-91AE-11582A21A53C}"/>
    <cellStyle name="Percent 2 2 4 2 4" xfId="1118" xr:uid="{FEA682B3-D045-43DA-8BE3-B1C208A16ED9}"/>
    <cellStyle name="Percent 2 2 4 3" xfId="976" xr:uid="{E82A8719-362B-4533-8AE7-243A3A10BCEB}"/>
    <cellStyle name="Percent 2 2 4 3 2" xfId="1414" xr:uid="{0D65EABF-9039-4F52-AAD7-86DA9F5E03E7}"/>
    <cellStyle name="Percent 2 2 4 3 3" xfId="1181" xr:uid="{2027761D-7285-42B4-8E52-FD7608B4230C}"/>
    <cellStyle name="Percent 2 2 4 4" xfId="1298" xr:uid="{3B1A5A77-BF21-48C5-B3F7-88AFD7439F34}"/>
    <cellStyle name="Percent 2 2 4 5" xfId="1061" xr:uid="{9C590336-6991-43C1-88EC-9D1707BC96EC}"/>
    <cellStyle name="Percent 2 2 5" xfId="873" xr:uid="{67F12982-8CCE-43D4-8570-78EB238B02D4}"/>
    <cellStyle name="Percent 2 2 5 2" xfId="1207" xr:uid="{24FBBF85-8E4B-4274-9838-CE4688F9E7F0}"/>
    <cellStyle name="Percent 2 2 5 2 2" xfId="1440" xr:uid="{1B8C678E-AC22-4A1F-B582-54F3A8909F73}"/>
    <cellStyle name="Percent 2 2 5 3" xfId="1324" xr:uid="{DCC78229-2BE3-40E8-84E4-1CBCF46CBB87}"/>
    <cellStyle name="Percent 2 2 5 4" xfId="1088" xr:uid="{CCBEFCB9-7912-450F-A502-47923A3928A2}"/>
    <cellStyle name="Percent 2 2 6" xfId="946" xr:uid="{9C4479DA-E787-427F-85A9-A4F58C5AAED7}"/>
    <cellStyle name="Percent 2 2 6 2" xfId="1388" xr:uid="{0668FD38-92E8-479D-86DA-C347453AA5FC}"/>
    <cellStyle name="Percent 2 2 6 3" xfId="1155" xr:uid="{C3634280-881D-4D54-AFF1-030BE9D03180}"/>
    <cellStyle name="Percent 2 2 7" xfId="1272" xr:uid="{EDC9D8FF-2B90-40E7-A280-8190504072A1}"/>
    <cellStyle name="Percent 2 2 8" xfId="1035" xr:uid="{F1CC9E9A-C24E-4D2A-AF01-744365E7B526}"/>
    <cellStyle name="Percent 2 2 9" xfId="1599" xr:uid="{11076CA7-C845-40CF-A3DC-D75A2058016F}"/>
    <cellStyle name="Percent 2 3" xfId="715" xr:uid="{957618BB-BB17-4599-B407-40F2504A0070}"/>
    <cellStyle name="Percent 2 3 2" xfId="723" xr:uid="{C334603A-CB93-4693-802B-1C5DE4FBA56B}"/>
    <cellStyle name="Percent 2 3 2 2" xfId="760" xr:uid="{3D0EB092-A6B4-4128-AF1C-12541BBD9A4F}"/>
    <cellStyle name="Percent 2 3 2 2 2" xfId="915" xr:uid="{3F02A74B-E453-40FC-9FB3-EC91A9EC293C}"/>
    <cellStyle name="Percent 2 3 2 2 2 2" xfId="1246" xr:uid="{ADE6962A-0F5E-4A0E-8526-21507C0C1CE2}"/>
    <cellStyle name="Percent 2 3 2 2 2 2 2" xfId="1479" xr:uid="{20AC5FD3-EE33-4452-B98E-610C5F113420}"/>
    <cellStyle name="Percent 2 3 2 2 2 3" xfId="1363" xr:uid="{8D03E115-34CE-4D64-93FD-487BF1B13253}"/>
    <cellStyle name="Percent 2 3 2 2 2 4" xfId="1127" xr:uid="{2FDBD90E-2E53-432D-97D4-96D689759883}"/>
    <cellStyle name="Percent 2 3 2 2 3" xfId="985" xr:uid="{BB0FB4EE-AE37-4CB9-B3E3-60A6A3E7CA87}"/>
    <cellStyle name="Percent 2 3 2 2 3 2" xfId="1423" xr:uid="{F64ED0DD-0205-438D-B588-ECE37A6A79A6}"/>
    <cellStyle name="Percent 2 3 2 2 3 3" xfId="1190" xr:uid="{45DA7050-7CA6-4E37-883F-A7FA850BCBAA}"/>
    <cellStyle name="Percent 2 3 2 2 4" xfId="1307" xr:uid="{85CC6D77-C8BF-4997-856A-36C792984BC9}"/>
    <cellStyle name="Percent 2 3 2 2 5" xfId="1070" xr:uid="{01CD960F-60E3-4B38-A068-DBECC530CCCB}"/>
    <cellStyle name="Percent 2 3 2 3" xfId="882" xr:uid="{1A56FA07-B24A-4458-ABB7-6A359A1EDDCC}"/>
    <cellStyle name="Percent 2 3 2 3 2" xfId="1216" xr:uid="{9B1E6F73-4710-4375-BD5A-EFF527D46207}"/>
    <cellStyle name="Percent 2 3 2 3 2 2" xfId="1449" xr:uid="{505B5699-6BE1-4703-A3B8-85EACD8AC3DF}"/>
    <cellStyle name="Percent 2 3 2 3 3" xfId="1333" xr:uid="{47773169-E417-4DD5-BE8E-B367EAAC66B7}"/>
    <cellStyle name="Percent 2 3 2 3 4" xfId="1097" xr:uid="{2F36AFF0-A868-453E-9820-59363BF4605B}"/>
    <cellStyle name="Percent 2 3 2 4" xfId="955" xr:uid="{85BACFE1-8D9D-4C9D-B21D-8006B00DF0A3}"/>
    <cellStyle name="Percent 2 3 2 4 2" xfId="1397" xr:uid="{DA623913-9CF7-4071-A1B8-267A5DDBF6F8}"/>
    <cellStyle name="Percent 2 3 2 4 3" xfId="1164" xr:uid="{C90ECF37-3C70-4B50-A8A5-16B86102142B}"/>
    <cellStyle name="Percent 2 3 2 5" xfId="1281" xr:uid="{7801F8DD-CD8B-4ECF-AEE1-D2B6A7D3CE61}"/>
    <cellStyle name="Percent 2 3 2 6" xfId="1044" xr:uid="{25644436-848F-4D06-8082-AC8096CEBBAB}"/>
    <cellStyle name="Percent 2 3 3" xfId="731" xr:uid="{8B53BB45-03F5-45F9-8DFF-41A7D01DF75F}"/>
    <cellStyle name="Percent 2 3 3 2" xfId="768" xr:uid="{B1C85827-EF7C-42A2-9763-9802B30DD390}"/>
    <cellStyle name="Percent 2 3 3 2 2" xfId="923" xr:uid="{484E0AE3-8EB5-4742-9CE6-D005770C2BEC}"/>
    <cellStyle name="Percent 2 3 3 2 2 2" xfId="1254" xr:uid="{5DB3A0DD-8A14-4585-A864-C6B49B4357DE}"/>
    <cellStyle name="Percent 2 3 3 2 2 2 2" xfId="1487" xr:uid="{2865ADB8-6236-479C-B012-F90D868943BE}"/>
    <cellStyle name="Percent 2 3 3 2 2 3" xfId="1371" xr:uid="{D30FF093-2737-41F8-8E8F-A19BC2F3774D}"/>
    <cellStyle name="Percent 2 3 3 2 2 4" xfId="1135" xr:uid="{CFAE250A-5ACB-45AE-800B-4ECD631A2251}"/>
    <cellStyle name="Percent 2 3 3 2 3" xfId="993" xr:uid="{1D9A29FE-9C6E-46DC-9A77-B89E3F3CBDAB}"/>
    <cellStyle name="Percent 2 3 3 2 3 2" xfId="1431" xr:uid="{010D03B1-4B47-44DA-A3AE-EB8FDDD30EC5}"/>
    <cellStyle name="Percent 2 3 3 2 3 3" xfId="1198" xr:uid="{41DCA3EF-8577-4C49-953F-C059C10267E5}"/>
    <cellStyle name="Percent 2 3 3 2 4" xfId="1315" xr:uid="{F63763CF-C887-48B4-A431-E5E833571B72}"/>
    <cellStyle name="Percent 2 3 3 2 5" xfId="1078" xr:uid="{748DDF15-5AF1-41A0-9367-3E4D45F8D759}"/>
    <cellStyle name="Percent 2 3 3 3" xfId="890" xr:uid="{1AB42011-F939-4163-8F76-49C89E7DB62C}"/>
    <cellStyle name="Percent 2 3 3 3 2" xfId="1224" xr:uid="{C677F1C4-0F2E-4219-8507-AB3DF04B2F87}"/>
    <cellStyle name="Percent 2 3 3 3 2 2" xfId="1457" xr:uid="{DCF1D279-FD00-4A7A-B071-A76E8D35B2AE}"/>
    <cellStyle name="Percent 2 3 3 3 3" xfId="1341" xr:uid="{4972E8A8-9A4C-4A17-BD8A-4949B375C5C0}"/>
    <cellStyle name="Percent 2 3 3 3 4" xfId="1105" xr:uid="{165CE284-A2FC-49C7-B2B5-59C4B3A90D7E}"/>
    <cellStyle name="Percent 2 3 3 4" xfId="963" xr:uid="{D211CE6A-38EE-4318-B1FA-11236953FD93}"/>
    <cellStyle name="Percent 2 3 3 4 2" xfId="1405" xr:uid="{1F8B2815-722A-4306-8EA5-152EC4C53F99}"/>
    <cellStyle name="Percent 2 3 3 4 3" xfId="1172" xr:uid="{9A17229A-0A23-42FB-A386-6025C0AF1AA0}"/>
    <cellStyle name="Percent 2 3 3 5" xfId="1289" xr:uid="{B69FA835-8DA6-4470-B8B5-4F2EC6C92574}"/>
    <cellStyle name="Percent 2 3 3 6" xfId="1052" xr:uid="{4229D542-344F-4FED-9745-1DCB82C2A25B}"/>
    <cellStyle name="Percent 2 3 4" xfId="752" xr:uid="{A06D54FA-1BE7-4EC7-A4CE-2E5ED86DC7F8}"/>
    <cellStyle name="Percent 2 3 4 2" xfId="907" xr:uid="{C9A63241-03B1-4A5F-B3A3-82EAB8F1E8B6}"/>
    <cellStyle name="Percent 2 3 4 2 2" xfId="1238" xr:uid="{06666921-8819-4BAD-BB2E-C28B6D172465}"/>
    <cellStyle name="Percent 2 3 4 2 2 2" xfId="1471" xr:uid="{75245791-C09F-4E64-90AF-4CC00FEAC8C5}"/>
    <cellStyle name="Percent 2 3 4 2 3" xfId="1355" xr:uid="{1753C37D-B412-4B6E-89EA-CA9A85CB8A9C}"/>
    <cellStyle name="Percent 2 3 4 2 4" xfId="1119" xr:uid="{FA2C178F-FECC-4FF1-B1CF-092C95D56237}"/>
    <cellStyle name="Percent 2 3 4 3" xfId="977" xr:uid="{15CDCB16-6A58-45E5-98A8-0FB701935A23}"/>
    <cellStyle name="Percent 2 3 4 3 2" xfId="1415" xr:uid="{40D3D8C4-31D1-4158-950F-E62F909951EC}"/>
    <cellStyle name="Percent 2 3 4 3 3" xfId="1182" xr:uid="{8BF9878D-6AD9-4640-86F8-6381C4488A5E}"/>
    <cellStyle name="Percent 2 3 4 4" xfId="1299" xr:uid="{EA845108-13B8-4213-8F1E-022A1DFBE373}"/>
    <cellStyle name="Percent 2 3 4 5" xfId="1062" xr:uid="{585185B1-1F12-41A8-8768-5FF189C2F07A}"/>
    <cellStyle name="Percent 2 3 5" xfId="874" xr:uid="{5E82E133-C67A-4986-A03F-CF24947BB3F0}"/>
    <cellStyle name="Percent 2 3 5 2" xfId="1208" xr:uid="{FD1FE9F1-D9B3-4F5A-98AC-8ABCD1A80B0C}"/>
    <cellStyle name="Percent 2 3 5 2 2" xfId="1441" xr:uid="{4382CE8D-E9E4-4259-8E9E-98D00809D4DE}"/>
    <cellStyle name="Percent 2 3 5 3" xfId="1325" xr:uid="{D6D89290-7914-4588-AA44-ED4448B728D9}"/>
    <cellStyle name="Percent 2 3 5 4" xfId="1089" xr:uid="{8F0C975D-EACE-4C08-A195-E228E14156E8}"/>
    <cellStyle name="Percent 2 3 6" xfId="947" xr:uid="{3B956D36-FB19-4557-8C02-9B43DC27B55B}"/>
    <cellStyle name="Percent 2 3 6 2" xfId="1389" xr:uid="{E2417F6D-06E6-4402-A2F3-3C36E3214CEE}"/>
    <cellStyle name="Percent 2 3 6 3" xfId="1156" xr:uid="{BD8B0B01-D36E-4B3B-BCF0-186DC0A359ED}"/>
    <cellStyle name="Percent 2 3 7" xfId="1273" xr:uid="{1E4F2552-9B0C-4E02-AD0B-3FA68BA722F5}"/>
    <cellStyle name="Percent 2 3 8" xfId="1036" xr:uid="{504F4993-2E2D-41CB-A02A-94ACD62B22AD}"/>
    <cellStyle name="Percent 2 3 9" xfId="1632" xr:uid="{328C826B-3EE9-4765-A4C9-86C8DA2B2B26}"/>
    <cellStyle name="Percent 2 4" xfId="1491" xr:uid="{63A4295F-CB30-4A18-B766-1E2FF7F4C0D1}"/>
    <cellStyle name="Percent 2 5" xfId="660" xr:uid="{4942AEF8-1E46-4CCB-B071-0521E2369A69}"/>
    <cellStyle name="Percent 2 6" xfId="1564" xr:uid="{ED940744-9E62-4A76-A09E-3BCDC8013F72}"/>
    <cellStyle name="Percent 20" xfId="995" xr:uid="{88286FDA-7BF1-4A87-994E-478ECAFFCA49}"/>
    <cellStyle name="Percent 21" xfId="997" xr:uid="{DF070F17-16A0-4CF6-8DC2-A1F7AEF91A35}"/>
    <cellStyle name="Percent 22" xfId="1008" xr:uid="{072A6A8E-01B0-4277-9BF1-06FF2876414E}"/>
    <cellStyle name="Percent 23" xfId="1492" xr:uid="{59092509-D486-4035-A998-EF1E88800E41}"/>
    <cellStyle name="Percent 24" xfId="1011" xr:uid="{E2BF0BF1-3FF5-4A5B-B1B1-5DE1DD784078}"/>
    <cellStyle name="Percent 25" xfId="1494" xr:uid="{0ADD595E-96F4-45BC-9CFA-23D5819380C5}"/>
    <cellStyle name="Percent 26" xfId="1021" xr:uid="{152B16FB-9AAC-47DA-BB25-B6E03715D3AB}"/>
    <cellStyle name="Percent 27" xfId="998" xr:uid="{B053958A-9854-45B4-932F-35BD075BE6CC}"/>
    <cellStyle name="Percent 28" xfId="1007" xr:uid="{CA176766-B462-4A0E-8185-4B333BBC4162}"/>
    <cellStyle name="Percent 29" xfId="1496" xr:uid="{E80A7E8B-47C6-4E4B-AF4D-7F99345B9FDD}"/>
    <cellStyle name="Percent 3" xfId="86" xr:uid="{00000000-0005-0000-0000-00005A000000}"/>
    <cellStyle name="Percent 3 2" xfId="87" xr:uid="{00000000-0005-0000-0000-00005B000000}"/>
    <cellStyle name="Percent 3 2 2" xfId="846" xr:uid="{3040551E-A83F-4526-9243-69DD6D01574C}"/>
    <cellStyle name="Percent 3 2 2 2" xfId="1612" xr:uid="{CE8721E5-7D04-4B51-A390-52D49BD5D2E9}"/>
    <cellStyle name="Percent 3 2 3" xfId="99" xr:uid="{00000000-0005-0000-0000-00005C000000}"/>
    <cellStyle name="Percent 3 2 3 2" xfId="1642" xr:uid="{C7B43141-A610-4E55-81D9-4A9C57B8E057}"/>
    <cellStyle name="Percent 3 2 4" xfId="711" xr:uid="{CFAB68E3-4DA1-4B36-806A-2EF59B608AF7}"/>
    <cellStyle name="Percent 3 2 5" xfId="1577" xr:uid="{9662C7D4-AD5C-4DD7-B4E7-A0AB5F3E568A}"/>
    <cellStyle name="Percent 3 3" xfId="735" xr:uid="{B1055DFC-E471-4EEA-9D50-1A88F26CD4BA}"/>
    <cellStyle name="Percent 3 3 2" xfId="1602" xr:uid="{57305F4D-EDB2-4D36-8225-FA5A165900D4}"/>
    <cellStyle name="Percent 3 4" xfId="842" xr:uid="{18429C23-B04A-4925-B20D-809EF7B2CD13}"/>
    <cellStyle name="Percent 3 4 2" xfId="1635" xr:uid="{1DDF8FEE-45D4-4CB0-AB31-1185FCC7F460}"/>
    <cellStyle name="Percent 3 5" xfId="661" xr:uid="{4A961E52-7858-4D07-90B6-5933D4465ABC}"/>
    <cellStyle name="Percent 3 6" xfId="1567" xr:uid="{70458123-3BD2-4E89-975D-DB9530A3D3BE}"/>
    <cellStyle name="Percent 30" xfId="1018" xr:uid="{F10D3621-BAA6-4330-8044-79E95329A343}"/>
    <cellStyle name="Percent 31" xfId="1020" xr:uid="{3E4921C8-B9E3-47DF-8C3B-46F7F146FFFC}"/>
    <cellStyle name="Percent 32" xfId="1009" xr:uid="{9617C96B-923A-46D2-BD6C-665997BF16C1}"/>
    <cellStyle name="Percent 33" xfId="1495" xr:uid="{BDCA4C26-8227-48E4-8115-35D488F4B99B}"/>
    <cellStyle name="Percent 34" xfId="1003" xr:uid="{60C11D62-61CC-45E3-9415-54E833E12B30}"/>
    <cellStyle name="Percent 35" xfId="1493" xr:uid="{DC2BAC89-00D5-4A3B-B29A-B39718E8F0C6}"/>
    <cellStyle name="Percent 36" xfId="1497" xr:uid="{02F7BAE4-5DEA-494F-9256-E9442B1864E3}"/>
    <cellStyle name="Percent 37" xfId="1499" xr:uid="{C81CE211-9D11-4567-9F40-51E90814147B}"/>
    <cellStyle name="Percent 38" xfId="1501" xr:uid="{68B9045E-FE4E-45DA-8A94-460D0B107C41}"/>
    <cellStyle name="Percent 39" xfId="1503" xr:uid="{BBB9BA4E-CEBE-4741-8055-9095E4630484}"/>
    <cellStyle name="Percent 4" xfId="88" xr:uid="{00000000-0005-0000-0000-00005D000000}"/>
    <cellStyle name="Percent 4 2" xfId="864" xr:uid="{C729B1F8-E543-471E-8920-B5EFAA934FCB}"/>
    <cellStyle name="Percent 4 2 2" xfId="1605" xr:uid="{FC82A935-AE04-4B1B-B96C-D26214972BFC}"/>
    <cellStyle name="Percent 4 3" xfId="712" xr:uid="{55D2CD74-19FC-40BE-B10B-80E3CC32F985}"/>
    <cellStyle name="Percent 4 3 2" xfId="1637" xr:uid="{E466A553-F57C-4915-B33E-AC2031F53E0C}"/>
    <cellStyle name="Percent 4 4" xfId="1569" xr:uid="{8C18DBF0-E732-42B7-98C6-0B0E42ADB1FD}"/>
    <cellStyle name="Percent 40" xfId="1505" xr:uid="{6186B9CC-7DF7-4DE1-B26B-37F54E2FE527}"/>
    <cellStyle name="Percent 41" xfId="1507" xr:uid="{C3FE416F-455E-427D-BF1E-166A567ACECC}"/>
    <cellStyle name="Percent 42" xfId="1509" xr:uid="{17975B7A-5585-4B35-AD6C-A95C737F6F36}"/>
    <cellStyle name="Percent 43" xfId="1511" xr:uid="{ED3CC2E2-376F-4E95-B580-3998411C884D}"/>
    <cellStyle name="Percent 44" xfId="1513" xr:uid="{7E48C945-A29D-45B4-8D15-6B4E5E396A36}"/>
    <cellStyle name="Percent 45" xfId="1515" xr:uid="{8AA11831-538B-4C4C-8842-9B72706654B5}"/>
    <cellStyle name="Percent 46" xfId="1517" xr:uid="{A02A0402-8161-4A49-9DC6-0D06618F876A}"/>
    <cellStyle name="Percent 47" xfId="1519" xr:uid="{A6709786-5F9B-4B09-B051-65D55B309133}"/>
    <cellStyle name="Percent 48" xfId="1521" xr:uid="{23263B67-DA48-4959-A266-D04B85B13A50}"/>
    <cellStyle name="Percent 49" xfId="659" xr:uid="{A9361BA9-887F-4091-9842-A632E38243DD}"/>
    <cellStyle name="Percent 5" xfId="89" xr:uid="{00000000-0005-0000-0000-00005E000000}"/>
    <cellStyle name="Percent 5 2" xfId="744" xr:uid="{C51EA53D-BD39-4949-B029-F588B38C9096}"/>
    <cellStyle name="Percent 50" xfId="1656" xr:uid="{FF74C78B-97AF-4B74-9835-2777537B4F78}"/>
    <cellStyle name="Percent 51" xfId="1658" xr:uid="{2DD4260E-C036-4567-AD29-8B91710E508B}"/>
    <cellStyle name="Percent 52" xfId="1659" xr:uid="{068C6EAA-415F-488C-85C3-7276C9FC409C}"/>
    <cellStyle name="Percent 6" xfId="739" xr:uid="{00E4EDF4-04AE-4A8A-A445-3F1770962B6D}"/>
    <cellStyle name="Percent 6 2" xfId="896" xr:uid="{133A4BC4-9BF1-4B85-9B40-BC456A15AB6C}"/>
    <cellStyle name="Percent 6 2 2" xfId="1461" xr:uid="{E3077FF0-236A-462E-A858-57FA2C3BC860}"/>
    <cellStyle name="Percent 6 2 3" xfId="1228" xr:uid="{A7EDCDC1-20D6-435E-870C-68C5F715E7C6}"/>
    <cellStyle name="Percent 6 3" xfId="967" xr:uid="{89B06886-1275-4116-8A5C-BAE4447F47F1}"/>
    <cellStyle name="Percent 6 3 2" xfId="1345" xr:uid="{D312287E-6135-4A4E-B1DC-83B1838D1694}"/>
    <cellStyle name="Percent 6 4" xfId="1109" xr:uid="{38ECC924-6877-4C16-8D0F-B18EF5D0A5CC}"/>
    <cellStyle name="Percent 7" xfId="929" xr:uid="{E3721F02-5F4C-4E9C-9734-E0FFFDC69449}"/>
    <cellStyle name="Percent 7 2" xfId="1142" xr:uid="{06CD519F-2993-4E2E-BEEC-92D8F5DA0F5F}"/>
    <cellStyle name="Percent 8" xfId="930" xr:uid="{B03B89C8-5F04-4F53-8156-073A14975EDC}"/>
    <cellStyle name="Percent 8 2" xfId="1258" xr:uid="{757B7B4C-F691-4D83-BEE6-CC035DAC7294}"/>
    <cellStyle name="Percent 9" xfId="933" xr:uid="{9A749FCD-075B-4097-874D-65B6CE283A39}"/>
    <cellStyle name="Style 23" xfId="3" xr:uid="{00000000-0005-0000-0000-00005F000000}"/>
    <cellStyle name="Style 23 2" xfId="714" xr:uid="{58BF3198-1938-4CE3-8788-C79370C43328}"/>
    <cellStyle name="Style 23 3" xfId="713" xr:uid="{7D65EC76-69C8-40B7-9320-37CD6834A8FC}"/>
    <cellStyle name="STYLE1" xfId="90" xr:uid="{00000000-0005-0000-0000-000060000000}"/>
    <cellStyle name="STYLE2" xfId="91" xr:uid="{00000000-0005-0000-0000-000061000000}"/>
    <cellStyle name="STYLE4" xfId="92" xr:uid="{00000000-0005-0000-0000-000062000000}"/>
    <cellStyle name="Subtotal" xfId="93" xr:uid="{00000000-0005-0000-0000-000063000000}"/>
    <cellStyle name="Title 2" xfId="94" xr:uid="{00000000-0005-0000-0000-000064000000}"/>
    <cellStyle name="Title 2 2" xfId="1022" xr:uid="{0CB3792D-C93A-46FD-BA8F-B2566CC7F30E}"/>
    <cellStyle name="Title 3" xfId="793" xr:uid="{00A40A86-F2D4-46E7-BC07-5190D5DAED0C}"/>
    <cellStyle name="Total 10" xfId="662" xr:uid="{B8C97E61-A9F6-4417-B045-67D836D6A9E9}"/>
    <cellStyle name="Total 11" xfId="663" xr:uid="{4AFD8423-901D-4C1F-9483-BFF2E575BAF2}"/>
    <cellStyle name="Total 12" xfId="664" xr:uid="{03F47C12-3FB6-4CC5-8599-93F0CE2E6212}"/>
    <cellStyle name="Total 13" xfId="665" xr:uid="{40376B34-1598-432D-849E-19D337D84FAB}"/>
    <cellStyle name="Total 14" xfId="666" xr:uid="{E0EC608F-D44D-4DA9-8508-F7B07A6D62C3}"/>
    <cellStyle name="Total 15" xfId="667" xr:uid="{47B510AC-5742-44FB-8E21-028FBFA1CE2D}"/>
    <cellStyle name="Total 16" xfId="794" xr:uid="{0AD3E2A5-2193-4C63-B928-834750545801}"/>
    <cellStyle name="Total 17" xfId="1543" xr:uid="{3EC4D3CD-718E-41FA-9386-6749F39F03AD}"/>
    <cellStyle name="Total 18" xfId="1535" xr:uid="{CF971472-34CA-4B8A-B909-EA590493A870}"/>
    <cellStyle name="Total 2" xfId="95" xr:uid="{00000000-0005-0000-0000-000065000000}"/>
    <cellStyle name="Total 2 2" xfId="813" xr:uid="{28FAF2D3-4A09-434B-BD0C-CA27F6C494BC}"/>
    <cellStyle name="Total 2 3" xfId="668" xr:uid="{EC04D9DC-5173-4E4A-A489-F66F37367CE0}"/>
    <cellStyle name="Total 3" xfId="669" xr:uid="{BD127B31-8186-4B6D-8D0E-706E3F42F845}"/>
    <cellStyle name="Total 4" xfId="670" xr:uid="{A4DD1224-D6AA-40BD-806E-86C4453F2752}"/>
    <cellStyle name="Total 5" xfId="671" xr:uid="{EAE319E5-2D49-4304-92BB-167E6B681D0C}"/>
    <cellStyle name="Total 6" xfId="672" xr:uid="{A15C169C-84D9-47ED-8D17-D0385D36B226}"/>
    <cellStyle name="Total 7" xfId="673" xr:uid="{001D1633-CA86-4CA9-A6F6-68C601CA5879}"/>
    <cellStyle name="Total 8" xfId="674" xr:uid="{218F9980-F3A4-458A-9A94-FAE3D15DAB05}"/>
    <cellStyle name="Total 9" xfId="675" xr:uid="{B0DC51FE-90E2-46C3-9684-9FBDAA24DFF5}"/>
    <cellStyle name="Warning Text 10" xfId="676" xr:uid="{9D27EA6C-1766-4A37-B121-CA1B3ECB5E10}"/>
    <cellStyle name="Warning Text 11" xfId="677" xr:uid="{96E5491B-6C27-43BA-8188-BF6514EAF449}"/>
    <cellStyle name="Warning Text 12" xfId="678" xr:uid="{B9487338-0B7E-406F-913B-9087095D8D55}"/>
    <cellStyle name="Warning Text 13" xfId="679" xr:uid="{C4D2BB42-FB9F-4845-8E8F-6C5172FFC117}"/>
    <cellStyle name="Warning Text 14" xfId="680" xr:uid="{61778BEC-7724-4B4C-87C2-D72F67BE4508}"/>
    <cellStyle name="Warning Text 15" xfId="681" xr:uid="{2851631C-9765-4B86-B376-AEA1567F9E81}"/>
    <cellStyle name="Warning Text 16" xfId="795" xr:uid="{733EE28F-3587-4E0F-8BFA-69D5A0401452}"/>
    <cellStyle name="Warning Text 2" xfId="96" xr:uid="{00000000-0005-0000-0000-000066000000}"/>
    <cellStyle name="Warning Text 2 2" xfId="810" xr:uid="{2B837EDB-828B-4983-B609-910661F9A201}"/>
    <cellStyle name="Warning Text 2 3" xfId="682" xr:uid="{5B3BC198-7405-44C4-9AC4-99FF46EBC9BD}"/>
    <cellStyle name="Warning Text 3" xfId="683" xr:uid="{A5BA6059-1DE1-47EF-A0D4-B76430AED1F7}"/>
    <cellStyle name="Warning Text 4" xfId="684" xr:uid="{7F31B44A-BE13-4D1F-85C8-5DFE23E7654B}"/>
    <cellStyle name="Warning Text 5" xfId="685" xr:uid="{968A673C-2DBC-4706-B115-EB4C7B1B7AF0}"/>
    <cellStyle name="Warning Text 6" xfId="686" xr:uid="{3B092DE0-F827-405B-90DE-31D01E1505C0}"/>
    <cellStyle name="Warning Text 7" xfId="687" xr:uid="{BDED9789-8E45-4E4A-AD10-EB0825BE44E9}"/>
    <cellStyle name="Warning Text 8" xfId="688" xr:uid="{0708A765-B026-48C5-AF8A-0EAAC65DA0A0}"/>
    <cellStyle name="Warning Text 9" xfId="689" xr:uid="{9C40819F-8CFD-4A5D-B22B-6FD37B9AECC8}"/>
  </cellStyles>
  <dxfs count="0"/>
  <tableStyles count="0" defaultTableStyle="TableStyleMedium2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96AF-C035-4C8C-A8D1-A57E5B3DA071}">
  <sheetPr codeName="Sheet4">
    <tabColor rgb="FFFFFF00"/>
  </sheetPr>
  <dimension ref="A1:V155"/>
  <sheetViews>
    <sheetView showGridLines="0" topLeftCell="A119" zoomScale="80" zoomScaleNormal="80" workbookViewId="0">
      <selection activeCell="C140" sqref="C140"/>
    </sheetView>
  </sheetViews>
  <sheetFormatPr defaultRowHeight="12.75" x14ac:dyDescent="0.2"/>
  <cols>
    <col min="1" max="3" width="14.5703125" style="57" customWidth="1"/>
    <col min="4" max="6" width="14.5703125" style="60" customWidth="1"/>
    <col min="7" max="8" width="14.5703125" style="57" customWidth="1"/>
    <col min="9" max="12" width="14" style="57" customWidth="1"/>
    <col min="13" max="13" width="14.5703125" style="58" bestFit="1" customWidth="1"/>
    <col min="14" max="20" width="14" style="57" customWidth="1"/>
    <col min="21" max="22" width="13.28515625" style="57" customWidth="1"/>
    <col min="23" max="247" width="9.140625" style="57"/>
    <col min="248" max="248" width="31" style="57" customWidth="1"/>
    <col min="249" max="249" width="18.5703125" style="57" customWidth="1"/>
    <col min="250" max="250" width="3.85546875" style="57" customWidth="1"/>
    <col min="251" max="251" width="18.7109375" style="57" customWidth="1"/>
    <col min="252" max="260" width="14" style="57" customWidth="1"/>
    <col min="261" max="261" width="13" style="57" bestFit="1" customWidth="1"/>
    <col min="262" max="262" width="14.5703125" style="57" bestFit="1" customWidth="1"/>
    <col min="263" max="263" width="12.140625" style="57" bestFit="1" customWidth="1"/>
    <col min="264" max="274" width="14" style="57" customWidth="1"/>
    <col min="275" max="278" width="13.28515625" style="57" customWidth="1"/>
    <col min="279" max="503" width="9.140625" style="57"/>
    <col min="504" max="504" width="31" style="57" customWidth="1"/>
    <col min="505" max="505" width="18.5703125" style="57" customWidth="1"/>
    <col min="506" max="506" width="3.85546875" style="57" customWidth="1"/>
    <col min="507" max="507" width="18.7109375" style="57" customWidth="1"/>
    <col min="508" max="516" width="14" style="57" customWidth="1"/>
    <col min="517" max="517" width="13" style="57" bestFit="1" customWidth="1"/>
    <col min="518" max="518" width="14.5703125" style="57" bestFit="1" customWidth="1"/>
    <col min="519" max="519" width="12.140625" style="57" bestFit="1" customWidth="1"/>
    <col min="520" max="530" width="14" style="57" customWidth="1"/>
    <col min="531" max="534" width="13.28515625" style="57" customWidth="1"/>
    <col min="535" max="759" width="9.140625" style="57"/>
    <col min="760" max="760" width="31" style="57" customWidth="1"/>
    <col min="761" max="761" width="18.5703125" style="57" customWidth="1"/>
    <col min="762" max="762" width="3.85546875" style="57" customWidth="1"/>
    <col min="763" max="763" width="18.7109375" style="57" customWidth="1"/>
    <col min="764" max="772" width="14" style="57" customWidth="1"/>
    <col min="773" max="773" width="13" style="57" bestFit="1" customWidth="1"/>
    <col min="774" max="774" width="14.5703125" style="57" bestFit="1" customWidth="1"/>
    <col min="775" max="775" width="12.140625" style="57" bestFit="1" customWidth="1"/>
    <col min="776" max="786" width="14" style="57" customWidth="1"/>
    <col min="787" max="790" width="13.28515625" style="57" customWidth="1"/>
    <col min="791" max="1015" width="9.140625" style="57"/>
    <col min="1016" max="1016" width="31" style="57" customWidth="1"/>
    <col min="1017" max="1017" width="18.5703125" style="57" customWidth="1"/>
    <col min="1018" max="1018" width="3.85546875" style="57" customWidth="1"/>
    <col min="1019" max="1019" width="18.7109375" style="57" customWidth="1"/>
    <col min="1020" max="1028" width="14" style="57" customWidth="1"/>
    <col min="1029" max="1029" width="13" style="57" bestFit="1" customWidth="1"/>
    <col min="1030" max="1030" width="14.5703125" style="57" bestFit="1" customWidth="1"/>
    <col min="1031" max="1031" width="12.140625" style="57" bestFit="1" customWidth="1"/>
    <col min="1032" max="1042" width="14" style="57" customWidth="1"/>
    <col min="1043" max="1046" width="13.28515625" style="57" customWidth="1"/>
    <col min="1047" max="1271" width="9.140625" style="57"/>
    <col min="1272" max="1272" width="31" style="57" customWidth="1"/>
    <col min="1273" max="1273" width="18.5703125" style="57" customWidth="1"/>
    <col min="1274" max="1274" width="3.85546875" style="57" customWidth="1"/>
    <col min="1275" max="1275" width="18.7109375" style="57" customWidth="1"/>
    <col min="1276" max="1284" width="14" style="57" customWidth="1"/>
    <col min="1285" max="1285" width="13" style="57" bestFit="1" customWidth="1"/>
    <col min="1286" max="1286" width="14.5703125" style="57" bestFit="1" customWidth="1"/>
    <col min="1287" max="1287" width="12.140625" style="57" bestFit="1" customWidth="1"/>
    <col min="1288" max="1298" width="14" style="57" customWidth="1"/>
    <col min="1299" max="1302" width="13.28515625" style="57" customWidth="1"/>
    <col min="1303" max="1527" width="9.140625" style="57"/>
    <col min="1528" max="1528" width="31" style="57" customWidth="1"/>
    <col min="1529" max="1529" width="18.5703125" style="57" customWidth="1"/>
    <col min="1530" max="1530" width="3.85546875" style="57" customWidth="1"/>
    <col min="1531" max="1531" width="18.7109375" style="57" customWidth="1"/>
    <col min="1532" max="1540" width="14" style="57" customWidth="1"/>
    <col min="1541" max="1541" width="13" style="57" bestFit="1" customWidth="1"/>
    <col min="1542" max="1542" width="14.5703125" style="57" bestFit="1" customWidth="1"/>
    <col min="1543" max="1543" width="12.140625" style="57" bestFit="1" customWidth="1"/>
    <col min="1544" max="1554" width="14" style="57" customWidth="1"/>
    <col min="1555" max="1558" width="13.28515625" style="57" customWidth="1"/>
    <col min="1559" max="1783" width="9.140625" style="57"/>
    <col min="1784" max="1784" width="31" style="57" customWidth="1"/>
    <col min="1785" max="1785" width="18.5703125" style="57" customWidth="1"/>
    <col min="1786" max="1786" width="3.85546875" style="57" customWidth="1"/>
    <col min="1787" max="1787" width="18.7109375" style="57" customWidth="1"/>
    <col min="1788" max="1796" width="14" style="57" customWidth="1"/>
    <col min="1797" max="1797" width="13" style="57" bestFit="1" customWidth="1"/>
    <col min="1798" max="1798" width="14.5703125" style="57" bestFit="1" customWidth="1"/>
    <col min="1799" max="1799" width="12.140625" style="57" bestFit="1" customWidth="1"/>
    <col min="1800" max="1810" width="14" style="57" customWidth="1"/>
    <col min="1811" max="1814" width="13.28515625" style="57" customWidth="1"/>
    <col min="1815" max="2039" width="9.140625" style="57"/>
    <col min="2040" max="2040" width="31" style="57" customWidth="1"/>
    <col min="2041" max="2041" width="18.5703125" style="57" customWidth="1"/>
    <col min="2042" max="2042" width="3.85546875" style="57" customWidth="1"/>
    <col min="2043" max="2043" width="18.7109375" style="57" customWidth="1"/>
    <col min="2044" max="2052" width="14" style="57" customWidth="1"/>
    <col min="2053" max="2053" width="13" style="57" bestFit="1" customWidth="1"/>
    <col min="2054" max="2054" width="14.5703125" style="57" bestFit="1" customWidth="1"/>
    <col min="2055" max="2055" width="12.140625" style="57" bestFit="1" customWidth="1"/>
    <col min="2056" max="2066" width="14" style="57" customWidth="1"/>
    <col min="2067" max="2070" width="13.28515625" style="57" customWidth="1"/>
    <col min="2071" max="2295" width="9.140625" style="57"/>
    <col min="2296" max="2296" width="31" style="57" customWidth="1"/>
    <col min="2297" max="2297" width="18.5703125" style="57" customWidth="1"/>
    <col min="2298" max="2298" width="3.85546875" style="57" customWidth="1"/>
    <col min="2299" max="2299" width="18.7109375" style="57" customWidth="1"/>
    <col min="2300" max="2308" width="14" style="57" customWidth="1"/>
    <col min="2309" max="2309" width="13" style="57" bestFit="1" customWidth="1"/>
    <col min="2310" max="2310" width="14.5703125" style="57" bestFit="1" customWidth="1"/>
    <col min="2311" max="2311" width="12.140625" style="57" bestFit="1" customWidth="1"/>
    <col min="2312" max="2322" width="14" style="57" customWidth="1"/>
    <col min="2323" max="2326" width="13.28515625" style="57" customWidth="1"/>
    <col min="2327" max="2551" width="9.140625" style="57"/>
    <col min="2552" max="2552" width="31" style="57" customWidth="1"/>
    <col min="2553" max="2553" width="18.5703125" style="57" customWidth="1"/>
    <col min="2554" max="2554" width="3.85546875" style="57" customWidth="1"/>
    <col min="2555" max="2555" width="18.7109375" style="57" customWidth="1"/>
    <col min="2556" max="2564" width="14" style="57" customWidth="1"/>
    <col min="2565" max="2565" width="13" style="57" bestFit="1" customWidth="1"/>
    <col min="2566" max="2566" width="14.5703125" style="57" bestFit="1" customWidth="1"/>
    <col min="2567" max="2567" width="12.140625" style="57" bestFit="1" customWidth="1"/>
    <col min="2568" max="2578" width="14" style="57" customWidth="1"/>
    <col min="2579" max="2582" width="13.28515625" style="57" customWidth="1"/>
    <col min="2583" max="2807" width="9.140625" style="57"/>
    <col min="2808" max="2808" width="31" style="57" customWidth="1"/>
    <col min="2809" max="2809" width="18.5703125" style="57" customWidth="1"/>
    <col min="2810" max="2810" width="3.85546875" style="57" customWidth="1"/>
    <col min="2811" max="2811" width="18.7109375" style="57" customWidth="1"/>
    <col min="2812" max="2820" width="14" style="57" customWidth="1"/>
    <col min="2821" max="2821" width="13" style="57" bestFit="1" customWidth="1"/>
    <col min="2822" max="2822" width="14.5703125" style="57" bestFit="1" customWidth="1"/>
    <col min="2823" max="2823" width="12.140625" style="57" bestFit="1" customWidth="1"/>
    <col min="2824" max="2834" width="14" style="57" customWidth="1"/>
    <col min="2835" max="2838" width="13.28515625" style="57" customWidth="1"/>
    <col min="2839" max="3063" width="9.140625" style="57"/>
    <col min="3064" max="3064" width="31" style="57" customWidth="1"/>
    <col min="3065" max="3065" width="18.5703125" style="57" customWidth="1"/>
    <col min="3066" max="3066" width="3.85546875" style="57" customWidth="1"/>
    <col min="3067" max="3067" width="18.7109375" style="57" customWidth="1"/>
    <col min="3068" max="3076" width="14" style="57" customWidth="1"/>
    <col min="3077" max="3077" width="13" style="57" bestFit="1" customWidth="1"/>
    <col min="3078" max="3078" width="14.5703125" style="57" bestFit="1" customWidth="1"/>
    <col min="3079" max="3079" width="12.140625" style="57" bestFit="1" customWidth="1"/>
    <col min="3080" max="3090" width="14" style="57" customWidth="1"/>
    <col min="3091" max="3094" width="13.28515625" style="57" customWidth="1"/>
    <col min="3095" max="3319" width="9.140625" style="57"/>
    <col min="3320" max="3320" width="31" style="57" customWidth="1"/>
    <col min="3321" max="3321" width="18.5703125" style="57" customWidth="1"/>
    <col min="3322" max="3322" width="3.85546875" style="57" customWidth="1"/>
    <col min="3323" max="3323" width="18.7109375" style="57" customWidth="1"/>
    <col min="3324" max="3332" width="14" style="57" customWidth="1"/>
    <col min="3333" max="3333" width="13" style="57" bestFit="1" customWidth="1"/>
    <col min="3334" max="3334" width="14.5703125" style="57" bestFit="1" customWidth="1"/>
    <col min="3335" max="3335" width="12.140625" style="57" bestFit="1" customWidth="1"/>
    <col min="3336" max="3346" width="14" style="57" customWidth="1"/>
    <col min="3347" max="3350" width="13.28515625" style="57" customWidth="1"/>
    <col min="3351" max="3575" width="9.140625" style="57"/>
    <col min="3576" max="3576" width="31" style="57" customWidth="1"/>
    <col min="3577" max="3577" width="18.5703125" style="57" customWidth="1"/>
    <col min="3578" max="3578" width="3.85546875" style="57" customWidth="1"/>
    <col min="3579" max="3579" width="18.7109375" style="57" customWidth="1"/>
    <col min="3580" max="3588" width="14" style="57" customWidth="1"/>
    <col min="3589" max="3589" width="13" style="57" bestFit="1" customWidth="1"/>
    <col min="3590" max="3590" width="14.5703125" style="57" bestFit="1" customWidth="1"/>
    <col min="3591" max="3591" width="12.140625" style="57" bestFit="1" customWidth="1"/>
    <col min="3592" max="3602" width="14" style="57" customWidth="1"/>
    <col min="3603" max="3606" width="13.28515625" style="57" customWidth="1"/>
    <col min="3607" max="3831" width="9.140625" style="57"/>
    <col min="3832" max="3832" width="31" style="57" customWidth="1"/>
    <col min="3833" max="3833" width="18.5703125" style="57" customWidth="1"/>
    <col min="3834" max="3834" width="3.85546875" style="57" customWidth="1"/>
    <col min="3835" max="3835" width="18.7109375" style="57" customWidth="1"/>
    <col min="3836" max="3844" width="14" style="57" customWidth="1"/>
    <col min="3845" max="3845" width="13" style="57" bestFit="1" customWidth="1"/>
    <col min="3846" max="3846" width="14.5703125" style="57" bestFit="1" customWidth="1"/>
    <col min="3847" max="3847" width="12.140625" style="57" bestFit="1" customWidth="1"/>
    <col min="3848" max="3858" width="14" style="57" customWidth="1"/>
    <col min="3859" max="3862" width="13.28515625" style="57" customWidth="1"/>
    <col min="3863" max="4087" width="9.140625" style="57"/>
    <col min="4088" max="4088" width="31" style="57" customWidth="1"/>
    <col min="4089" max="4089" width="18.5703125" style="57" customWidth="1"/>
    <col min="4090" max="4090" width="3.85546875" style="57" customWidth="1"/>
    <col min="4091" max="4091" width="18.7109375" style="57" customWidth="1"/>
    <col min="4092" max="4100" width="14" style="57" customWidth="1"/>
    <col min="4101" max="4101" width="13" style="57" bestFit="1" customWidth="1"/>
    <col min="4102" max="4102" width="14.5703125" style="57" bestFit="1" customWidth="1"/>
    <col min="4103" max="4103" width="12.140625" style="57" bestFit="1" customWidth="1"/>
    <col min="4104" max="4114" width="14" style="57" customWidth="1"/>
    <col min="4115" max="4118" width="13.28515625" style="57" customWidth="1"/>
    <col min="4119" max="4343" width="9.140625" style="57"/>
    <col min="4344" max="4344" width="31" style="57" customWidth="1"/>
    <col min="4345" max="4345" width="18.5703125" style="57" customWidth="1"/>
    <col min="4346" max="4346" width="3.85546875" style="57" customWidth="1"/>
    <col min="4347" max="4347" width="18.7109375" style="57" customWidth="1"/>
    <col min="4348" max="4356" width="14" style="57" customWidth="1"/>
    <col min="4357" max="4357" width="13" style="57" bestFit="1" customWidth="1"/>
    <col min="4358" max="4358" width="14.5703125" style="57" bestFit="1" customWidth="1"/>
    <col min="4359" max="4359" width="12.140625" style="57" bestFit="1" customWidth="1"/>
    <col min="4360" max="4370" width="14" style="57" customWidth="1"/>
    <col min="4371" max="4374" width="13.28515625" style="57" customWidth="1"/>
    <col min="4375" max="4599" width="9.140625" style="57"/>
    <col min="4600" max="4600" width="31" style="57" customWidth="1"/>
    <col min="4601" max="4601" width="18.5703125" style="57" customWidth="1"/>
    <col min="4602" max="4602" width="3.85546875" style="57" customWidth="1"/>
    <col min="4603" max="4603" width="18.7109375" style="57" customWidth="1"/>
    <col min="4604" max="4612" width="14" style="57" customWidth="1"/>
    <col min="4613" max="4613" width="13" style="57" bestFit="1" customWidth="1"/>
    <col min="4614" max="4614" width="14.5703125" style="57" bestFit="1" customWidth="1"/>
    <col min="4615" max="4615" width="12.140625" style="57" bestFit="1" customWidth="1"/>
    <col min="4616" max="4626" width="14" style="57" customWidth="1"/>
    <col min="4627" max="4630" width="13.28515625" style="57" customWidth="1"/>
    <col min="4631" max="4855" width="9.140625" style="57"/>
    <col min="4856" max="4856" width="31" style="57" customWidth="1"/>
    <col min="4857" max="4857" width="18.5703125" style="57" customWidth="1"/>
    <col min="4858" max="4858" width="3.85546875" style="57" customWidth="1"/>
    <col min="4859" max="4859" width="18.7109375" style="57" customWidth="1"/>
    <col min="4860" max="4868" width="14" style="57" customWidth="1"/>
    <col min="4869" max="4869" width="13" style="57" bestFit="1" customWidth="1"/>
    <col min="4870" max="4870" width="14.5703125" style="57" bestFit="1" customWidth="1"/>
    <col min="4871" max="4871" width="12.140625" style="57" bestFit="1" customWidth="1"/>
    <col min="4872" max="4882" width="14" style="57" customWidth="1"/>
    <col min="4883" max="4886" width="13.28515625" style="57" customWidth="1"/>
    <col min="4887" max="5111" width="9.140625" style="57"/>
    <col min="5112" max="5112" width="31" style="57" customWidth="1"/>
    <col min="5113" max="5113" width="18.5703125" style="57" customWidth="1"/>
    <col min="5114" max="5114" width="3.85546875" style="57" customWidth="1"/>
    <col min="5115" max="5115" width="18.7109375" style="57" customWidth="1"/>
    <col min="5116" max="5124" width="14" style="57" customWidth="1"/>
    <col min="5125" max="5125" width="13" style="57" bestFit="1" customWidth="1"/>
    <col min="5126" max="5126" width="14.5703125" style="57" bestFit="1" customWidth="1"/>
    <col min="5127" max="5127" width="12.140625" style="57" bestFit="1" customWidth="1"/>
    <col min="5128" max="5138" width="14" style="57" customWidth="1"/>
    <col min="5139" max="5142" width="13.28515625" style="57" customWidth="1"/>
    <col min="5143" max="5367" width="9.140625" style="57"/>
    <col min="5368" max="5368" width="31" style="57" customWidth="1"/>
    <col min="5369" max="5369" width="18.5703125" style="57" customWidth="1"/>
    <col min="5370" max="5370" width="3.85546875" style="57" customWidth="1"/>
    <col min="5371" max="5371" width="18.7109375" style="57" customWidth="1"/>
    <col min="5372" max="5380" width="14" style="57" customWidth="1"/>
    <col min="5381" max="5381" width="13" style="57" bestFit="1" customWidth="1"/>
    <col min="5382" max="5382" width="14.5703125" style="57" bestFit="1" customWidth="1"/>
    <col min="5383" max="5383" width="12.140625" style="57" bestFit="1" customWidth="1"/>
    <col min="5384" max="5394" width="14" style="57" customWidth="1"/>
    <col min="5395" max="5398" width="13.28515625" style="57" customWidth="1"/>
    <col min="5399" max="5623" width="9.140625" style="57"/>
    <col min="5624" max="5624" width="31" style="57" customWidth="1"/>
    <col min="5625" max="5625" width="18.5703125" style="57" customWidth="1"/>
    <col min="5626" max="5626" width="3.85546875" style="57" customWidth="1"/>
    <col min="5627" max="5627" width="18.7109375" style="57" customWidth="1"/>
    <col min="5628" max="5636" width="14" style="57" customWidth="1"/>
    <col min="5637" max="5637" width="13" style="57" bestFit="1" customWidth="1"/>
    <col min="5638" max="5638" width="14.5703125" style="57" bestFit="1" customWidth="1"/>
    <col min="5639" max="5639" width="12.140625" style="57" bestFit="1" customWidth="1"/>
    <col min="5640" max="5650" width="14" style="57" customWidth="1"/>
    <col min="5651" max="5654" width="13.28515625" style="57" customWidth="1"/>
    <col min="5655" max="5879" width="9.140625" style="57"/>
    <col min="5880" max="5880" width="31" style="57" customWidth="1"/>
    <col min="5881" max="5881" width="18.5703125" style="57" customWidth="1"/>
    <col min="5882" max="5882" width="3.85546875" style="57" customWidth="1"/>
    <col min="5883" max="5883" width="18.7109375" style="57" customWidth="1"/>
    <col min="5884" max="5892" width="14" style="57" customWidth="1"/>
    <col min="5893" max="5893" width="13" style="57" bestFit="1" customWidth="1"/>
    <col min="5894" max="5894" width="14.5703125" style="57" bestFit="1" customWidth="1"/>
    <col min="5895" max="5895" width="12.140625" style="57" bestFit="1" customWidth="1"/>
    <col min="5896" max="5906" width="14" style="57" customWidth="1"/>
    <col min="5907" max="5910" width="13.28515625" style="57" customWidth="1"/>
    <col min="5911" max="6135" width="9.140625" style="57"/>
    <col min="6136" max="6136" width="31" style="57" customWidth="1"/>
    <col min="6137" max="6137" width="18.5703125" style="57" customWidth="1"/>
    <col min="6138" max="6138" width="3.85546875" style="57" customWidth="1"/>
    <col min="6139" max="6139" width="18.7109375" style="57" customWidth="1"/>
    <col min="6140" max="6148" width="14" style="57" customWidth="1"/>
    <col min="6149" max="6149" width="13" style="57" bestFit="1" customWidth="1"/>
    <col min="6150" max="6150" width="14.5703125" style="57" bestFit="1" customWidth="1"/>
    <col min="6151" max="6151" width="12.140625" style="57" bestFit="1" customWidth="1"/>
    <col min="6152" max="6162" width="14" style="57" customWidth="1"/>
    <col min="6163" max="6166" width="13.28515625" style="57" customWidth="1"/>
    <col min="6167" max="6391" width="9.140625" style="57"/>
    <col min="6392" max="6392" width="31" style="57" customWidth="1"/>
    <col min="6393" max="6393" width="18.5703125" style="57" customWidth="1"/>
    <col min="6394" max="6394" width="3.85546875" style="57" customWidth="1"/>
    <col min="6395" max="6395" width="18.7109375" style="57" customWidth="1"/>
    <col min="6396" max="6404" width="14" style="57" customWidth="1"/>
    <col min="6405" max="6405" width="13" style="57" bestFit="1" customWidth="1"/>
    <col min="6406" max="6406" width="14.5703125" style="57" bestFit="1" customWidth="1"/>
    <col min="6407" max="6407" width="12.140625" style="57" bestFit="1" customWidth="1"/>
    <col min="6408" max="6418" width="14" style="57" customWidth="1"/>
    <col min="6419" max="6422" width="13.28515625" style="57" customWidth="1"/>
    <col min="6423" max="6647" width="9.140625" style="57"/>
    <col min="6648" max="6648" width="31" style="57" customWidth="1"/>
    <col min="6649" max="6649" width="18.5703125" style="57" customWidth="1"/>
    <col min="6650" max="6650" width="3.85546875" style="57" customWidth="1"/>
    <col min="6651" max="6651" width="18.7109375" style="57" customWidth="1"/>
    <col min="6652" max="6660" width="14" style="57" customWidth="1"/>
    <col min="6661" max="6661" width="13" style="57" bestFit="1" customWidth="1"/>
    <col min="6662" max="6662" width="14.5703125" style="57" bestFit="1" customWidth="1"/>
    <col min="6663" max="6663" width="12.140625" style="57" bestFit="1" customWidth="1"/>
    <col min="6664" max="6674" width="14" style="57" customWidth="1"/>
    <col min="6675" max="6678" width="13.28515625" style="57" customWidth="1"/>
    <col min="6679" max="6903" width="9.140625" style="57"/>
    <col min="6904" max="6904" width="31" style="57" customWidth="1"/>
    <col min="6905" max="6905" width="18.5703125" style="57" customWidth="1"/>
    <col min="6906" max="6906" width="3.85546875" style="57" customWidth="1"/>
    <col min="6907" max="6907" width="18.7109375" style="57" customWidth="1"/>
    <col min="6908" max="6916" width="14" style="57" customWidth="1"/>
    <col min="6917" max="6917" width="13" style="57" bestFit="1" customWidth="1"/>
    <col min="6918" max="6918" width="14.5703125" style="57" bestFit="1" customWidth="1"/>
    <col min="6919" max="6919" width="12.140625" style="57" bestFit="1" customWidth="1"/>
    <col min="6920" max="6930" width="14" style="57" customWidth="1"/>
    <col min="6931" max="6934" width="13.28515625" style="57" customWidth="1"/>
    <col min="6935" max="7159" width="9.140625" style="57"/>
    <col min="7160" max="7160" width="31" style="57" customWidth="1"/>
    <col min="7161" max="7161" width="18.5703125" style="57" customWidth="1"/>
    <col min="7162" max="7162" width="3.85546875" style="57" customWidth="1"/>
    <col min="7163" max="7163" width="18.7109375" style="57" customWidth="1"/>
    <col min="7164" max="7172" width="14" style="57" customWidth="1"/>
    <col min="7173" max="7173" width="13" style="57" bestFit="1" customWidth="1"/>
    <col min="7174" max="7174" width="14.5703125" style="57" bestFit="1" customWidth="1"/>
    <col min="7175" max="7175" width="12.140625" style="57" bestFit="1" customWidth="1"/>
    <col min="7176" max="7186" width="14" style="57" customWidth="1"/>
    <col min="7187" max="7190" width="13.28515625" style="57" customWidth="1"/>
    <col min="7191" max="7415" width="9.140625" style="57"/>
    <col min="7416" max="7416" width="31" style="57" customWidth="1"/>
    <col min="7417" max="7417" width="18.5703125" style="57" customWidth="1"/>
    <col min="7418" max="7418" width="3.85546875" style="57" customWidth="1"/>
    <col min="7419" max="7419" width="18.7109375" style="57" customWidth="1"/>
    <col min="7420" max="7428" width="14" style="57" customWidth="1"/>
    <col min="7429" max="7429" width="13" style="57" bestFit="1" customWidth="1"/>
    <col min="7430" max="7430" width="14.5703125" style="57" bestFit="1" customWidth="1"/>
    <col min="7431" max="7431" width="12.140625" style="57" bestFit="1" customWidth="1"/>
    <col min="7432" max="7442" width="14" style="57" customWidth="1"/>
    <col min="7443" max="7446" width="13.28515625" style="57" customWidth="1"/>
    <col min="7447" max="7671" width="9.140625" style="57"/>
    <col min="7672" max="7672" width="31" style="57" customWidth="1"/>
    <col min="7673" max="7673" width="18.5703125" style="57" customWidth="1"/>
    <col min="7674" max="7674" width="3.85546875" style="57" customWidth="1"/>
    <col min="7675" max="7675" width="18.7109375" style="57" customWidth="1"/>
    <col min="7676" max="7684" width="14" style="57" customWidth="1"/>
    <col min="7685" max="7685" width="13" style="57" bestFit="1" customWidth="1"/>
    <col min="7686" max="7686" width="14.5703125" style="57" bestFit="1" customWidth="1"/>
    <col min="7687" max="7687" width="12.140625" style="57" bestFit="1" customWidth="1"/>
    <col min="7688" max="7698" width="14" style="57" customWidth="1"/>
    <col min="7699" max="7702" width="13.28515625" style="57" customWidth="1"/>
    <col min="7703" max="7927" width="9.140625" style="57"/>
    <col min="7928" max="7928" width="31" style="57" customWidth="1"/>
    <col min="7929" max="7929" width="18.5703125" style="57" customWidth="1"/>
    <col min="7930" max="7930" width="3.85546875" style="57" customWidth="1"/>
    <col min="7931" max="7931" width="18.7109375" style="57" customWidth="1"/>
    <col min="7932" max="7940" width="14" style="57" customWidth="1"/>
    <col min="7941" max="7941" width="13" style="57" bestFit="1" customWidth="1"/>
    <col min="7942" max="7942" width="14.5703125" style="57" bestFit="1" customWidth="1"/>
    <col min="7943" max="7943" width="12.140625" style="57" bestFit="1" customWidth="1"/>
    <col min="7944" max="7954" width="14" style="57" customWidth="1"/>
    <col min="7955" max="7958" width="13.28515625" style="57" customWidth="1"/>
    <col min="7959" max="8183" width="9.140625" style="57"/>
    <col min="8184" max="8184" width="31" style="57" customWidth="1"/>
    <col min="8185" max="8185" width="18.5703125" style="57" customWidth="1"/>
    <col min="8186" max="8186" width="3.85546875" style="57" customWidth="1"/>
    <col min="8187" max="8187" width="18.7109375" style="57" customWidth="1"/>
    <col min="8188" max="8196" width="14" style="57" customWidth="1"/>
    <col min="8197" max="8197" width="13" style="57" bestFit="1" customWidth="1"/>
    <col min="8198" max="8198" width="14.5703125" style="57" bestFit="1" customWidth="1"/>
    <col min="8199" max="8199" width="12.140625" style="57" bestFit="1" customWidth="1"/>
    <col min="8200" max="8210" width="14" style="57" customWidth="1"/>
    <col min="8211" max="8214" width="13.28515625" style="57" customWidth="1"/>
    <col min="8215" max="8439" width="9.140625" style="57"/>
    <col min="8440" max="8440" width="31" style="57" customWidth="1"/>
    <col min="8441" max="8441" width="18.5703125" style="57" customWidth="1"/>
    <col min="8442" max="8442" width="3.85546875" style="57" customWidth="1"/>
    <col min="8443" max="8443" width="18.7109375" style="57" customWidth="1"/>
    <col min="8444" max="8452" width="14" style="57" customWidth="1"/>
    <col min="8453" max="8453" width="13" style="57" bestFit="1" customWidth="1"/>
    <col min="8454" max="8454" width="14.5703125" style="57" bestFit="1" customWidth="1"/>
    <col min="8455" max="8455" width="12.140625" style="57" bestFit="1" customWidth="1"/>
    <col min="8456" max="8466" width="14" style="57" customWidth="1"/>
    <col min="8467" max="8470" width="13.28515625" style="57" customWidth="1"/>
    <col min="8471" max="8695" width="9.140625" style="57"/>
    <col min="8696" max="8696" width="31" style="57" customWidth="1"/>
    <col min="8697" max="8697" width="18.5703125" style="57" customWidth="1"/>
    <col min="8698" max="8698" width="3.85546875" style="57" customWidth="1"/>
    <col min="8699" max="8699" width="18.7109375" style="57" customWidth="1"/>
    <col min="8700" max="8708" width="14" style="57" customWidth="1"/>
    <col min="8709" max="8709" width="13" style="57" bestFit="1" customWidth="1"/>
    <col min="8710" max="8710" width="14.5703125" style="57" bestFit="1" customWidth="1"/>
    <col min="8711" max="8711" width="12.140625" style="57" bestFit="1" customWidth="1"/>
    <col min="8712" max="8722" width="14" style="57" customWidth="1"/>
    <col min="8723" max="8726" width="13.28515625" style="57" customWidth="1"/>
    <col min="8727" max="8951" width="9.140625" style="57"/>
    <col min="8952" max="8952" width="31" style="57" customWidth="1"/>
    <col min="8953" max="8953" width="18.5703125" style="57" customWidth="1"/>
    <col min="8954" max="8954" width="3.85546875" style="57" customWidth="1"/>
    <col min="8955" max="8955" width="18.7109375" style="57" customWidth="1"/>
    <col min="8956" max="8964" width="14" style="57" customWidth="1"/>
    <col min="8965" max="8965" width="13" style="57" bestFit="1" customWidth="1"/>
    <col min="8966" max="8966" width="14.5703125" style="57" bestFit="1" customWidth="1"/>
    <col min="8967" max="8967" width="12.140625" style="57" bestFit="1" customWidth="1"/>
    <col min="8968" max="8978" width="14" style="57" customWidth="1"/>
    <col min="8979" max="8982" width="13.28515625" style="57" customWidth="1"/>
    <col min="8983" max="9207" width="9.140625" style="57"/>
    <col min="9208" max="9208" width="31" style="57" customWidth="1"/>
    <col min="9209" max="9209" width="18.5703125" style="57" customWidth="1"/>
    <col min="9210" max="9210" width="3.85546875" style="57" customWidth="1"/>
    <col min="9211" max="9211" width="18.7109375" style="57" customWidth="1"/>
    <col min="9212" max="9220" width="14" style="57" customWidth="1"/>
    <col min="9221" max="9221" width="13" style="57" bestFit="1" customWidth="1"/>
    <col min="9222" max="9222" width="14.5703125" style="57" bestFit="1" customWidth="1"/>
    <col min="9223" max="9223" width="12.140625" style="57" bestFit="1" customWidth="1"/>
    <col min="9224" max="9234" width="14" style="57" customWidth="1"/>
    <col min="9235" max="9238" width="13.28515625" style="57" customWidth="1"/>
    <col min="9239" max="9463" width="9.140625" style="57"/>
    <col min="9464" max="9464" width="31" style="57" customWidth="1"/>
    <col min="9465" max="9465" width="18.5703125" style="57" customWidth="1"/>
    <col min="9466" max="9466" width="3.85546875" style="57" customWidth="1"/>
    <col min="9467" max="9467" width="18.7109375" style="57" customWidth="1"/>
    <col min="9468" max="9476" width="14" style="57" customWidth="1"/>
    <col min="9477" max="9477" width="13" style="57" bestFit="1" customWidth="1"/>
    <col min="9478" max="9478" width="14.5703125" style="57" bestFit="1" customWidth="1"/>
    <col min="9479" max="9479" width="12.140625" style="57" bestFit="1" customWidth="1"/>
    <col min="9480" max="9490" width="14" style="57" customWidth="1"/>
    <col min="9491" max="9494" width="13.28515625" style="57" customWidth="1"/>
    <col min="9495" max="9719" width="9.140625" style="57"/>
    <col min="9720" max="9720" width="31" style="57" customWidth="1"/>
    <col min="9721" max="9721" width="18.5703125" style="57" customWidth="1"/>
    <col min="9722" max="9722" width="3.85546875" style="57" customWidth="1"/>
    <col min="9723" max="9723" width="18.7109375" style="57" customWidth="1"/>
    <col min="9724" max="9732" width="14" style="57" customWidth="1"/>
    <col min="9733" max="9733" width="13" style="57" bestFit="1" customWidth="1"/>
    <col min="9734" max="9734" width="14.5703125" style="57" bestFit="1" customWidth="1"/>
    <col min="9735" max="9735" width="12.140625" style="57" bestFit="1" customWidth="1"/>
    <col min="9736" max="9746" width="14" style="57" customWidth="1"/>
    <col min="9747" max="9750" width="13.28515625" style="57" customWidth="1"/>
    <col min="9751" max="9975" width="9.140625" style="57"/>
    <col min="9976" max="9976" width="31" style="57" customWidth="1"/>
    <col min="9977" max="9977" width="18.5703125" style="57" customWidth="1"/>
    <col min="9978" max="9978" width="3.85546875" style="57" customWidth="1"/>
    <col min="9979" max="9979" width="18.7109375" style="57" customWidth="1"/>
    <col min="9980" max="9988" width="14" style="57" customWidth="1"/>
    <col min="9989" max="9989" width="13" style="57" bestFit="1" customWidth="1"/>
    <col min="9990" max="9990" width="14.5703125" style="57" bestFit="1" customWidth="1"/>
    <col min="9991" max="9991" width="12.140625" style="57" bestFit="1" customWidth="1"/>
    <col min="9992" max="10002" width="14" style="57" customWidth="1"/>
    <col min="10003" max="10006" width="13.28515625" style="57" customWidth="1"/>
    <col min="10007" max="10231" width="9.140625" style="57"/>
    <col min="10232" max="10232" width="31" style="57" customWidth="1"/>
    <col min="10233" max="10233" width="18.5703125" style="57" customWidth="1"/>
    <col min="10234" max="10234" width="3.85546875" style="57" customWidth="1"/>
    <col min="10235" max="10235" width="18.7109375" style="57" customWidth="1"/>
    <col min="10236" max="10244" width="14" style="57" customWidth="1"/>
    <col min="10245" max="10245" width="13" style="57" bestFit="1" customWidth="1"/>
    <col min="10246" max="10246" width="14.5703125" style="57" bestFit="1" customWidth="1"/>
    <col min="10247" max="10247" width="12.140625" style="57" bestFit="1" customWidth="1"/>
    <col min="10248" max="10258" width="14" style="57" customWidth="1"/>
    <col min="10259" max="10262" width="13.28515625" style="57" customWidth="1"/>
    <col min="10263" max="10487" width="9.140625" style="57"/>
    <col min="10488" max="10488" width="31" style="57" customWidth="1"/>
    <col min="10489" max="10489" width="18.5703125" style="57" customWidth="1"/>
    <col min="10490" max="10490" width="3.85546875" style="57" customWidth="1"/>
    <col min="10491" max="10491" width="18.7109375" style="57" customWidth="1"/>
    <col min="10492" max="10500" width="14" style="57" customWidth="1"/>
    <col min="10501" max="10501" width="13" style="57" bestFit="1" customWidth="1"/>
    <col min="10502" max="10502" width="14.5703125" style="57" bestFit="1" customWidth="1"/>
    <col min="10503" max="10503" width="12.140625" style="57" bestFit="1" customWidth="1"/>
    <col min="10504" max="10514" width="14" style="57" customWidth="1"/>
    <col min="10515" max="10518" width="13.28515625" style="57" customWidth="1"/>
    <col min="10519" max="10743" width="9.140625" style="57"/>
    <col min="10744" max="10744" width="31" style="57" customWidth="1"/>
    <col min="10745" max="10745" width="18.5703125" style="57" customWidth="1"/>
    <col min="10746" max="10746" width="3.85546875" style="57" customWidth="1"/>
    <col min="10747" max="10747" width="18.7109375" style="57" customWidth="1"/>
    <col min="10748" max="10756" width="14" style="57" customWidth="1"/>
    <col min="10757" max="10757" width="13" style="57" bestFit="1" customWidth="1"/>
    <col min="10758" max="10758" width="14.5703125" style="57" bestFit="1" customWidth="1"/>
    <col min="10759" max="10759" width="12.140625" style="57" bestFit="1" customWidth="1"/>
    <col min="10760" max="10770" width="14" style="57" customWidth="1"/>
    <col min="10771" max="10774" width="13.28515625" style="57" customWidth="1"/>
    <col min="10775" max="10999" width="9.140625" style="57"/>
    <col min="11000" max="11000" width="31" style="57" customWidth="1"/>
    <col min="11001" max="11001" width="18.5703125" style="57" customWidth="1"/>
    <col min="11002" max="11002" width="3.85546875" style="57" customWidth="1"/>
    <col min="11003" max="11003" width="18.7109375" style="57" customWidth="1"/>
    <col min="11004" max="11012" width="14" style="57" customWidth="1"/>
    <col min="11013" max="11013" width="13" style="57" bestFit="1" customWidth="1"/>
    <col min="11014" max="11014" width="14.5703125" style="57" bestFit="1" customWidth="1"/>
    <col min="11015" max="11015" width="12.140625" style="57" bestFit="1" customWidth="1"/>
    <col min="11016" max="11026" width="14" style="57" customWidth="1"/>
    <col min="11027" max="11030" width="13.28515625" style="57" customWidth="1"/>
    <col min="11031" max="11255" width="9.140625" style="57"/>
    <col min="11256" max="11256" width="31" style="57" customWidth="1"/>
    <col min="11257" max="11257" width="18.5703125" style="57" customWidth="1"/>
    <col min="11258" max="11258" width="3.85546875" style="57" customWidth="1"/>
    <col min="11259" max="11259" width="18.7109375" style="57" customWidth="1"/>
    <col min="11260" max="11268" width="14" style="57" customWidth="1"/>
    <col min="11269" max="11269" width="13" style="57" bestFit="1" customWidth="1"/>
    <col min="11270" max="11270" width="14.5703125" style="57" bestFit="1" customWidth="1"/>
    <col min="11271" max="11271" width="12.140625" style="57" bestFit="1" customWidth="1"/>
    <col min="11272" max="11282" width="14" style="57" customWidth="1"/>
    <col min="11283" max="11286" width="13.28515625" style="57" customWidth="1"/>
    <col min="11287" max="11511" width="9.140625" style="57"/>
    <col min="11512" max="11512" width="31" style="57" customWidth="1"/>
    <col min="11513" max="11513" width="18.5703125" style="57" customWidth="1"/>
    <col min="11514" max="11514" width="3.85546875" style="57" customWidth="1"/>
    <col min="11515" max="11515" width="18.7109375" style="57" customWidth="1"/>
    <col min="11516" max="11524" width="14" style="57" customWidth="1"/>
    <col min="11525" max="11525" width="13" style="57" bestFit="1" customWidth="1"/>
    <col min="11526" max="11526" width="14.5703125" style="57" bestFit="1" customWidth="1"/>
    <col min="11527" max="11527" width="12.140625" style="57" bestFit="1" customWidth="1"/>
    <col min="11528" max="11538" width="14" style="57" customWidth="1"/>
    <col min="11539" max="11542" width="13.28515625" style="57" customWidth="1"/>
    <col min="11543" max="11767" width="9.140625" style="57"/>
    <col min="11768" max="11768" width="31" style="57" customWidth="1"/>
    <col min="11769" max="11769" width="18.5703125" style="57" customWidth="1"/>
    <col min="11770" max="11770" width="3.85546875" style="57" customWidth="1"/>
    <col min="11771" max="11771" width="18.7109375" style="57" customWidth="1"/>
    <col min="11772" max="11780" width="14" style="57" customWidth="1"/>
    <col min="11781" max="11781" width="13" style="57" bestFit="1" customWidth="1"/>
    <col min="11782" max="11782" width="14.5703125" style="57" bestFit="1" customWidth="1"/>
    <col min="11783" max="11783" width="12.140625" style="57" bestFit="1" customWidth="1"/>
    <col min="11784" max="11794" width="14" style="57" customWidth="1"/>
    <col min="11795" max="11798" width="13.28515625" style="57" customWidth="1"/>
    <col min="11799" max="12023" width="9.140625" style="57"/>
    <col min="12024" max="12024" width="31" style="57" customWidth="1"/>
    <col min="12025" max="12025" width="18.5703125" style="57" customWidth="1"/>
    <col min="12026" max="12026" width="3.85546875" style="57" customWidth="1"/>
    <col min="12027" max="12027" width="18.7109375" style="57" customWidth="1"/>
    <col min="12028" max="12036" width="14" style="57" customWidth="1"/>
    <col min="12037" max="12037" width="13" style="57" bestFit="1" customWidth="1"/>
    <col min="12038" max="12038" width="14.5703125" style="57" bestFit="1" customWidth="1"/>
    <col min="12039" max="12039" width="12.140625" style="57" bestFit="1" customWidth="1"/>
    <col min="12040" max="12050" width="14" style="57" customWidth="1"/>
    <col min="12051" max="12054" width="13.28515625" style="57" customWidth="1"/>
    <col min="12055" max="12279" width="9.140625" style="57"/>
    <col min="12280" max="12280" width="31" style="57" customWidth="1"/>
    <col min="12281" max="12281" width="18.5703125" style="57" customWidth="1"/>
    <col min="12282" max="12282" width="3.85546875" style="57" customWidth="1"/>
    <col min="12283" max="12283" width="18.7109375" style="57" customWidth="1"/>
    <col min="12284" max="12292" width="14" style="57" customWidth="1"/>
    <col min="12293" max="12293" width="13" style="57" bestFit="1" customWidth="1"/>
    <col min="12294" max="12294" width="14.5703125" style="57" bestFit="1" customWidth="1"/>
    <col min="12295" max="12295" width="12.140625" style="57" bestFit="1" customWidth="1"/>
    <col min="12296" max="12306" width="14" style="57" customWidth="1"/>
    <col min="12307" max="12310" width="13.28515625" style="57" customWidth="1"/>
    <col min="12311" max="12535" width="9.140625" style="57"/>
    <col min="12536" max="12536" width="31" style="57" customWidth="1"/>
    <col min="12537" max="12537" width="18.5703125" style="57" customWidth="1"/>
    <col min="12538" max="12538" width="3.85546875" style="57" customWidth="1"/>
    <col min="12539" max="12539" width="18.7109375" style="57" customWidth="1"/>
    <col min="12540" max="12548" width="14" style="57" customWidth="1"/>
    <col min="12549" max="12549" width="13" style="57" bestFit="1" customWidth="1"/>
    <col min="12550" max="12550" width="14.5703125" style="57" bestFit="1" customWidth="1"/>
    <col min="12551" max="12551" width="12.140625" style="57" bestFit="1" customWidth="1"/>
    <col min="12552" max="12562" width="14" style="57" customWidth="1"/>
    <col min="12563" max="12566" width="13.28515625" style="57" customWidth="1"/>
    <col min="12567" max="12791" width="9.140625" style="57"/>
    <col min="12792" max="12792" width="31" style="57" customWidth="1"/>
    <col min="12793" max="12793" width="18.5703125" style="57" customWidth="1"/>
    <col min="12794" max="12794" width="3.85546875" style="57" customWidth="1"/>
    <col min="12795" max="12795" width="18.7109375" style="57" customWidth="1"/>
    <col min="12796" max="12804" width="14" style="57" customWidth="1"/>
    <col min="12805" max="12805" width="13" style="57" bestFit="1" customWidth="1"/>
    <col min="12806" max="12806" width="14.5703125" style="57" bestFit="1" customWidth="1"/>
    <col min="12807" max="12807" width="12.140625" style="57" bestFit="1" customWidth="1"/>
    <col min="12808" max="12818" width="14" style="57" customWidth="1"/>
    <col min="12819" max="12822" width="13.28515625" style="57" customWidth="1"/>
    <col min="12823" max="13047" width="9.140625" style="57"/>
    <col min="13048" max="13048" width="31" style="57" customWidth="1"/>
    <col min="13049" max="13049" width="18.5703125" style="57" customWidth="1"/>
    <col min="13050" max="13050" width="3.85546875" style="57" customWidth="1"/>
    <col min="13051" max="13051" width="18.7109375" style="57" customWidth="1"/>
    <col min="13052" max="13060" width="14" style="57" customWidth="1"/>
    <col min="13061" max="13061" width="13" style="57" bestFit="1" customWidth="1"/>
    <col min="13062" max="13062" width="14.5703125" style="57" bestFit="1" customWidth="1"/>
    <col min="13063" max="13063" width="12.140625" style="57" bestFit="1" customWidth="1"/>
    <col min="13064" max="13074" width="14" style="57" customWidth="1"/>
    <col min="13075" max="13078" width="13.28515625" style="57" customWidth="1"/>
    <col min="13079" max="13303" width="9.140625" style="57"/>
    <col min="13304" max="13304" width="31" style="57" customWidth="1"/>
    <col min="13305" max="13305" width="18.5703125" style="57" customWidth="1"/>
    <col min="13306" max="13306" width="3.85546875" style="57" customWidth="1"/>
    <col min="13307" max="13307" width="18.7109375" style="57" customWidth="1"/>
    <col min="13308" max="13316" width="14" style="57" customWidth="1"/>
    <col min="13317" max="13317" width="13" style="57" bestFit="1" customWidth="1"/>
    <col min="13318" max="13318" width="14.5703125" style="57" bestFit="1" customWidth="1"/>
    <col min="13319" max="13319" width="12.140625" style="57" bestFit="1" customWidth="1"/>
    <col min="13320" max="13330" width="14" style="57" customWidth="1"/>
    <col min="13331" max="13334" width="13.28515625" style="57" customWidth="1"/>
    <col min="13335" max="13559" width="9.140625" style="57"/>
    <col min="13560" max="13560" width="31" style="57" customWidth="1"/>
    <col min="13561" max="13561" width="18.5703125" style="57" customWidth="1"/>
    <col min="13562" max="13562" width="3.85546875" style="57" customWidth="1"/>
    <col min="13563" max="13563" width="18.7109375" style="57" customWidth="1"/>
    <col min="13564" max="13572" width="14" style="57" customWidth="1"/>
    <col min="13573" max="13573" width="13" style="57" bestFit="1" customWidth="1"/>
    <col min="13574" max="13574" width="14.5703125" style="57" bestFit="1" customWidth="1"/>
    <col min="13575" max="13575" width="12.140625" style="57" bestFit="1" customWidth="1"/>
    <col min="13576" max="13586" width="14" style="57" customWidth="1"/>
    <col min="13587" max="13590" width="13.28515625" style="57" customWidth="1"/>
    <col min="13591" max="13815" width="9.140625" style="57"/>
    <col min="13816" max="13816" width="31" style="57" customWidth="1"/>
    <col min="13817" max="13817" width="18.5703125" style="57" customWidth="1"/>
    <col min="13818" max="13818" width="3.85546875" style="57" customWidth="1"/>
    <col min="13819" max="13819" width="18.7109375" style="57" customWidth="1"/>
    <col min="13820" max="13828" width="14" style="57" customWidth="1"/>
    <col min="13829" max="13829" width="13" style="57" bestFit="1" customWidth="1"/>
    <col min="13830" max="13830" width="14.5703125" style="57" bestFit="1" customWidth="1"/>
    <col min="13831" max="13831" width="12.140625" style="57" bestFit="1" customWidth="1"/>
    <col min="13832" max="13842" width="14" style="57" customWidth="1"/>
    <col min="13843" max="13846" width="13.28515625" style="57" customWidth="1"/>
    <col min="13847" max="14071" width="9.140625" style="57"/>
    <col min="14072" max="14072" width="31" style="57" customWidth="1"/>
    <col min="14073" max="14073" width="18.5703125" style="57" customWidth="1"/>
    <col min="14074" max="14074" width="3.85546875" style="57" customWidth="1"/>
    <col min="14075" max="14075" width="18.7109375" style="57" customWidth="1"/>
    <col min="14076" max="14084" width="14" style="57" customWidth="1"/>
    <col min="14085" max="14085" width="13" style="57" bestFit="1" customWidth="1"/>
    <col min="14086" max="14086" width="14.5703125" style="57" bestFit="1" customWidth="1"/>
    <col min="14087" max="14087" width="12.140625" style="57" bestFit="1" customWidth="1"/>
    <col min="14088" max="14098" width="14" style="57" customWidth="1"/>
    <col min="14099" max="14102" width="13.28515625" style="57" customWidth="1"/>
    <col min="14103" max="14327" width="9.140625" style="57"/>
    <col min="14328" max="14328" width="31" style="57" customWidth="1"/>
    <col min="14329" max="14329" width="18.5703125" style="57" customWidth="1"/>
    <col min="14330" max="14330" width="3.85546875" style="57" customWidth="1"/>
    <col min="14331" max="14331" width="18.7109375" style="57" customWidth="1"/>
    <col min="14332" max="14340" width="14" style="57" customWidth="1"/>
    <col min="14341" max="14341" width="13" style="57" bestFit="1" customWidth="1"/>
    <col min="14342" max="14342" width="14.5703125" style="57" bestFit="1" customWidth="1"/>
    <col min="14343" max="14343" width="12.140625" style="57" bestFit="1" customWidth="1"/>
    <col min="14344" max="14354" width="14" style="57" customWidth="1"/>
    <col min="14355" max="14358" width="13.28515625" style="57" customWidth="1"/>
    <col min="14359" max="14583" width="9.140625" style="57"/>
    <col min="14584" max="14584" width="31" style="57" customWidth="1"/>
    <col min="14585" max="14585" width="18.5703125" style="57" customWidth="1"/>
    <col min="14586" max="14586" width="3.85546875" style="57" customWidth="1"/>
    <col min="14587" max="14587" width="18.7109375" style="57" customWidth="1"/>
    <col min="14588" max="14596" width="14" style="57" customWidth="1"/>
    <col min="14597" max="14597" width="13" style="57" bestFit="1" customWidth="1"/>
    <col min="14598" max="14598" width="14.5703125" style="57" bestFit="1" customWidth="1"/>
    <col min="14599" max="14599" width="12.140625" style="57" bestFit="1" customWidth="1"/>
    <col min="14600" max="14610" width="14" style="57" customWidth="1"/>
    <col min="14611" max="14614" width="13.28515625" style="57" customWidth="1"/>
    <col min="14615" max="14839" width="9.140625" style="57"/>
    <col min="14840" max="14840" width="31" style="57" customWidth="1"/>
    <col min="14841" max="14841" width="18.5703125" style="57" customWidth="1"/>
    <col min="14842" max="14842" width="3.85546875" style="57" customWidth="1"/>
    <col min="14843" max="14843" width="18.7109375" style="57" customWidth="1"/>
    <col min="14844" max="14852" width="14" style="57" customWidth="1"/>
    <col min="14853" max="14853" width="13" style="57" bestFit="1" customWidth="1"/>
    <col min="14854" max="14854" width="14.5703125" style="57" bestFit="1" customWidth="1"/>
    <col min="14855" max="14855" width="12.140625" style="57" bestFit="1" customWidth="1"/>
    <col min="14856" max="14866" width="14" style="57" customWidth="1"/>
    <col min="14867" max="14870" width="13.28515625" style="57" customWidth="1"/>
    <col min="14871" max="15095" width="9.140625" style="57"/>
    <col min="15096" max="15096" width="31" style="57" customWidth="1"/>
    <col min="15097" max="15097" width="18.5703125" style="57" customWidth="1"/>
    <col min="15098" max="15098" width="3.85546875" style="57" customWidth="1"/>
    <col min="15099" max="15099" width="18.7109375" style="57" customWidth="1"/>
    <col min="15100" max="15108" width="14" style="57" customWidth="1"/>
    <col min="15109" max="15109" width="13" style="57" bestFit="1" customWidth="1"/>
    <col min="15110" max="15110" width="14.5703125" style="57" bestFit="1" customWidth="1"/>
    <col min="15111" max="15111" width="12.140625" style="57" bestFit="1" customWidth="1"/>
    <col min="15112" max="15122" width="14" style="57" customWidth="1"/>
    <col min="15123" max="15126" width="13.28515625" style="57" customWidth="1"/>
    <col min="15127" max="15351" width="9.140625" style="57"/>
    <col min="15352" max="15352" width="31" style="57" customWidth="1"/>
    <col min="15353" max="15353" width="18.5703125" style="57" customWidth="1"/>
    <col min="15354" max="15354" width="3.85546875" style="57" customWidth="1"/>
    <col min="15355" max="15355" width="18.7109375" style="57" customWidth="1"/>
    <col min="15356" max="15364" width="14" style="57" customWidth="1"/>
    <col min="15365" max="15365" width="13" style="57" bestFit="1" customWidth="1"/>
    <col min="15366" max="15366" width="14.5703125" style="57" bestFit="1" customWidth="1"/>
    <col min="15367" max="15367" width="12.140625" style="57" bestFit="1" customWidth="1"/>
    <col min="15368" max="15378" width="14" style="57" customWidth="1"/>
    <col min="15379" max="15382" width="13.28515625" style="57" customWidth="1"/>
    <col min="15383" max="15607" width="9.140625" style="57"/>
    <col min="15608" max="15608" width="31" style="57" customWidth="1"/>
    <col min="15609" max="15609" width="18.5703125" style="57" customWidth="1"/>
    <col min="15610" max="15610" width="3.85546875" style="57" customWidth="1"/>
    <col min="15611" max="15611" width="18.7109375" style="57" customWidth="1"/>
    <col min="15612" max="15620" width="14" style="57" customWidth="1"/>
    <col min="15621" max="15621" width="13" style="57" bestFit="1" customWidth="1"/>
    <col min="15622" max="15622" width="14.5703125" style="57" bestFit="1" customWidth="1"/>
    <col min="15623" max="15623" width="12.140625" style="57" bestFit="1" customWidth="1"/>
    <col min="15624" max="15634" width="14" style="57" customWidth="1"/>
    <col min="15635" max="15638" width="13.28515625" style="57" customWidth="1"/>
    <col min="15639" max="15863" width="9.140625" style="57"/>
    <col min="15864" max="15864" width="31" style="57" customWidth="1"/>
    <col min="15865" max="15865" width="18.5703125" style="57" customWidth="1"/>
    <col min="15866" max="15866" width="3.85546875" style="57" customWidth="1"/>
    <col min="15867" max="15867" width="18.7109375" style="57" customWidth="1"/>
    <col min="15868" max="15876" width="14" style="57" customWidth="1"/>
    <col min="15877" max="15877" width="13" style="57" bestFit="1" customWidth="1"/>
    <col min="15878" max="15878" width="14.5703125" style="57" bestFit="1" customWidth="1"/>
    <col min="15879" max="15879" width="12.140625" style="57" bestFit="1" customWidth="1"/>
    <col min="15880" max="15890" width="14" style="57" customWidth="1"/>
    <col min="15891" max="15894" width="13.28515625" style="57" customWidth="1"/>
    <col min="15895" max="16119" width="9.140625" style="57"/>
    <col min="16120" max="16120" width="31" style="57" customWidth="1"/>
    <col min="16121" max="16121" width="18.5703125" style="57" customWidth="1"/>
    <col min="16122" max="16122" width="3.85546875" style="57" customWidth="1"/>
    <col min="16123" max="16123" width="18.7109375" style="57" customWidth="1"/>
    <col min="16124" max="16132" width="14" style="57" customWidth="1"/>
    <col min="16133" max="16133" width="13" style="57" bestFit="1" customWidth="1"/>
    <col min="16134" max="16134" width="14.5703125" style="57" bestFit="1" customWidth="1"/>
    <col min="16135" max="16135" width="12.140625" style="57" bestFit="1" customWidth="1"/>
    <col min="16136" max="16146" width="14" style="57" customWidth="1"/>
    <col min="16147" max="16150" width="13.28515625" style="57" customWidth="1"/>
    <col min="16151" max="16384" width="9.140625" style="57"/>
  </cols>
  <sheetData>
    <row r="1" spans="1:20" x14ac:dyDescent="0.2">
      <c r="D1" s="57"/>
      <c r="E1" s="57"/>
      <c r="F1" s="57"/>
    </row>
    <row r="2" spans="1:20" x14ac:dyDescent="0.2">
      <c r="D2" s="57"/>
      <c r="E2" s="57"/>
      <c r="F2" s="57"/>
      <c r="P2"/>
      <c r="Q2"/>
      <c r="R2"/>
      <c r="S2"/>
      <c r="T2"/>
    </row>
    <row r="3" spans="1:20" s="59" customFormat="1" ht="15.75" customHeight="1" x14ac:dyDescent="0.2">
      <c r="A3" s="148" t="s">
        <v>91</v>
      </c>
      <c r="B3" s="149"/>
      <c r="C3" s="149"/>
      <c r="D3" s="149"/>
      <c r="E3" s="149"/>
      <c r="F3" s="149"/>
      <c r="G3" s="150"/>
      <c r="H3"/>
      <c r="I3"/>
      <c r="J3"/>
      <c r="K3"/>
      <c r="L3"/>
    </row>
    <row r="4" spans="1:20" ht="44.25" customHeight="1" x14ac:dyDescent="0.2">
      <c r="A4" s="110" t="s">
        <v>68</v>
      </c>
      <c r="B4" s="110" t="s">
        <v>57</v>
      </c>
      <c r="C4" s="110" t="s">
        <v>69</v>
      </c>
      <c r="D4" s="110" t="s">
        <v>70</v>
      </c>
      <c r="E4" s="110" t="s">
        <v>71</v>
      </c>
      <c r="F4" s="110" t="s">
        <v>98</v>
      </c>
      <c r="G4" s="110" t="s">
        <v>99</v>
      </c>
      <c r="H4"/>
      <c r="I4"/>
      <c r="J4"/>
      <c r="K4"/>
      <c r="L4"/>
      <c r="M4" s="57"/>
    </row>
    <row r="5" spans="1:20" x14ac:dyDescent="0.2">
      <c r="A5" s="112">
        <v>2014</v>
      </c>
      <c r="B5" s="111">
        <f>AVERAGEIF($A$24:$A$143,$A5,G$24:G$143)</f>
        <v>10964.083333333334</v>
      </c>
      <c r="C5" s="111">
        <f>AVERAGEIF($A$24:$A$143,$A5,I$24:I$143)</f>
        <v>2106</v>
      </c>
      <c r="D5" s="111">
        <f>AVERAGEIF($A$24:$A$143,$A5,L$24:L$143)</f>
        <v>172</v>
      </c>
      <c r="E5" s="111">
        <f>AVERAGEIF($A$24:$A$143,$A5,N$24:N$143)</f>
        <v>54.75</v>
      </c>
      <c r="F5" s="111">
        <f>AVERAGEIF($A$24:$A$143,$A5,Q$24:Q$143)</f>
        <v>56.666666666666664</v>
      </c>
      <c r="G5" s="111">
        <f>AVERAGEIF($A$24:$A$143,$A5,T$24:T$143)</f>
        <v>2843.6666666666665</v>
      </c>
      <c r="H5"/>
      <c r="I5"/>
      <c r="J5"/>
      <c r="K5"/>
      <c r="L5"/>
      <c r="M5" s="57"/>
    </row>
    <row r="6" spans="1:20" x14ac:dyDescent="0.2">
      <c r="A6" s="112">
        <v>2015</v>
      </c>
      <c r="B6" s="111">
        <f t="shared" ref="B6:B14" si="0">AVERAGEIF($A$24:$A$143,$A6,G$24:G$143)</f>
        <v>11020.916666666666</v>
      </c>
      <c r="C6" s="111">
        <f t="shared" ref="C6:C14" si="1">AVERAGEIF($A$24:$A$143,$A6,I$24:I$143)</f>
        <v>2132.5833333333335</v>
      </c>
      <c r="D6" s="111">
        <f t="shared" ref="D6:D14" si="2">AVERAGEIF($A$24:$A$143,$A6,L$24:L$143)</f>
        <v>155.83333333333334</v>
      </c>
      <c r="E6" s="111">
        <f t="shared" ref="E6:E14" si="3">AVERAGEIF($A$24:$A$143,$A6,N$24:N$143)</f>
        <v>52.166666666666664</v>
      </c>
      <c r="F6" s="111">
        <f t="shared" ref="F6:F14" si="4">AVERAGEIF($A$24:$A$143,$A6,Q$24:Q$143)</f>
        <v>53</v>
      </c>
      <c r="G6" s="111">
        <f t="shared" ref="G6:G14" si="5">AVERAGEIF($A$24:$A$143,$A6,T$24:T$143)</f>
        <v>2766.0833333333335</v>
      </c>
      <c r="H6"/>
      <c r="I6"/>
      <c r="J6"/>
      <c r="K6"/>
      <c r="L6"/>
      <c r="M6" s="57"/>
    </row>
    <row r="7" spans="1:20" x14ac:dyDescent="0.2">
      <c r="A7" s="112">
        <v>2016</v>
      </c>
      <c r="B7" s="111">
        <f t="shared" si="0"/>
        <v>11078.416666666666</v>
      </c>
      <c r="C7" s="111">
        <f t="shared" si="1"/>
        <v>2137.6666666666665</v>
      </c>
      <c r="D7" s="111">
        <f t="shared" si="2"/>
        <v>149.33333333333334</v>
      </c>
      <c r="E7" s="111">
        <f t="shared" si="3"/>
        <v>51</v>
      </c>
      <c r="F7" s="111">
        <f t="shared" si="4"/>
        <v>52.333333333333336</v>
      </c>
      <c r="G7" s="111">
        <f t="shared" si="5"/>
        <v>2679.1666666666665</v>
      </c>
      <c r="H7"/>
      <c r="I7"/>
      <c r="J7"/>
      <c r="K7"/>
      <c r="L7"/>
      <c r="M7" s="57"/>
    </row>
    <row r="8" spans="1:20" x14ac:dyDescent="0.2">
      <c r="A8" s="112">
        <v>2017</v>
      </c>
      <c r="B8" s="111">
        <f t="shared" si="0"/>
        <v>11168.75</v>
      </c>
      <c r="C8" s="111">
        <f t="shared" si="1"/>
        <v>2144.4166666666665</v>
      </c>
      <c r="D8" s="111">
        <f t="shared" si="2"/>
        <v>137.91666666666666</v>
      </c>
      <c r="E8" s="111">
        <f t="shared" si="3"/>
        <v>51</v>
      </c>
      <c r="F8" s="111">
        <f t="shared" si="4"/>
        <v>45.5</v>
      </c>
      <c r="G8" s="111">
        <f t="shared" si="5"/>
        <v>2848.3333333333335</v>
      </c>
      <c r="H8"/>
      <c r="I8"/>
      <c r="J8"/>
      <c r="K8"/>
      <c r="L8"/>
      <c r="M8" s="57"/>
    </row>
    <row r="9" spans="1:20" x14ac:dyDescent="0.2">
      <c r="A9" s="112">
        <v>2018</v>
      </c>
      <c r="B9" s="111">
        <f t="shared" si="0"/>
        <v>11288.666666666666</v>
      </c>
      <c r="C9" s="111">
        <f t="shared" si="1"/>
        <v>2158.8333333333335</v>
      </c>
      <c r="D9" s="111">
        <f t="shared" si="2"/>
        <v>137.5</v>
      </c>
      <c r="E9" s="111">
        <f t="shared" si="3"/>
        <v>51</v>
      </c>
      <c r="F9" s="111">
        <f t="shared" si="4"/>
        <v>44</v>
      </c>
      <c r="G9" s="111">
        <f t="shared" si="5"/>
        <v>2849</v>
      </c>
      <c r="H9"/>
      <c r="I9"/>
      <c r="J9"/>
      <c r="K9"/>
      <c r="L9"/>
      <c r="M9" s="57"/>
    </row>
    <row r="10" spans="1:20" x14ac:dyDescent="0.2">
      <c r="A10" s="112">
        <v>2019</v>
      </c>
      <c r="B10" s="111">
        <f t="shared" si="0"/>
        <v>11429.75</v>
      </c>
      <c r="C10" s="111">
        <f t="shared" si="1"/>
        <v>2154.3333333333335</v>
      </c>
      <c r="D10" s="111">
        <f t="shared" si="2"/>
        <v>136.66666666666666</v>
      </c>
      <c r="E10" s="111">
        <f t="shared" si="3"/>
        <v>54.583333333333336</v>
      </c>
      <c r="F10" s="111">
        <f t="shared" si="4"/>
        <v>41.25</v>
      </c>
      <c r="G10" s="111">
        <f t="shared" si="5"/>
        <v>2849.1666666666665</v>
      </c>
      <c r="H10"/>
      <c r="I10"/>
      <c r="J10"/>
      <c r="K10"/>
      <c r="L10"/>
      <c r="M10" s="57"/>
    </row>
    <row r="11" spans="1:20" x14ac:dyDescent="0.2">
      <c r="A11" s="112">
        <v>2020</v>
      </c>
      <c r="B11" s="111">
        <f t="shared" si="0"/>
        <v>11566</v>
      </c>
      <c r="C11" s="111">
        <f t="shared" si="1"/>
        <v>2155.3333333333335</v>
      </c>
      <c r="D11" s="111">
        <f t="shared" si="2"/>
        <v>135.83333333333334</v>
      </c>
      <c r="E11" s="111">
        <f t="shared" si="3"/>
        <v>56</v>
      </c>
      <c r="F11" s="111">
        <f t="shared" si="4"/>
        <v>40</v>
      </c>
      <c r="G11" s="111">
        <f t="shared" si="5"/>
        <v>2851</v>
      </c>
      <c r="H11"/>
      <c r="I11"/>
      <c r="J11"/>
      <c r="K11"/>
      <c r="L11"/>
      <c r="M11" s="57"/>
    </row>
    <row r="12" spans="1:20" x14ac:dyDescent="0.2">
      <c r="A12" s="112">
        <v>2021</v>
      </c>
      <c r="B12" s="111">
        <f t="shared" si="0"/>
        <v>11725.916666666666</v>
      </c>
      <c r="C12" s="111">
        <f t="shared" si="1"/>
        <v>2190.8333333333335</v>
      </c>
      <c r="D12" s="111">
        <f t="shared" si="2"/>
        <v>130.75</v>
      </c>
      <c r="E12" s="111">
        <f t="shared" si="3"/>
        <v>64.5</v>
      </c>
      <c r="F12" s="111">
        <f t="shared" si="4"/>
        <v>40</v>
      </c>
      <c r="G12" s="111">
        <f t="shared" si="5"/>
        <v>2851</v>
      </c>
      <c r="H12"/>
      <c r="I12"/>
      <c r="J12"/>
      <c r="K12"/>
      <c r="L12"/>
      <c r="M12" s="57"/>
    </row>
    <row r="13" spans="1:20" x14ac:dyDescent="0.2">
      <c r="A13" s="112">
        <v>2022</v>
      </c>
      <c r="B13" s="111">
        <f t="shared" si="0"/>
        <v>11911.916666666666</v>
      </c>
      <c r="C13" s="111">
        <f t="shared" si="1"/>
        <v>2205.1666666666665</v>
      </c>
      <c r="D13" s="111">
        <f t="shared" si="2"/>
        <v>129.08333333333334</v>
      </c>
      <c r="E13" s="111">
        <f t="shared" si="3"/>
        <v>64.25</v>
      </c>
      <c r="F13" s="111">
        <f t="shared" si="4"/>
        <v>37.583333333333336</v>
      </c>
      <c r="G13" s="111">
        <f t="shared" si="5"/>
        <v>2851</v>
      </c>
      <c r="H13"/>
      <c r="I13"/>
      <c r="J13"/>
      <c r="K13"/>
      <c r="L13"/>
      <c r="M13" s="57"/>
    </row>
    <row r="14" spans="1:20" x14ac:dyDescent="0.2">
      <c r="A14" s="112">
        <v>2023</v>
      </c>
      <c r="B14" s="111">
        <f t="shared" si="0"/>
        <v>12125.25</v>
      </c>
      <c r="C14" s="111">
        <f t="shared" si="1"/>
        <v>2206.4166666666665</v>
      </c>
      <c r="D14" s="111">
        <f t="shared" si="2"/>
        <v>130.08333333333334</v>
      </c>
      <c r="E14" s="111">
        <f t="shared" si="3"/>
        <v>63.333333333333336</v>
      </c>
      <c r="F14" s="111">
        <f t="shared" si="4"/>
        <v>32.5</v>
      </c>
      <c r="G14" s="111">
        <f t="shared" si="5"/>
        <v>2851</v>
      </c>
      <c r="H14"/>
      <c r="I14"/>
      <c r="J14"/>
      <c r="K14"/>
      <c r="L14"/>
      <c r="M14" s="57"/>
    </row>
    <row r="15" spans="1:20" x14ac:dyDescent="0.2">
      <c r="A15" s="112">
        <v>2024</v>
      </c>
      <c r="B15" s="111">
        <f>AVERAGEIF($A$24:$A$155,$A15,G$24:G$155)</f>
        <v>12332.666666666666</v>
      </c>
      <c r="C15" s="111">
        <f>AVERAGEIF($A$24:$A$155,$A15,I$24:I$155)</f>
        <v>2226.1666666666665</v>
      </c>
      <c r="D15" s="111">
        <f>AVERAGEIF($A$24:$A$155,$A15,L$24:L$155)</f>
        <v>132.25</v>
      </c>
      <c r="E15" s="111">
        <f>AVERAGEIF($A$24:$A$155,$A15,N$24:N$155)</f>
        <v>63</v>
      </c>
      <c r="F15" s="111">
        <f>AVERAGEIF($A$24:$A$155,$A15,Q$24:Q$155)</f>
        <v>32.666666666666664</v>
      </c>
      <c r="G15" s="111">
        <f>AVERAGEIF($A$24:$A$155,$A15,T$24:T$155)</f>
        <v>2851</v>
      </c>
      <c r="H15"/>
      <c r="I15"/>
      <c r="J15"/>
      <c r="K15"/>
      <c r="L15"/>
      <c r="M15" s="57"/>
    </row>
    <row r="16" spans="1:20" x14ac:dyDescent="0.2">
      <c r="A16"/>
      <c r="B16"/>
      <c r="D16"/>
      <c r="E16"/>
      <c r="F16"/>
      <c r="G16"/>
      <c r="H16"/>
      <c r="I16" s="41"/>
      <c r="J16"/>
      <c r="K16"/>
      <c r="L16"/>
      <c r="M16"/>
      <c r="N16"/>
      <c r="O16"/>
      <c r="P16"/>
      <c r="Q16"/>
      <c r="R16"/>
      <c r="S16"/>
    </row>
    <row r="17" spans="1:22" x14ac:dyDescent="0.2">
      <c r="A17"/>
      <c r="B17" s="4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22" x14ac:dyDescent="0.2">
      <c r="A18"/>
      <c r="B18"/>
      <c r="D18"/>
      <c r="E18"/>
      <c r="F18"/>
      <c r="G18" s="41"/>
      <c r="H18"/>
      <c r="I18"/>
      <c r="J18"/>
      <c r="K18"/>
      <c r="L18"/>
      <c r="M18"/>
      <c r="N18"/>
      <c r="O18"/>
      <c r="P18"/>
      <c r="Q18"/>
      <c r="R18"/>
      <c r="S18"/>
    </row>
    <row r="20" spans="1:22" ht="15.75" x14ac:dyDescent="0.2">
      <c r="A20" s="151" t="s">
        <v>72</v>
      </c>
      <c r="B20" s="151"/>
      <c r="C20" s="61"/>
      <c r="D20" s="152" t="s">
        <v>73</v>
      </c>
      <c r="E20" s="153"/>
      <c r="F20" s="151" t="s">
        <v>74</v>
      </c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</row>
    <row r="21" spans="1:22" ht="22.5" x14ac:dyDescent="0.2">
      <c r="A21" s="113"/>
      <c r="B21" s="113"/>
      <c r="C21" s="63"/>
      <c r="D21" s="114" t="s">
        <v>75</v>
      </c>
      <c r="E21" s="115"/>
      <c r="F21" s="155" t="str">
        <f>B4</f>
        <v>Residential</v>
      </c>
      <c r="G21" s="156"/>
      <c r="H21" s="154" t="str">
        <f>C4</f>
        <v>General Service &lt; 50 kW</v>
      </c>
      <c r="I21" s="156"/>
      <c r="J21" s="154" t="str">
        <f>D4</f>
        <v>General Service &gt; 50 to 4999 kW</v>
      </c>
      <c r="K21" s="155"/>
      <c r="L21" s="156"/>
      <c r="M21" s="154" t="str">
        <f>E4</f>
        <v>USL</v>
      </c>
      <c r="N21" s="156"/>
      <c r="O21" s="154" t="str">
        <f>F4</f>
        <v>Sentinel Lighting</v>
      </c>
      <c r="P21" s="155"/>
      <c r="Q21" s="156"/>
      <c r="R21" s="154" t="str">
        <f>G4</f>
        <v>Street Lighting</v>
      </c>
      <c r="S21" s="155"/>
      <c r="T21" s="156"/>
    </row>
    <row r="22" spans="1:22" ht="34.5" thickBot="1" x14ac:dyDescent="0.25">
      <c r="A22" s="62"/>
      <c r="B22" s="62"/>
      <c r="C22" s="64"/>
      <c r="D22" s="116" t="s">
        <v>46</v>
      </c>
      <c r="E22" s="117"/>
      <c r="F22" s="118" t="s">
        <v>46</v>
      </c>
      <c r="G22" s="119" t="s">
        <v>76</v>
      </c>
      <c r="H22" s="116" t="s">
        <v>46</v>
      </c>
      <c r="I22" s="119" t="s">
        <v>76</v>
      </c>
      <c r="J22" s="116" t="s">
        <v>46</v>
      </c>
      <c r="K22" s="120" t="s">
        <v>47</v>
      </c>
      <c r="L22" s="119" t="s">
        <v>76</v>
      </c>
      <c r="M22" s="116" t="s">
        <v>46</v>
      </c>
      <c r="N22" s="119" t="s">
        <v>77</v>
      </c>
      <c r="O22" s="116" t="s">
        <v>46</v>
      </c>
      <c r="P22" s="120" t="s">
        <v>47</v>
      </c>
      <c r="Q22" s="119" t="s">
        <v>76</v>
      </c>
      <c r="R22" s="116" t="s">
        <v>46</v>
      </c>
      <c r="S22" s="120" t="s">
        <v>47</v>
      </c>
      <c r="T22" s="119" t="s">
        <v>76</v>
      </c>
    </row>
    <row r="23" spans="1:22" x14ac:dyDescent="0.2">
      <c r="A23" s="65" t="s">
        <v>63</v>
      </c>
      <c r="B23" s="65" t="s">
        <v>92</v>
      </c>
      <c r="C23" s="64"/>
      <c r="D23" s="66"/>
      <c r="E23" s="67"/>
      <c r="F23" s="68"/>
      <c r="G23" s="69"/>
      <c r="H23" s="70"/>
      <c r="I23" s="69"/>
      <c r="J23" s="70"/>
      <c r="K23" s="71"/>
      <c r="L23" s="72"/>
      <c r="M23" s="74"/>
      <c r="N23" s="73"/>
      <c r="O23" s="74"/>
      <c r="P23" s="76"/>
      <c r="Q23" s="77"/>
      <c r="R23" s="74"/>
      <c r="S23" s="75"/>
      <c r="T23" s="69"/>
    </row>
    <row r="24" spans="1:22" x14ac:dyDescent="0.2">
      <c r="A24" s="78">
        <v>2014</v>
      </c>
      <c r="B24" s="79" t="s">
        <v>78</v>
      </c>
      <c r="C24" s="80"/>
      <c r="D24" s="81">
        <v>35005917</v>
      </c>
      <c r="E24" s="81"/>
      <c r="F24" s="82">
        <v>15094589.382763438</v>
      </c>
      <c r="G24" s="83">
        <v>10951</v>
      </c>
      <c r="H24" s="81">
        <v>6383202.7170219291</v>
      </c>
      <c r="I24" s="83">
        <v>2100</v>
      </c>
      <c r="J24" s="84">
        <v>10877889.20781571</v>
      </c>
      <c r="K24" s="85">
        <v>23851.56</v>
      </c>
      <c r="L24" s="83">
        <v>172</v>
      </c>
      <c r="M24" s="81">
        <v>15114.006383569249</v>
      </c>
      <c r="N24" s="83">
        <v>56</v>
      </c>
      <c r="O24" s="84">
        <v>4218.48580997317</v>
      </c>
      <c r="P24" s="86">
        <v>11.718016138814361</v>
      </c>
      <c r="Q24" s="83">
        <v>57</v>
      </c>
      <c r="R24" s="84">
        <v>256046.34953557223</v>
      </c>
      <c r="S24" s="85">
        <v>552.86</v>
      </c>
      <c r="T24" s="83">
        <v>2852</v>
      </c>
      <c r="U24" s="122">
        <f>G24+I24+L24</f>
        <v>13223</v>
      </c>
      <c r="V24" s="122"/>
    </row>
    <row r="25" spans="1:22" x14ac:dyDescent="0.2">
      <c r="A25" s="78">
        <v>2014</v>
      </c>
      <c r="B25" s="79" t="s">
        <v>79</v>
      </c>
      <c r="C25" s="87"/>
      <c r="D25" s="88">
        <v>30863808</v>
      </c>
      <c r="E25" s="88"/>
      <c r="F25" s="89">
        <v>12803913.190357108</v>
      </c>
      <c r="G25" s="90">
        <v>10948</v>
      </c>
      <c r="H25" s="88">
        <v>5641962.1343843099</v>
      </c>
      <c r="I25" s="90">
        <v>2099</v>
      </c>
      <c r="J25" s="91">
        <v>9969282.7410306223</v>
      </c>
      <c r="K25" s="92">
        <v>23912.420000000002</v>
      </c>
      <c r="L25" s="90">
        <v>172</v>
      </c>
      <c r="M25" s="88">
        <v>15114.006383569249</v>
      </c>
      <c r="N25" s="90">
        <v>56</v>
      </c>
      <c r="O25" s="91">
        <v>4218.48580997317</v>
      </c>
      <c r="P25" s="93">
        <v>11.718016138814361</v>
      </c>
      <c r="Q25" s="90">
        <v>57</v>
      </c>
      <c r="R25" s="91">
        <v>226313.55166527891</v>
      </c>
      <c r="S25" s="92">
        <v>552.86</v>
      </c>
      <c r="T25" s="90">
        <v>2852</v>
      </c>
      <c r="V25" s="122"/>
    </row>
    <row r="26" spans="1:22" x14ac:dyDescent="0.2">
      <c r="A26" s="78">
        <v>2014</v>
      </c>
      <c r="B26" s="79" t="s">
        <v>80</v>
      </c>
      <c r="C26" s="87"/>
      <c r="D26" s="88">
        <v>32142987</v>
      </c>
      <c r="E26" s="88"/>
      <c r="F26" s="89">
        <v>12827196.253946707</v>
      </c>
      <c r="G26" s="90">
        <v>10949</v>
      </c>
      <c r="H26" s="88">
        <v>5855163.49531224</v>
      </c>
      <c r="I26" s="90">
        <v>2098</v>
      </c>
      <c r="J26" s="91">
        <v>10915846.448511425</v>
      </c>
      <c r="K26" s="92">
        <v>23709.120000000003</v>
      </c>
      <c r="L26" s="90">
        <v>172</v>
      </c>
      <c r="M26" s="88">
        <v>15114.006383569249</v>
      </c>
      <c r="N26" s="90">
        <v>56</v>
      </c>
      <c r="O26" s="91">
        <v>4218.48580997317</v>
      </c>
      <c r="P26" s="93">
        <v>11.718016138814361</v>
      </c>
      <c r="Q26" s="90">
        <v>57</v>
      </c>
      <c r="R26" s="91">
        <v>214357.65619298734</v>
      </c>
      <c r="S26" s="92">
        <v>552.86</v>
      </c>
      <c r="T26" s="90">
        <v>2852</v>
      </c>
      <c r="V26" s="122"/>
    </row>
    <row r="27" spans="1:22" x14ac:dyDescent="0.2">
      <c r="A27" s="78">
        <v>2014</v>
      </c>
      <c r="B27" s="79" t="s">
        <v>81</v>
      </c>
      <c r="C27" s="87"/>
      <c r="D27" s="88">
        <v>25688722</v>
      </c>
      <c r="E27" s="88"/>
      <c r="F27" s="89">
        <v>9507309.2910037972</v>
      </c>
      <c r="G27" s="90">
        <v>10949</v>
      </c>
      <c r="H27" s="88">
        <v>4702930.33585901</v>
      </c>
      <c r="I27" s="90">
        <v>2107</v>
      </c>
      <c r="J27" s="91">
        <v>9712427.3622786552</v>
      </c>
      <c r="K27" s="92">
        <v>22640.25</v>
      </c>
      <c r="L27" s="90">
        <v>172</v>
      </c>
      <c r="M27" s="88">
        <v>15114.006383569249</v>
      </c>
      <c r="N27" s="90">
        <v>56</v>
      </c>
      <c r="O27" s="91">
        <v>4218.48580997317</v>
      </c>
      <c r="P27" s="93">
        <v>11.718016138814361</v>
      </c>
      <c r="Q27" s="90">
        <v>57</v>
      </c>
      <c r="R27" s="91">
        <v>182086.68714034601</v>
      </c>
      <c r="S27" s="92">
        <v>552.86</v>
      </c>
      <c r="T27" s="90">
        <v>2852</v>
      </c>
      <c r="V27" s="122"/>
    </row>
    <row r="28" spans="1:22" x14ac:dyDescent="0.2">
      <c r="A28" s="78">
        <v>2014</v>
      </c>
      <c r="B28" s="79" t="s">
        <v>45</v>
      </c>
      <c r="C28" s="87"/>
      <c r="D28" s="88">
        <v>22896808</v>
      </c>
      <c r="E28" s="88"/>
      <c r="F28" s="89">
        <v>7229742.7856425159</v>
      </c>
      <c r="G28" s="90">
        <v>10944</v>
      </c>
      <c r="H28" s="88">
        <v>4157732.5021805898</v>
      </c>
      <c r="I28" s="90">
        <v>2106</v>
      </c>
      <c r="J28" s="91">
        <v>9845385.2209455073</v>
      </c>
      <c r="K28" s="92">
        <v>24146.22</v>
      </c>
      <c r="L28" s="90">
        <v>172</v>
      </c>
      <c r="M28" s="88">
        <v>15114.006383569249</v>
      </c>
      <c r="N28" s="90">
        <v>56</v>
      </c>
      <c r="O28" s="91">
        <v>4218.48580997317</v>
      </c>
      <c r="P28" s="93">
        <v>11.718016138814361</v>
      </c>
      <c r="Q28" s="90">
        <v>57</v>
      </c>
      <c r="R28" s="91">
        <v>164981.7054500879</v>
      </c>
      <c r="S28" s="92">
        <v>552.86</v>
      </c>
      <c r="T28" s="90">
        <v>2852</v>
      </c>
      <c r="V28" s="122"/>
    </row>
    <row r="29" spans="1:22" x14ac:dyDescent="0.2">
      <c r="A29" s="78">
        <v>2014</v>
      </c>
      <c r="B29" s="79" t="s">
        <v>82</v>
      </c>
      <c r="C29" s="87"/>
      <c r="D29" s="88">
        <v>22467129</v>
      </c>
      <c r="E29" s="88"/>
      <c r="F29" s="89">
        <v>6471676.4542631172</v>
      </c>
      <c r="G29" s="90">
        <v>10968</v>
      </c>
      <c r="H29" s="88">
        <v>4245293.00994357</v>
      </c>
      <c r="I29" s="90">
        <v>2105</v>
      </c>
      <c r="J29" s="91">
        <v>9986224.4736145809</v>
      </c>
      <c r="K29" s="92">
        <v>25681.079999999998</v>
      </c>
      <c r="L29" s="90">
        <v>172</v>
      </c>
      <c r="M29" s="88">
        <v>15114.006383569249</v>
      </c>
      <c r="N29" s="90">
        <v>56</v>
      </c>
      <c r="O29" s="91">
        <v>4168.3228420760479</v>
      </c>
      <c r="P29" s="93">
        <v>11.578674561322357</v>
      </c>
      <c r="Q29" s="90">
        <v>56</v>
      </c>
      <c r="R29" s="91">
        <v>145726.03909149783</v>
      </c>
      <c r="S29" s="92">
        <v>551.86</v>
      </c>
      <c r="T29" s="90">
        <v>2836</v>
      </c>
      <c r="V29" s="122"/>
    </row>
    <row r="30" spans="1:22" x14ac:dyDescent="0.2">
      <c r="A30" s="78">
        <v>2014</v>
      </c>
      <c r="B30" s="79" t="s">
        <v>83</v>
      </c>
      <c r="C30" s="87"/>
      <c r="D30" s="88">
        <v>23174494</v>
      </c>
      <c r="E30" s="88"/>
      <c r="F30" s="89">
        <v>6701854.6872032564</v>
      </c>
      <c r="G30" s="90">
        <v>10964</v>
      </c>
      <c r="H30" s="88">
        <v>4441903.9089212697</v>
      </c>
      <c r="I30" s="90">
        <v>2110</v>
      </c>
      <c r="J30" s="91">
        <v>10347381.624896847</v>
      </c>
      <c r="K30" s="92">
        <v>24263.59</v>
      </c>
      <c r="L30" s="90">
        <v>172</v>
      </c>
      <c r="M30" s="88">
        <v>15114.006383569249</v>
      </c>
      <c r="N30" s="90">
        <v>56</v>
      </c>
      <c r="O30" s="91">
        <v>4210.4421463595154</v>
      </c>
      <c r="P30" s="93">
        <v>11.69567262877643</v>
      </c>
      <c r="Q30" s="90">
        <v>58</v>
      </c>
      <c r="R30" s="91">
        <v>151735.49563326858</v>
      </c>
      <c r="S30" s="92">
        <v>549.01</v>
      </c>
      <c r="T30" s="90">
        <v>2838</v>
      </c>
      <c r="V30" s="122"/>
    </row>
    <row r="31" spans="1:22" x14ac:dyDescent="0.2">
      <c r="A31" s="78">
        <v>2014</v>
      </c>
      <c r="B31" s="79" t="s">
        <v>84</v>
      </c>
      <c r="C31" s="87"/>
      <c r="D31" s="88">
        <v>23391322</v>
      </c>
      <c r="E31" s="88"/>
      <c r="F31" s="89">
        <v>6774992.2205930268</v>
      </c>
      <c r="G31" s="90">
        <v>10966</v>
      </c>
      <c r="H31" s="88">
        <v>4367697.4063299093</v>
      </c>
      <c r="I31" s="90">
        <v>2112</v>
      </c>
      <c r="J31" s="91">
        <v>10325524.62498381</v>
      </c>
      <c r="K31" s="92">
        <v>24329.230000000003</v>
      </c>
      <c r="L31" s="90">
        <v>171</v>
      </c>
      <c r="M31" s="88">
        <v>15114.006383569249</v>
      </c>
      <c r="N31" s="90">
        <v>56</v>
      </c>
      <c r="O31" s="91">
        <v>4142.882146359515</v>
      </c>
      <c r="P31" s="93">
        <v>11.508005962109763</v>
      </c>
      <c r="Q31" s="90">
        <v>57</v>
      </c>
      <c r="R31" s="91">
        <v>169308.74913035432</v>
      </c>
      <c r="S31" s="92">
        <v>549.01</v>
      </c>
      <c r="T31" s="90">
        <v>2838</v>
      </c>
      <c r="V31" s="122"/>
    </row>
    <row r="32" spans="1:22" x14ac:dyDescent="0.2">
      <c r="A32" s="78">
        <v>2014</v>
      </c>
      <c r="B32" s="79" t="s">
        <v>85</v>
      </c>
      <c r="C32" s="87"/>
      <c r="D32" s="88">
        <v>22126761</v>
      </c>
      <c r="E32" s="88"/>
      <c r="F32" s="89">
        <v>6559011.4612110266</v>
      </c>
      <c r="G32" s="90">
        <v>10970</v>
      </c>
      <c r="H32" s="88">
        <v>3955556.4792089928</v>
      </c>
      <c r="I32" s="90">
        <v>2111</v>
      </c>
      <c r="J32" s="91">
        <v>9951408.9532121383</v>
      </c>
      <c r="K32" s="92">
        <v>24863.46</v>
      </c>
      <c r="L32" s="90">
        <v>172</v>
      </c>
      <c r="M32" s="88">
        <v>14826.005273383293</v>
      </c>
      <c r="N32" s="90">
        <v>53</v>
      </c>
      <c r="O32" s="91">
        <v>4108.6821463595152</v>
      </c>
      <c r="P32" s="93">
        <v>11.413005962109764</v>
      </c>
      <c r="Q32" s="90">
        <v>56</v>
      </c>
      <c r="R32" s="91">
        <v>187116.26953742251</v>
      </c>
      <c r="S32" s="92">
        <v>549.01</v>
      </c>
      <c r="T32" s="90">
        <v>2838</v>
      </c>
      <c r="V32" s="122"/>
    </row>
    <row r="33" spans="1:22" x14ac:dyDescent="0.2">
      <c r="A33" s="78">
        <v>2014</v>
      </c>
      <c r="B33" s="79" t="s">
        <v>86</v>
      </c>
      <c r="C33" s="87"/>
      <c r="D33" s="88">
        <v>23838442</v>
      </c>
      <c r="E33" s="88"/>
      <c r="F33" s="89">
        <v>7825270.6172051057</v>
      </c>
      <c r="G33" s="90">
        <v>10986</v>
      </c>
      <c r="H33" s="88">
        <v>4172827.8742048298</v>
      </c>
      <c r="I33" s="90">
        <v>2114</v>
      </c>
      <c r="J33" s="91">
        <v>9952029.8687427137</v>
      </c>
      <c r="K33" s="92">
        <v>23611.82</v>
      </c>
      <c r="L33" s="90">
        <v>172</v>
      </c>
      <c r="M33" s="88">
        <v>14826.005273383293</v>
      </c>
      <c r="N33" s="90">
        <v>52</v>
      </c>
      <c r="O33" s="91">
        <v>4178.2221463595151</v>
      </c>
      <c r="P33" s="93">
        <v>11.606172628776431</v>
      </c>
      <c r="Q33" s="90">
        <v>58</v>
      </c>
      <c r="R33" s="91">
        <v>218907.53751873437</v>
      </c>
      <c r="S33" s="92">
        <v>549.01</v>
      </c>
      <c r="T33" s="90">
        <v>2838</v>
      </c>
      <c r="V33" s="122"/>
    </row>
    <row r="34" spans="1:22" x14ac:dyDescent="0.2">
      <c r="A34" s="78">
        <v>2014</v>
      </c>
      <c r="B34" s="79" t="s">
        <v>87</v>
      </c>
      <c r="C34" s="87"/>
      <c r="D34" s="88">
        <v>27733031</v>
      </c>
      <c r="E34" s="88"/>
      <c r="F34" s="89">
        <v>10474665.054135446</v>
      </c>
      <c r="G34" s="90">
        <v>10988</v>
      </c>
      <c r="H34" s="88">
        <v>4964751.8762327693</v>
      </c>
      <c r="I34" s="90">
        <v>2105</v>
      </c>
      <c r="J34" s="91">
        <v>10127920.746343788</v>
      </c>
      <c r="K34" s="92">
        <v>23798.89</v>
      </c>
      <c r="L34" s="90">
        <v>172</v>
      </c>
      <c r="M34" s="88">
        <v>14826.005273383293</v>
      </c>
      <c r="N34" s="90">
        <v>52</v>
      </c>
      <c r="O34" s="91">
        <v>4067.2821463595151</v>
      </c>
      <c r="P34" s="93">
        <v>11.298005962109764</v>
      </c>
      <c r="Q34" s="90">
        <v>56</v>
      </c>
      <c r="R34" s="91">
        <v>235342.33102599686</v>
      </c>
      <c r="S34" s="92">
        <v>549.01</v>
      </c>
      <c r="T34" s="90">
        <v>2838</v>
      </c>
      <c r="V34" s="122"/>
    </row>
    <row r="35" spans="1:22" x14ac:dyDescent="0.2">
      <c r="A35" s="78">
        <v>2014</v>
      </c>
      <c r="B35" s="79" t="s">
        <v>88</v>
      </c>
      <c r="C35" s="87"/>
      <c r="D35" s="88">
        <v>29820236</v>
      </c>
      <c r="E35" s="88"/>
      <c r="F35" s="89">
        <v>12163160.826666666</v>
      </c>
      <c r="G35" s="90">
        <v>10986</v>
      </c>
      <c r="H35" s="88">
        <v>5554460.3599999994</v>
      </c>
      <c r="I35" s="90">
        <v>2105</v>
      </c>
      <c r="J35" s="91">
        <v>9874407.9550000001</v>
      </c>
      <c r="K35" s="92">
        <v>23453.059999999998</v>
      </c>
      <c r="L35" s="90">
        <v>173</v>
      </c>
      <c r="M35" s="88">
        <v>14775</v>
      </c>
      <c r="N35" s="90">
        <v>52</v>
      </c>
      <c r="O35" s="91">
        <v>4035.6000000000004</v>
      </c>
      <c r="P35" s="93">
        <v>11.21</v>
      </c>
      <c r="Q35" s="90">
        <v>54</v>
      </c>
      <c r="R35" s="91">
        <v>253712.38999999998</v>
      </c>
      <c r="S35" s="92">
        <v>549.01</v>
      </c>
      <c r="T35" s="90">
        <v>2838</v>
      </c>
      <c r="U35" s="122">
        <f>G35+I35+L35</f>
        <v>13264</v>
      </c>
      <c r="V35" s="122"/>
    </row>
    <row r="36" spans="1:22" x14ac:dyDescent="0.2">
      <c r="A36" s="78">
        <v>2015</v>
      </c>
      <c r="B36" s="79" t="s">
        <v>78</v>
      </c>
      <c r="C36" s="87"/>
      <c r="D36" s="81">
        <v>33934616</v>
      </c>
      <c r="E36" s="81"/>
      <c r="F36" s="82">
        <v>14436422.183333334</v>
      </c>
      <c r="G36" s="83">
        <v>11011</v>
      </c>
      <c r="H36" s="81">
        <v>6273396.0733333332</v>
      </c>
      <c r="I36" s="83">
        <v>2120</v>
      </c>
      <c r="J36" s="84">
        <v>10633876.550000001</v>
      </c>
      <c r="K36" s="85">
        <v>24028.12</v>
      </c>
      <c r="L36" s="83">
        <v>172</v>
      </c>
      <c r="M36" s="81">
        <v>14775</v>
      </c>
      <c r="N36" s="83">
        <v>55</v>
      </c>
      <c r="O36" s="84">
        <v>4093.24</v>
      </c>
      <c r="P36" s="86">
        <v>11.370111111111111</v>
      </c>
      <c r="Q36" s="83">
        <v>53</v>
      </c>
      <c r="R36" s="84">
        <v>249473.40999999997</v>
      </c>
      <c r="S36" s="85">
        <v>549.01</v>
      </c>
      <c r="T36" s="83">
        <v>2838</v>
      </c>
      <c r="V36" s="122"/>
    </row>
    <row r="37" spans="1:22" x14ac:dyDescent="0.2">
      <c r="A37" s="78">
        <v>2015</v>
      </c>
      <c r="B37" s="79" t="s">
        <v>79</v>
      </c>
      <c r="C37" s="87"/>
      <c r="D37" s="88">
        <v>32617573</v>
      </c>
      <c r="E37" s="88"/>
      <c r="F37" s="89">
        <v>13756630.153333332</v>
      </c>
      <c r="G37" s="90">
        <v>11004</v>
      </c>
      <c r="H37" s="88">
        <v>6052263.6033333326</v>
      </c>
      <c r="I37" s="90">
        <v>2119</v>
      </c>
      <c r="J37" s="91">
        <v>10191380.690000001</v>
      </c>
      <c r="K37" s="92">
        <v>24332.559999999998</v>
      </c>
      <c r="L37" s="90">
        <v>172</v>
      </c>
      <c r="M37" s="88">
        <v>14775</v>
      </c>
      <c r="N37" s="90">
        <v>55</v>
      </c>
      <c r="O37" s="91">
        <v>4151.2</v>
      </c>
      <c r="P37" s="93">
        <v>11.531111111111112</v>
      </c>
      <c r="Q37" s="90">
        <v>53</v>
      </c>
      <c r="R37" s="91">
        <v>217782.39999999999</v>
      </c>
      <c r="S37" s="92">
        <v>549.01</v>
      </c>
      <c r="T37" s="90">
        <v>2838</v>
      </c>
      <c r="V37" s="122"/>
    </row>
    <row r="38" spans="1:22" x14ac:dyDescent="0.2">
      <c r="A38" s="78">
        <v>2015</v>
      </c>
      <c r="B38" s="79" t="s">
        <v>80</v>
      </c>
      <c r="C38" s="87"/>
      <c r="D38" s="88">
        <v>30305598</v>
      </c>
      <c r="E38" s="88"/>
      <c r="F38" s="89">
        <v>11761672.763333334</v>
      </c>
      <c r="G38" s="90">
        <v>11001</v>
      </c>
      <c r="H38" s="88">
        <v>5608955.3133333335</v>
      </c>
      <c r="I38" s="90">
        <v>2117</v>
      </c>
      <c r="J38" s="91">
        <v>10735159.67</v>
      </c>
      <c r="K38" s="92">
        <v>23775.199999999997</v>
      </c>
      <c r="L38" s="90">
        <v>172</v>
      </c>
      <c r="M38" s="88">
        <v>14775</v>
      </c>
      <c r="N38" s="90">
        <v>52</v>
      </c>
      <c r="O38" s="91">
        <v>4123.4799999999996</v>
      </c>
      <c r="P38" s="93">
        <v>11.454111111111111</v>
      </c>
      <c r="Q38" s="90">
        <v>53</v>
      </c>
      <c r="R38" s="91">
        <v>205202.71000000002</v>
      </c>
      <c r="S38" s="92">
        <v>549.01</v>
      </c>
      <c r="T38" s="90">
        <v>2838</v>
      </c>
      <c r="V38" s="122"/>
    </row>
    <row r="39" spans="1:22" x14ac:dyDescent="0.2">
      <c r="A39" s="78">
        <v>2015</v>
      </c>
      <c r="B39" s="79" t="s">
        <v>81</v>
      </c>
      <c r="C39" s="87"/>
      <c r="D39" s="88">
        <v>24419034</v>
      </c>
      <c r="E39" s="88"/>
      <c r="F39" s="89">
        <v>8713121.3133333325</v>
      </c>
      <c r="G39" s="90">
        <v>10997</v>
      </c>
      <c r="H39" s="88">
        <v>4575738.7833333332</v>
      </c>
      <c r="I39" s="90">
        <v>2135</v>
      </c>
      <c r="J39" s="91">
        <v>9408817.4100000001</v>
      </c>
      <c r="K39" s="92">
        <v>23001.02</v>
      </c>
      <c r="L39" s="90">
        <v>152</v>
      </c>
      <c r="M39" s="88">
        <v>14775</v>
      </c>
      <c r="N39" s="90">
        <v>52</v>
      </c>
      <c r="O39" s="91">
        <v>4123.4799999999996</v>
      </c>
      <c r="P39" s="93">
        <v>11.454111111111111</v>
      </c>
      <c r="Q39" s="90">
        <v>53</v>
      </c>
      <c r="R39" s="91">
        <v>176881.31</v>
      </c>
      <c r="S39" s="92">
        <v>549.01</v>
      </c>
      <c r="T39" s="90">
        <v>2838</v>
      </c>
      <c r="V39" s="122"/>
    </row>
    <row r="40" spans="1:22" x14ac:dyDescent="0.2">
      <c r="A40" s="78">
        <v>2015</v>
      </c>
      <c r="B40" s="79" t="s">
        <v>45</v>
      </c>
      <c r="C40" s="87"/>
      <c r="D40" s="88">
        <v>22122315</v>
      </c>
      <c r="E40" s="88"/>
      <c r="F40" s="89">
        <v>6781613.9533333331</v>
      </c>
      <c r="G40" s="90">
        <v>10999</v>
      </c>
      <c r="H40" s="88">
        <v>4211249.7833333332</v>
      </c>
      <c r="I40" s="90">
        <v>2136</v>
      </c>
      <c r="J40" s="91">
        <v>9734230.8300000001</v>
      </c>
      <c r="K40" s="92">
        <v>24032.35</v>
      </c>
      <c r="L40" s="90">
        <v>151</v>
      </c>
      <c r="M40" s="88">
        <v>14775</v>
      </c>
      <c r="N40" s="90">
        <v>52</v>
      </c>
      <c r="O40" s="91">
        <v>4123.4799999999996</v>
      </c>
      <c r="P40" s="93">
        <v>11.454111111111111</v>
      </c>
      <c r="Q40" s="90">
        <v>53</v>
      </c>
      <c r="R40" s="91">
        <v>159984.52000000002</v>
      </c>
      <c r="S40" s="92">
        <v>548.71</v>
      </c>
      <c r="T40" s="90">
        <v>2838</v>
      </c>
      <c r="V40" s="122"/>
    </row>
    <row r="41" spans="1:22" x14ac:dyDescent="0.2">
      <c r="A41" s="78">
        <v>2015</v>
      </c>
      <c r="B41" s="79" t="s">
        <v>82</v>
      </c>
      <c r="C41" s="87"/>
      <c r="D41" s="88">
        <v>21687054</v>
      </c>
      <c r="E41" s="88"/>
      <c r="F41" s="89">
        <v>6191305.6533333333</v>
      </c>
      <c r="G41" s="90">
        <v>10998</v>
      </c>
      <c r="H41" s="88">
        <v>4199520.1133333333</v>
      </c>
      <c r="I41" s="90">
        <v>2138</v>
      </c>
      <c r="J41" s="91">
        <v>9814614.9299999997</v>
      </c>
      <c r="K41" s="92">
        <v>23434.58</v>
      </c>
      <c r="L41" s="90">
        <v>150</v>
      </c>
      <c r="M41" s="88">
        <v>14775</v>
      </c>
      <c r="N41" s="90">
        <v>52</v>
      </c>
      <c r="O41" s="91">
        <v>4123.4799999999996</v>
      </c>
      <c r="P41" s="93">
        <v>11.454111111111111</v>
      </c>
      <c r="Q41" s="90">
        <v>53</v>
      </c>
      <c r="R41" s="91">
        <v>145088.54</v>
      </c>
      <c r="S41" s="92">
        <v>547.80999999999995</v>
      </c>
      <c r="T41" s="90">
        <v>2838</v>
      </c>
      <c r="V41" s="122"/>
    </row>
    <row r="42" spans="1:22" x14ac:dyDescent="0.2">
      <c r="A42" s="78">
        <v>2015</v>
      </c>
      <c r="B42" s="79" t="s">
        <v>83</v>
      </c>
      <c r="C42" s="87"/>
      <c r="D42" s="88">
        <v>23793533</v>
      </c>
      <c r="E42" s="88"/>
      <c r="F42" s="89">
        <v>6892136.9033333333</v>
      </c>
      <c r="G42" s="90">
        <v>11048</v>
      </c>
      <c r="H42" s="88">
        <v>4833132.0333333332</v>
      </c>
      <c r="I42" s="90">
        <v>2139</v>
      </c>
      <c r="J42" s="91">
        <v>10221738.110000001</v>
      </c>
      <c r="K42" s="92">
        <v>23341.550000000003</v>
      </c>
      <c r="L42" s="90">
        <v>150</v>
      </c>
      <c r="M42" s="88">
        <v>14775</v>
      </c>
      <c r="N42" s="90">
        <v>52</v>
      </c>
      <c r="O42" s="91">
        <v>4123.4799999999996</v>
      </c>
      <c r="P42" s="93">
        <v>11.454111111111111</v>
      </c>
      <c r="Q42" s="90">
        <v>53</v>
      </c>
      <c r="R42" s="91">
        <v>153248.09</v>
      </c>
      <c r="S42" s="92">
        <v>547.80999999999995</v>
      </c>
      <c r="T42" s="90">
        <v>2838</v>
      </c>
      <c r="V42" s="122"/>
    </row>
    <row r="43" spans="1:22" x14ac:dyDescent="0.2">
      <c r="A43" s="78">
        <v>2015</v>
      </c>
      <c r="B43" s="79" t="s">
        <v>84</v>
      </c>
      <c r="C43" s="87"/>
      <c r="D43" s="88">
        <v>23664046</v>
      </c>
      <c r="E43" s="88"/>
      <c r="F43" s="89">
        <v>6785288.8233333332</v>
      </c>
      <c r="G43" s="90">
        <v>11019</v>
      </c>
      <c r="H43" s="88">
        <v>4639927.2533333329</v>
      </c>
      <c r="I43" s="90">
        <v>2139</v>
      </c>
      <c r="J43" s="91">
        <v>10193769.550000001</v>
      </c>
      <c r="K43" s="92">
        <v>24101.799999999996</v>
      </c>
      <c r="L43" s="90">
        <v>150</v>
      </c>
      <c r="M43" s="88">
        <v>14775</v>
      </c>
      <c r="N43" s="90">
        <v>52</v>
      </c>
      <c r="O43" s="91">
        <v>4123.4799999999996</v>
      </c>
      <c r="P43" s="93">
        <v>11.454111111111111</v>
      </c>
      <c r="Q43" s="90">
        <v>53</v>
      </c>
      <c r="R43" s="91">
        <v>140055.19</v>
      </c>
      <c r="S43" s="92">
        <v>547.80999999999995</v>
      </c>
      <c r="T43" s="90">
        <v>2667</v>
      </c>
      <c r="V43" s="122"/>
    </row>
    <row r="44" spans="1:22" x14ac:dyDescent="0.2">
      <c r="A44" s="78">
        <v>2015</v>
      </c>
      <c r="B44" s="79" t="s">
        <v>85</v>
      </c>
      <c r="C44" s="87"/>
      <c r="D44" s="88">
        <v>21503656</v>
      </c>
      <c r="E44" s="88"/>
      <c r="F44" s="89">
        <v>6501595.0033333329</v>
      </c>
      <c r="G44" s="90">
        <v>11025</v>
      </c>
      <c r="H44" s="88">
        <v>4347395.4133333331</v>
      </c>
      <c r="I44" s="90">
        <v>2137</v>
      </c>
      <c r="J44" s="91">
        <v>10050542.870000001</v>
      </c>
      <c r="K44" s="92">
        <v>26106.910000000003</v>
      </c>
      <c r="L44" s="90">
        <v>151</v>
      </c>
      <c r="M44" s="88">
        <v>13839</v>
      </c>
      <c r="N44" s="90">
        <v>51</v>
      </c>
      <c r="O44" s="91">
        <v>4123.4799999999996</v>
      </c>
      <c r="P44" s="93">
        <v>11.454111111111111</v>
      </c>
      <c r="Q44" s="90">
        <v>53</v>
      </c>
      <c r="R44" s="91">
        <v>135697.81</v>
      </c>
      <c r="S44" s="92">
        <v>411.86</v>
      </c>
      <c r="T44" s="90">
        <v>2667</v>
      </c>
      <c r="V44" s="122"/>
    </row>
    <row r="45" spans="1:22" x14ac:dyDescent="0.2">
      <c r="A45" s="78">
        <v>2015</v>
      </c>
      <c r="B45" s="79" t="s">
        <v>86</v>
      </c>
      <c r="C45" s="87"/>
      <c r="D45" s="88">
        <v>24025252</v>
      </c>
      <c r="E45" s="88"/>
      <c r="F45" s="89">
        <v>7439233.3751438614</v>
      </c>
      <c r="G45" s="90">
        <v>11037</v>
      </c>
      <c r="H45" s="88">
        <v>3654710.9645665651</v>
      </c>
      <c r="I45" s="90">
        <v>2135</v>
      </c>
      <c r="J45" s="91">
        <v>8863760.9153140895</v>
      </c>
      <c r="K45" s="92">
        <v>21646.68</v>
      </c>
      <c r="L45" s="90">
        <v>150</v>
      </c>
      <c r="M45" s="88">
        <v>13789</v>
      </c>
      <c r="N45" s="90">
        <v>51</v>
      </c>
      <c r="O45" s="91">
        <v>3752.6800000000003</v>
      </c>
      <c r="P45" s="93">
        <v>10.42411111111111</v>
      </c>
      <c r="Q45" s="90">
        <v>49</v>
      </c>
      <c r="R45" s="91">
        <v>155115.80000000002</v>
      </c>
      <c r="S45" s="92">
        <v>411.65</v>
      </c>
      <c r="T45" s="90">
        <v>2667</v>
      </c>
      <c r="V45" s="122"/>
    </row>
    <row r="46" spans="1:22" x14ac:dyDescent="0.2">
      <c r="A46" s="78">
        <v>2015</v>
      </c>
      <c r="B46" s="79" t="s">
        <v>87</v>
      </c>
      <c r="C46" s="87"/>
      <c r="D46" s="88">
        <v>24608541</v>
      </c>
      <c r="E46" s="88"/>
      <c r="F46" s="89">
        <v>8821415.9015228041</v>
      </c>
      <c r="G46" s="90">
        <v>11055</v>
      </c>
      <c r="H46" s="88">
        <v>5088671.3021001015</v>
      </c>
      <c r="I46" s="90">
        <v>2138</v>
      </c>
      <c r="J46" s="91">
        <v>10628741.134685909</v>
      </c>
      <c r="K46" s="92">
        <v>27607.870000000003</v>
      </c>
      <c r="L46" s="90">
        <v>150</v>
      </c>
      <c r="M46" s="88">
        <v>13889</v>
      </c>
      <c r="N46" s="90">
        <v>51</v>
      </c>
      <c r="O46" s="91">
        <v>4123.4799999999996</v>
      </c>
      <c r="P46" s="93">
        <v>11.454111111111111</v>
      </c>
      <c r="Q46" s="90">
        <v>57</v>
      </c>
      <c r="R46" s="91">
        <v>171400.04</v>
      </c>
      <c r="S46" s="92">
        <v>367.95000000000005</v>
      </c>
      <c r="T46" s="90">
        <v>2667</v>
      </c>
      <c r="V46" s="122"/>
    </row>
    <row r="47" spans="1:22" x14ac:dyDescent="0.2">
      <c r="A47" s="78">
        <v>2015</v>
      </c>
      <c r="B47" s="79" t="s">
        <v>88</v>
      </c>
      <c r="C47" s="87"/>
      <c r="D47" s="88">
        <v>26280236</v>
      </c>
      <c r="E47" s="88"/>
      <c r="F47" s="89">
        <v>10163520.413333334</v>
      </c>
      <c r="G47" s="90">
        <v>11057</v>
      </c>
      <c r="H47" s="88">
        <v>5007150.8033333328</v>
      </c>
      <c r="I47" s="90">
        <v>2138</v>
      </c>
      <c r="J47" s="91">
        <v>9287204.8599999994</v>
      </c>
      <c r="K47" s="92">
        <v>22673.719999999998</v>
      </c>
      <c r="L47" s="90">
        <v>150</v>
      </c>
      <c r="M47" s="88">
        <v>13839</v>
      </c>
      <c r="N47" s="90">
        <v>51</v>
      </c>
      <c r="O47" s="91">
        <v>4123.4799999999996</v>
      </c>
      <c r="P47" s="93">
        <v>11.454111111111111</v>
      </c>
      <c r="Q47" s="90">
        <v>53</v>
      </c>
      <c r="R47" s="91">
        <v>119755.07999999997</v>
      </c>
      <c r="S47" s="92">
        <v>342.51</v>
      </c>
      <c r="T47" s="90">
        <v>2659</v>
      </c>
      <c r="U47" s="122">
        <f>G47+I47+L47</f>
        <v>13345</v>
      </c>
      <c r="V47" s="122"/>
    </row>
    <row r="48" spans="1:22" x14ac:dyDescent="0.2">
      <c r="A48" s="78">
        <v>2016</v>
      </c>
      <c r="B48" s="79" t="s">
        <v>78</v>
      </c>
      <c r="C48" s="87"/>
      <c r="D48" s="81">
        <v>30495180</v>
      </c>
      <c r="E48" s="81"/>
      <c r="F48" s="82">
        <v>12502052.273333333</v>
      </c>
      <c r="G48" s="83">
        <v>11062</v>
      </c>
      <c r="H48" s="81">
        <v>5964120.5233333334</v>
      </c>
      <c r="I48" s="83">
        <v>2138</v>
      </c>
      <c r="J48" s="84">
        <v>10066803.91</v>
      </c>
      <c r="K48" s="85">
        <v>24294.500000000004</v>
      </c>
      <c r="L48" s="83">
        <v>150</v>
      </c>
      <c r="M48" s="81">
        <v>13839</v>
      </c>
      <c r="N48" s="83">
        <v>51</v>
      </c>
      <c r="O48" s="84">
        <v>4123.4799999999996</v>
      </c>
      <c r="P48" s="86">
        <v>11.454111111111111</v>
      </c>
      <c r="Q48" s="83">
        <v>53</v>
      </c>
      <c r="R48" s="84">
        <v>116626.95</v>
      </c>
      <c r="S48" s="85">
        <v>256.05</v>
      </c>
      <c r="T48" s="83">
        <v>2659</v>
      </c>
      <c r="V48" s="122"/>
    </row>
    <row r="49" spans="1:22" x14ac:dyDescent="0.2">
      <c r="A49" s="78">
        <v>2016</v>
      </c>
      <c r="B49" s="79" t="s">
        <v>79</v>
      </c>
      <c r="C49" s="87"/>
      <c r="D49" s="88">
        <v>29063252</v>
      </c>
      <c r="E49" s="88"/>
      <c r="F49" s="89">
        <v>11543709.343333334</v>
      </c>
      <c r="G49" s="90">
        <v>11065</v>
      </c>
      <c r="H49" s="88">
        <v>5638710.4033333333</v>
      </c>
      <c r="I49" s="90">
        <v>2140</v>
      </c>
      <c r="J49" s="91">
        <v>9668299.3200000003</v>
      </c>
      <c r="K49" s="92">
        <v>23819.9</v>
      </c>
      <c r="L49" s="90">
        <v>149</v>
      </c>
      <c r="M49" s="88">
        <v>13839</v>
      </c>
      <c r="N49" s="90">
        <v>51</v>
      </c>
      <c r="O49" s="91">
        <v>4123.4799999999996</v>
      </c>
      <c r="P49" s="93">
        <v>11.454111111111111</v>
      </c>
      <c r="Q49" s="90">
        <v>53</v>
      </c>
      <c r="R49" s="91">
        <v>107375.64000000001</v>
      </c>
      <c r="S49" s="92">
        <v>256.05</v>
      </c>
      <c r="T49" s="90">
        <v>2659</v>
      </c>
      <c r="V49" s="122"/>
    </row>
    <row r="50" spans="1:22" x14ac:dyDescent="0.2">
      <c r="A50" s="78">
        <v>2016</v>
      </c>
      <c r="B50" s="79" t="s">
        <v>80</v>
      </c>
      <c r="C50" s="87"/>
      <c r="D50" s="88">
        <v>27667287</v>
      </c>
      <c r="E50" s="88"/>
      <c r="F50" s="89">
        <v>10303542.313333334</v>
      </c>
      <c r="G50" s="90">
        <v>11067</v>
      </c>
      <c r="H50" s="88">
        <v>5280569.1133333333</v>
      </c>
      <c r="I50" s="90">
        <v>2140</v>
      </c>
      <c r="J50" s="91">
        <v>9869976.8499999996</v>
      </c>
      <c r="K50" s="92">
        <v>23012.17</v>
      </c>
      <c r="L50" s="90">
        <v>149</v>
      </c>
      <c r="M50" s="88">
        <v>13839</v>
      </c>
      <c r="N50" s="90">
        <v>51</v>
      </c>
      <c r="O50" s="91">
        <v>4123.4799999999996</v>
      </c>
      <c r="P50" s="93">
        <v>11.454111111111111</v>
      </c>
      <c r="Q50" s="90">
        <v>53</v>
      </c>
      <c r="R50" s="91">
        <v>97797.35000000002</v>
      </c>
      <c r="S50" s="92">
        <v>256.05</v>
      </c>
      <c r="T50" s="90">
        <v>2659</v>
      </c>
      <c r="V50" s="122"/>
    </row>
    <row r="51" spans="1:22" x14ac:dyDescent="0.2">
      <c r="A51" s="78">
        <v>2016</v>
      </c>
      <c r="B51" s="79" t="s">
        <v>81</v>
      </c>
      <c r="C51" s="87"/>
      <c r="D51" s="88">
        <v>24587318</v>
      </c>
      <c r="E51" s="88"/>
      <c r="F51" s="89">
        <v>8763747.0133333337</v>
      </c>
      <c r="G51" s="90">
        <v>11068</v>
      </c>
      <c r="H51" s="88">
        <v>4823804.2533333339</v>
      </c>
      <c r="I51" s="90">
        <v>2141</v>
      </c>
      <c r="J51" s="91">
        <v>9180858.8100000005</v>
      </c>
      <c r="K51" s="92">
        <v>22615.25</v>
      </c>
      <c r="L51" s="90">
        <v>149</v>
      </c>
      <c r="M51" s="88">
        <v>13839</v>
      </c>
      <c r="N51" s="90">
        <v>51</v>
      </c>
      <c r="O51" s="91">
        <v>4123.4799999999996</v>
      </c>
      <c r="P51" s="93">
        <v>11.454111111111111</v>
      </c>
      <c r="Q51" s="90">
        <v>53</v>
      </c>
      <c r="R51" s="91">
        <v>82846.14</v>
      </c>
      <c r="S51" s="92">
        <v>256.05</v>
      </c>
      <c r="T51" s="90">
        <v>2659</v>
      </c>
      <c r="V51" s="122"/>
    </row>
    <row r="52" spans="1:22" x14ac:dyDescent="0.2">
      <c r="A52" s="78">
        <v>2016</v>
      </c>
      <c r="B52" s="79" t="s">
        <v>45</v>
      </c>
      <c r="C52" s="87"/>
      <c r="D52" s="88">
        <v>21916797</v>
      </c>
      <c r="E52" s="88"/>
      <c r="F52" s="89">
        <v>6915785.2633333327</v>
      </c>
      <c r="G52" s="90">
        <v>11067</v>
      </c>
      <c r="H52" s="88">
        <v>4243596.3433333328</v>
      </c>
      <c r="I52" s="90">
        <v>2140</v>
      </c>
      <c r="J52" s="91">
        <v>9278035.5099999998</v>
      </c>
      <c r="K52" s="92">
        <v>23717.120000000003</v>
      </c>
      <c r="L52" s="90">
        <v>149</v>
      </c>
      <c r="M52" s="88">
        <v>13839</v>
      </c>
      <c r="N52" s="90">
        <v>51</v>
      </c>
      <c r="O52" s="91">
        <v>4123.4799999999996</v>
      </c>
      <c r="P52" s="93">
        <v>11.454111111111111</v>
      </c>
      <c r="Q52" s="90">
        <v>53</v>
      </c>
      <c r="R52" s="91">
        <v>75557.239999999991</v>
      </c>
      <c r="S52" s="92">
        <v>256.05</v>
      </c>
      <c r="T52" s="90">
        <v>2659</v>
      </c>
      <c r="V52" s="122"/>
    </row>
    <row r="53" spans="1:22" x14ac:dyDescent="0.2">
      <c r="A53" s="78">
        <v>2016</v>
      </c>
      <c r="B53" s="79" t="s">
        <v>82</v>
      </c>
      <c r="C53" s="87"/>
      <c r="D53" s="88">
        <v>22063036</v>
      </c>
      <c r="E53" s="88"/>
      <c r="F53" s="89">
        <v>6294283.9833333325</v>
      </c>
      <c r="G53" s="90">
        <v>11075</v>
      </c>
      <c r="H53" s="88">
        <v>4286092.1033333335</v>
      </c>
      <c r="I53" s="90">
        <v>2137</v>
      </c>
      <c r="J53" s="91">
        <v>9804520.0300000012</v>
      </c>
      <c r="K53" s="92">
        <v>24341.72</v>
      </c>
      <c r="L53" s="90">
        <v>149</v>
      </c>
      <c r="M53" s="88">
        <v>13839</v>
      </c>
      <c r="N53" s="90">
        <v>51</v>
      </c>
      <c r="O53" s="91">
        <v>4123.4799999999996</v>
      </c>
      <c r="P53" s="93">
        <v>11.454111111111111</v>
      </c>
      <c r="Q53" s="90">
        <v>53</v>
      </c>
      <c r="R53" s="91">
        <v>67459.87</v>
      </c>
      <c r="S53" s="92">
        <v>256.04999999999995</v>
      </c>
      <c r="T53" s="90">
        <v>2659</v>
      </c>
      <c r="V53" s="122"/>
    </row>
    <row r="54" spans="1:22" x14ac:dyDescent="0.2">
      <c r="A54" s="78">
        <v>2016</v>
      </c>
      <c r="B54" s="79" t="s">
        <v>83</v>
      </c>
      <c r="C54" s="87"/>
      <c r="D54" s="88">
        <v>24449967</v>
      </c>
      <c r="E54" s="88"/>
      <c r="F54" s="89">
        <v>7176422.2433333341</v>
      </c>
      <c r="G54" s="90">
        <v>11073</v>
      </c>
      <c r="H54" s="88">
        <v>4804769.8433333337</v>
      </c>
      <c r="I54" s="90">
        <v>2138</v>
      </c>
      <c r="J54" s="91">
        <v>10333108.620000001</v>
      </c>
      <c r="K54" s="92">
        <v>24136.36</v>
      </c>
      <c r="L54" s="90">
        <v>150</v>
      </c>
      <c r="M54" s="88">
        <v>13839</v>
      </c>
      <c r="N54" s="90">
        <v>51</v>
      </c>
      <c r="O54" s="91">
        <v>4129.63</v>
      </c>
      <c r="P54" s="93">
        <v>11.471194444444446</v>
      </c>
      <c r="Q54" s="90">
        <v>53</v>
      </c>
      <c r="R54" s="91">
        <v>71322.81</v>
      </c>
      <c r="S54" s="92">
        <v>256.05</v>
      </c>
      <c r="T54" s="90">
        <v>2669</v>
      </c>
      <c r="V54" s="122"/>
    </row>
    <row r="55" spans="1:22" x14ac:dyDescent="0.2">
      <c r="A55" s="78">
        <v>2016</v>
      </c>
      <c r="B55" s="79" t="s">
        <v>84</v>
      </c>
      <c r="C55" s="87"/>
      <c r="D55" s="88">
        <v>25086525</v>
      </c>
      <c r="E55" s="88"/>
      <c r="F55" s="89">
        <v>7418754.9133333331</v>
      </c>
      <c r="G55" s="90">
        <v>11072</v>
      </c>
      <c r="H55" s="88">
        <v>4934060.0233333334</v>
      </c>
      <c r="I55" s="90">
        <v>2139</v>
      </c>
      <c r="J55" s="91">
        <v>10546921.82</v>
      </c>
      <c r="K55" s="92">
        <v>24539.100000000002</v>
      </c>
      <c r="L55" s="90">
        <v>150</v>
      </c>
      <c r="M55" s="88">
        <v>13839</v>
      </c>
      <c r="N55" s="90">
        <v>51</v>
      </c>
      <c r="O55" s="91">
        <v>4128.5</v>
      </c>
      <c r="P55" s="93">
        <v>11.468055555555555</v>
      </c>
      <c r="Q55" s="90">
        <v>53</v>
      </c>
      <c r="R55" s="91">
        <v>80050.600000000006</v>
      </c>
      <c r="S55" s="92">
        <v>256.05</v>
      </c>
      <c r="T55" s="90">
        <v>2669</v>
      </c>
      <c r="V55" s="122"/>
    </row>
    <row r="56" spans="1:22" x14ac:dyDescent="0.2">
      <c r="A56" s="78">
        <v>2016</v>
      </c>
      <c r="B56" s="79" t="s">
        <v>85</v>
      </c>
      <c r="C56" s="87"/>
      <c r="D56" s="88">
        <v>21516383</v>
      </c>
      <c r="E56" s="88"/>
      <c r="F56" s="89">
        <v>6206374.8533333335</v>
      </c>
      <c r="G56" s="90">
        <v>11079</v>
      </c>
      <c r="H56" s="88">
        <v>4117268.2833333332</v>
      </c>
      <c r="I56" s="90">
        <v>2137</v>
      </c>
      <c r="J56" s="91">
        <v>9523317.9299999997</v>
      </c>
      <c r="K56" s="92">
        <v>24166.379999999997</v>
      </c>
      <c r="L56" s="90">
        <v>150</v>
      </c>
      <c r="M56" s="88">
        <v>13839</v>
      </c>
      <c r="N56" s="90">
        <v>51</v>
      </c>
      <c r="O56" s="91">
        <v>3903.88</v>
      </c>
      <c r="P56" s="93">
        <v>10.844111111111111</v>
      </c>
      <c r="Q56" s="90">
        <v>53</v>
      </c>
      <c r="R56" s="91">
        <v>87836.56</v>
      </c>
      <c r="S56" s="92">
        <v>256.05</v>
      </c>
      <c r="T56" s="90">
        <v>2669</v>
      </c>
      <c r="V56" s="122"/>
    </row>
    <row r="57" spans="1:22" x14ac:dyDescent="0.2">
      <c r="A57" s="78">
        <v>2016</v>
      </c>
      <c r="B57" s="79" t="s">
        <v>86</v>
      </c>
      <c r="C57" s="87"/>
      <c r="D57" s="88">
        <v>22851618</v>
      </c>
      <c r="E57" s="88"/>
      <c r="F57" s="89">
        <v>7344327.5333333332</v>
      </c>
      <c r="G57" s="90">
        <v>11083</v>
      </c>
      <c r="H57" s="88">
        <v>4141245.833333333</v>
      </c>
      <c r="I57" s="90">
        <v>2132</v>
      </c>
      <c r="J57" s="91">
        <v>9458401.4000000004</v>
      </c>
      <c r="K57" s="92">
        <v>23099.439999999999</v>
      </c>
      <c r="L57" s="90">
        <v>149</v>
      </c>
      <c r="M57" s="88">
        <v>13839</v>
      </c>
      <c r="N57" s="90">
        <v>51</v>
      </c>
      <c r="O57" s="91">
        <v>4124.62</v>
      </c>
      <c r="P57" s="93">
        <v>11.457277777777776</v>
      </c>
      <c r="Q57" s="90">
        <v>53</v>
      </c>
      <c r="R57" s="91">
        <v>104079.38</v>
      </c>
      <c r="S57" s="92">
        <v>256.04999999999995</v>
      </c>
      <c r="T57" s="90">
        <v>2669</v>
      </c>
      <c r="V57" s="122"/>
    </row>
    <row r="58" spans="1:22" x14ac:dyDescent="0.2">
      <c r="A58" s="78">
        <v>2016</v>
      </c>
      <c r="B58" s="79" t="s">
        <v>87</v>
      </c>
      <c r="C58" s="87"/>
      <c r="D58" s="88">
        <v>24193372</v>
      </c>
      <c r="E58" s="88"/>
      <c r="F58" s="89">
        <v>8371153.4933333341</v>
      </c>
      <c r="G58" s="90">
        <v>11111</v>
      </c>
      <c r="H58" s="88">
        <v>4464495.7733333334</v>
      </c>
      <c r="I58" s="90">
        <v>2132</v>
      </c>
      <c r="J58" s="91">
        <v>9269442.4000000004</v>
      </c>
      <c r="K58" s="92">
        <v>22212.989999999998</v>
      </c>
      <c r="L58" s="90">
        <v>149</v>
      </c>
      <c r="M58" s="88">
        <v>13839</v>
      </c>
      <c r="N58" s="90">
        <v>51</v>
      </c>
      <c r="O58" s="91">
        <v>3907.4799999999996</v>
      </c>
      <c r="P58" s="93">
        <v>10.854111111111109</v>
      </c>
      <c r="Q58" s="90">
        <v>50</v>
      </c>
      <c r="R58" s="91">
        <v>120989.41</v>
      </c>
      <c r="S58" s="92">
        <v>266.77</v>
      </c>
      <c r="T58" s="90">
        <v>2669</v>
      </c>
      <c r="V58" s="122"/>
    </row>
    <row r="59" spans="1:22" x14ac:dyDescent="0.2">
      <c r="A59" s="78">
        <v>2016</v>
      </c>
      <c r="B59" s="79" t="s">
        <v>88</v>
      </c>
      <c r="C59" s="87"/>
      <c r="D59" s="88">
        <v>28341333</v>
      </c>
      <c r="E59" s="88"/>
      <c r="F59" s="89">
        <v>11508008.083333334</v>
      </c>
      <c r="G59" s="90">
        <v>11119</v>
      </c>
      <c r="H59" s="88">
        <v>5469968.833333333</v>
      </c>
      <c r="I59" s="90">
        <v>2138</v>
      </c>
      <c r="J59" s="91">
        <v>9637422</v>
      </c>
      <c r="K59" s="92">
        <v>23841.5</v>
      </c>
      <c r="L59" s="90">
        <v>149</v>
      </c>
      <c r="M59" s="88">
        <v>13839</v>
      </c>
      <c r="N59" s="90">
        <v>51</v>
      </c>
      <c r="O59" s="91">
        <v>3810.8</v>
      </c>
      <c r="P59" s="93">
        <v>10.585555555555555</v>
      </c>
      <c r="Q59" s="90">
        <v>48</v>
      </c>
      <c r="R59" s="91">
        <v>124343.51164293027</v>
      </c>
      <c r="S59" s="92">
        <v>266.77</v>
      </c>
      <c r="T59" s="90">
        <v>2851</v>
      </c>
      <c r="V59" s="122"/>
    </row>
    <row r="60" spans="1:22" x14ac:dyDescent="0.2">
      <c r="A60" s="78">
        <v>2017</v>
      </c>
      <c r="B60" s="79" t="s">
        <v>78</v>
      </c>
      <c r="C60" s="87"/>
      <c r="D60" s="81">
        <v>29369246</v>
      </c>
      <c r="E60" s="81"/>
      <c r="F60" s="82">
        <v>11470775.916666668</v>
      </c>
      <c r="G60" s="83">
        <v>11129</v>
      </c>
      <c r="H60" s="81">
        <v>5827850.75</v>
      </c>
      <c r="I60" s="83">
        <v>2137</v>
      </c>
      <c r="J60" s="84">
        <v>10036136</v>
      </c>
      <c r="K60" s="85">
        <v>22520</v>
      </c>
      <c r="L60" s="83">
        <v>148</v>
      </c>
      <c r="M60" s="81">
        <v>13839</v>
      </c>
      <c r="N60" s="83">
        <v>51</v>
      </c>
      <c r="O60" s="84">
        <v>3731.55</v>
      </c>
      <c r="P60" s="86">
        <v>10.365416666666667</v>
      </c>
      <c r="Q60" s="83">
        <v>46</v>
      </c>
      <c r="R60" s="84">
        <v>120435.78</v>
      </c>
      <c r="S60" s="85">
        <v>267.13</v>
      </c>
      <c r="T60" s="83">
        <v>2851</v>
      </c>
      <c r="V60" s="122"/>
    </row>
    <row r="61" spans="1:22" x14ac:dyDescent="0.2">
      <c r="A61" s="78">
        <v>2017</v>
      </c>
      <c r="B61" s="79" t="s">
        <v>79</v>
      </c>
      <c r="C61" s="87"/>
      <c r="D61" s="88">
        <v>26144559</v>
      </c>
      <c r="E61" s="88"/>
      <c r="F61" s="89">
        <v>10165568.916666668</v>
      </c>
      <c r="G61" s="90">
        <v>11131</v>
      </c>
      <c r="H61" s="88">
        <v>4978369.75</v>
      </c>
      <c r="I61" s="90">
        <v>2146</v>
      </c>
      <c r="J61" s="91">
        <v>9635169.2200000007</v>
      </c>
      <c r="K61" s="92">
        <v>22571</v>
      </c>
      <c r="L61" s="90">
        <v>137</v>
      </c>
      <c r="M61" s="88">
        <v>13839</v>
      </c>
      <c r="N61" s="90">
        <v>51</v>
      </c>
      <c r="O61" s="91">
        <v>3731.55</v>
      </c>
      <c r="P61" s="93">
        <v>10.365416666666667</v>
      </c>
      <c r="Q61" s="90">
        <v>46</v>
      </c>
      <c r="R61" s="91">
        <v>106271.37</v>
      </c>
      <c r="S61" s="92">
        <v>268.13</v>
      </c>
      <c r="T61" s="90">
        <v>2847</v>
      </c>
      <c r="V61" s="122"/>
    </row>
    <row r="62" spans="1:22" x14ac:dyDescent="0.2">
      <c r="A62" s="78">
        <v>2017</v>
      </c>
      <c r="B62" s="79" t="s">
        <v>80</v>
      </c>
      <c r="C62" s="87"/>
      <c r="D62" s="88">
        <v>28985084</v>
      </c>
      <c r="E62" s="88"/>
      <c r="F62" s="89">
        <v>11150484.916666668</v>
      </c>
      <c r="G62" s="90">
        <v>11130</v>
      </c>
      <c r="H62" s="88">
        <v>5656038.75</v>
      </c>
      <c r="I62" s="90">
        <v>2145</v>
      </c>
      <c r="J62" s="91">
        <v>10048725.6</v>
      </c>
      <c r="K62" s="92">
        <v>23225.7</v>
      </c>
      <c r="L62" s="90">
        <v>137</v>
      </c>
      <c r="M62" s="88">
        <v>13839</v>
      </c>
      <c r="N62" s="90">
        <v>51</v>
      </c>
      <c r="O62" s="91">
        <v>3728.55</v>
      </c>
      <c r="P62" s="93">
        <v>10.357083333333334</v>
      </c>
      <c r="Q62" s="90">
        <v>46</v>
      </c>
      <c r="R62" s="91">
        <v>99988.709999999992</v>
      </c>
      <c r="S62" s="92">
        <v>266.13</v>
      </c>
      <c r="T62" s="90">
        <v>2847</v>
      </c>
      <c r="V62" s="122"/>
    </row>
    <row r="63" spans="1:22" x14ac:dyDescent="0.2">
      <c r="A63" s="78">
        <v>2017</v>
      </c>
      <c r="B63" s="79" t="s">
        <v>81</v>
      </c>
      <c r="C63" s="87"/>
      <c r="D63" s="88">
        <v>22823269</v>
      </c>
      <c r="E63" s="88"/>
      <c r="F63" s="89">
        <v>7940110.916666667</v>
      </c>
      <c r="G63" s="90">
        <v>11140</v>
      </c>
      <c r="H63" s="88">
        <v>4265325.75</v>
      </c>
      <c r="I63" s="90">
        <v>2145</v>
      </c>
      <c r="J63" s="91">
        <v>9160330.5</v>
      </c>
      <c r="K63" s="92">
        <v>23420</v>
      </c>
      <c r="L63" s="90">
        <v>137</v>
      </c>
      <c r="M63" s="88">
        <v>13839</v>
      </c>
      <c r="N63" s="90">
        <v>51</v>
      </c>
      <c r="O63" s="91">
        <v>3731.55</v>
      </c>
      <c r="P63" s="93">
        <v>10.365416666666667</v>
      </c>
      <c r="Q63" s="90">
        <v>46</v>
      </c>
      <c r="R63" s="91">
        <v>85218.41</v>
      </c>
      <c r="S63" s="92">
        <v>266.13</v>
      </c>
      <c r="T63" s="90">
        <v>2847</v>
      </c>
      <c r="V63" s="122"/>
    </row>
    <row r="64" spans="1:22" x14ac:dyDescent="0.2">
      <c r="A64" s="78">
        <v>2017</v>
      </c>
      <c r="B64" s="79" t="s">
        <v>45</v>
      </c>
      <c r="C64" s="87"/>
      <c r="D64" s="88">
        <v>22196746</v>
      </c>
      <c r="E64" s="88"/>
      <c r="F64" s="89">
        <v>7091594.916666667</v>
      </c>
      <c r="G64" s="90">
        <v>11153</v>
      </c>
      <c r="H64" s="88">
        <v>4208776.75</v>
      </c>
      <c r="I64" s="90">
        <v>2147</v>
      </c>
      <c r="J64" s="91">
        <v>9442935.9000000004</v>
      </c>
      <c r="K64" s="92">
        <v>23160.5</v>
      </c>
      <c r="L64" s="90">
        <v>137</v>
      </c>
      <c r="M64" s="88">
        <v>13839</v>
      </c>
      <c r="N64" s="90">
        <v>51</v>
      </c>
      <c r="O64" s="91">
        <v>3731.55</v>
      </c>
      <c r="P64" s="93">
        <v>10.365416666666667</v>
      </c>
      <c r="Q64" s="90">
        <v>46</v>
      </c>
      <c r="R64" s="91">
        <v>77521.5</v>
      </c>
      <c r="S64" s="92">
        <v>266.13</v>
      </c>
      <c r="T64" s="90">
        <v>2847</v>
      </c>
      <c r="V64" s="122"/>
    </row>
    <row r="65" spans="1:22" x14ac:dyDescent="0.2">
      <c r="A65" s="78">
        <v>2017</v>
      </c>
      <c r="B65" s="79" t="s">
        <v>82</v>
      </c>
      <c r="C65" s="87"/>
      <c r="D65" s="88">
        <v>21339393</v>
      </c>
      <c r="E65" s="88"/>
      <c r="F65" s="89">
        <v>6262581.916666667</v>
      </c>
      <c r="G65" s="90">
        <v>11182</v>
      </c>
      <c r="H65" s="88">
        <v>4161453.75</v>
      </c>
      <c r="I65" s="90">
        <v>2149</v>
      </c>
      <c r="J65" s="91">
        <v>9630633.1199999992</v>
      </c>
      <c r="K65" s="92">
        <v>23614.2</v>
      </c>
      <c r="L65" s="90">
        <v>137</v>
      </c>
      <c r="M65" s="88">
        <v>13839</v>
      </c>
      <c r="N65" s="90">
        <v>51</v>
      </c>
      <c r="O65" s="91">
        <v>3731.55</v>
      </c>
      <c r="P65" s="93">
        <v>10.365416666666667</v>
      </c>
      <c r="Q65" s="90">
        <v>46</v>
      </c>
      <c r="R65" s="91">
        <v>70112.929999999993</v>
      </c>
      <c r="S65" s="92">
        <v>266.13</v>
      </c>
      <c r="T65" s="90">
        <v>2847</v>
      </c>
      <c r="V65" s="122"/>
    </row>
    <row r="66" spans="1:22" x14ac:dyDescent="0.2">
      <c r="A66" s="78">
        <v>2017</v>
      </c>
      <c r="B66" s="79" t="s">
        <v>83</v>
      </c>
      <c r="C66" s="87"/>
      <c r="D66" s="88">
        <v>22953227</v>
      </c>
      <c r="E66" s="88"/>
      <c r="F66" s="89">
        <v>6806256.916666667</v>
      </c>
      <c r="G66" s="90">
        <v>11184</v>
      </c>
      <c r="H66" s="88">
        <v>4603116.75</v>
      </c>
      <c r="I66" s="90">
        <v>2145</v>
      </c>
      <c r="J66" s="91">
        <v>10025669.960000001</v>
      </c>
      <c r="K66" s="92">
        <v>23520.2</v>
      </c>
      <c r="L66" s="90">
        <v>137</v>
      </c>
      <c r="M66" s="88">
        <v>13839</v>
      </c>
      <c r="N66" s="90">
        <v>51</v>
      </c>
      <c r="O66" s="91">
        <v>3731.55</v>
      </c>
      <c r="P66" s="93">
        <v>10.365416666666667</v>
      </c>
      <c r="Q66" s="90">
        <v>46</v>
      </c>
      <c r="R66" s="91">
        <v>74461.05</v>
      </c>
      <c r="S66" s="92">
        <v>266.13</v>
      </c>
      <c r="T66" s="90">
        <v>2849</v>
      </c>
      <c r="V66" s="122"/>
    </row>
    <row r="67" spans="1:22" x14ac:dyDescent="0.2">
      <c r="A67" s="78">
        <v>2017</v>
      </c>
      <c r="B67" s="79" t="s">
        <v>84</v>
      </c>
      <c r="C67" s="87"/>
      <c r="D67" s="88">
        <v>22947367</v>
      </c>
      <c r="E67" s="88"/>
      <c r="F67" s="89">
        <v>6667990.916666667</v>
      </c>
      <c r="G67" s="90">
        <v>11189</v>
      </c>
      <c r="H67" s="88">
        <v>4686232.75</v>
      </c>
      <c r="I67" s="90">
        <v>2143</v>
      </c>
      <c r="J67" s="91">
        <v>10303718.779999999</v>
      </c>
      <c r="K67" s="92">
        <v>24608.1</v>
      </c>
      <c r="L67" s="90">
        <v>137</v>
      </c>
      <c r="M67" s="88">
        <v>13839</v>
      </c>
      <c r="N67" s="90">
        <v>51</v>
      </c>
      <c r="O67" s="91">
        <v>3655.55</v>
      </c>
      <c r="P67" s="93">
        <v>10.154305555555556</v>
      </c>
      <c r="Q67" s="90">
        <v>45</v>
      </c>
      <c r="R67" s="91">
        <v>83619.290000000008</v>
      </c>
      <c r="S67" s="92">
        <v>266.13</v>
      </c>
      <c r="T67" s="90">
        <v>2849</v>
      </c>
      <c r="V67" s="122"/>
    </row>
    <row r="68" spans="1:22" x14ac:dyDescent="0.2">
      <c r="A68" s="78">
        <v>2017</v>
      </c>
      <c r="B68" s="79" t="s">
        <v>85</v>
      </c>
      <c r="C68" s="87"/>
      <c r="D68" s="88">
        <v>21826159</v>
      </c>
      <c r="E68" s="88"/>
      <c r="F68" s="89">
        <v>6442030.916666667</v>
      </c>
      <c r="G68" s="90">
        <v>11188</v>
      </c>
      <c r="H68" s="88">
        <v>4189598.75</v>
      </c>
      <c r="I68" s="90">
        <v>2138</v>
      </c>
      <c r="J68" s="91">
        <v>9791677.3000000007</v>
      </c>
      <c r="K68" s="92">
        <v>24745.5</v>
      </c>
      <c r="L68" s="90">
        <v>137</v>
      </c>
      <c r="M68" s="88">
        <v>13839</v>
      </c>
      <c r="N68" s="90">
        <v>51</v>
      </c>
      <c r="O68" s="91">
        <v>3631.55</v>
      </c>
      <c r="P68" s="93">
        <v>10.08763888888889</v>
      </c>
      <c r="Q68" s="90">
        <v>45</v>
      </c>
      <c r="R68" s="91">
        <v>92104.23</v>
      </c>
      <c r="S68" s="92">
        <v>266.13</v>
      </c>
      <c r="T68" s="90">
        <v>2849</v>
      </c>
      <c r="V68" s="122"/>
    </row>
    <row r="69" spans="1:22" x14ac:dyDescent="0.2">
      <c r="A69" s="78">
        <v>2017</v>
      </c>
      <c r="B69" s="79" t="s">
        <v>86</v>
      </c>
      <c r="C69" s="87"/>
      <c r="D69" s="88">
        <v>22377976</v>
      </c>
      <c r="E69" s="88"/>
      <c r="F69" s="89">
        <v>6905640.916666667</v>
      </c>
      <c r="G69" s="90">
        <v>11191</v>
      </c>
      <c r="H69" s="88">
        <v>4067231.75</v>
      </c>
      <c r="I69" s="90">
        <v>2146</v>
      </c>
      <c r="J69" s="91">
        <v>9838829.2200000007</v>
      </c>
      <c r="K69" s="92">
        <v>23336.5</v>
      </c>
      <c r="L69" s="90">
        <v>137</v>
      </c>
      <c r="M69" s="88">
        <v>13839</v>
      </c>
      <c r="N69" s="90">
        <v>51</v>
      </c>
      <c r="O69" s="91">
        <v>3628.55</v>
      </c>
      <c r="P69" s="93">
        <v>10.079305555555555</v>
      </c>
      <c r="Q69" s="90">
        <v>45</v>
      </c>
      <c r="R69" s="91">
        <v>107242.45</v>
      </c>
      <c r="S69" s="92">
        <v>266.13</v>
      </c>
      <c r="T69" s="90">
        <v>2849</v>
      </c>
      <c r="V69" s="122"/>
    </row>
    <row r="70" spans="1:22" x14ac:dyDescent="0.2">
      <c r="A70" s="78">
        <v>2017</v>
      </c>
      <c r="B70" s="79" t="s">
        <v>87</v>
      </c>
      <c r="C70" s="87"/>
      <c r="D70" s="88">
        <v>25903115</v>
      </c>
      <c r="E70" s="88"/>
      <c r="F70" s="89">
        <v>9431935.9166666679</v>
      </c>
      <c r="G70" s="90">
        <v>11200</v>
      </c>
      <c r="H70" s="88">
        <v>4953100.75</v>
      </c>
      <c r="I70" s="90">
        <v>2146</v>
      </c>
      <c r="J70" s="91">
        <v>9735428.4600000009</v>
      </c>
      <c r="K70" s="92">
        <v>23014.7</v>
      </c>
      <c r="L70" s="90">
        <v>137</v>
      </c>
      <c r="M70" s="88">
        <v>13839</v>
      </c>
      <c r="N70" s="90">
        <v>51</v>
      </c>
      <c r="O70" s="91">
        <v>3636.55</v>
      </c>
      <c r="P70" s="93">
        <v>10.101527777777777</v>
      </c>
      <c r="Q70" s="90">
        <v>45</v>
      </c>
      <c r="R70" s="91">
        <v>114221.92</v>
      </c>
      <c r="S70" s="92">
        <v>266.13</v>
      </c>
      <c r="T70" s="90">
        <v>2849</v>
      </c>
      <c r="V70" s="122"/>
    </row>
    <row r="71" spans="1:22" x14ac:dyDescent="0.2">
      <c r="A71" s="78">
        <v>2017</v>
      </c>
      <c r="B71" s="79" t="s">
        <v>88</v>
      </c>
      <c r="C71" s="87"/>
      <c r="D71" s="88">
        <v>30421258</v>
      </c>
      <c r="E71" s="88"/>
      <c r="F71" s="89">
        <v>12794658.916666666</v>
      </c>
      <c r="G71" s="90">
        <v>11208</v>
      </c>
      <c r="H71" s="88">
        <v>5988255.75</v>
      </c>
      <c r="I71" s="90">
        <v>2146</v>
      </c>
      <c r="J71" s="91">
        <v>9834887.4236394335</v>
      </c>
      <c r="K71" s="92">
        <v>24034.7</v>
      </c>
      <c r="L71" s="90">
        <v>137</v>
      </c>
      <c r="M71" s="88">
        <v>13839</v>
      </c>
      <c r="N71" s="90">
        <v>51</v>
      </c>
      <c r="O71" s="91">
        <v>3563.55</v>
      </c>
      <c r="P71" s="93">
        <v>9.8987499999999997</v>
      </c>
      <c r="Q71" s="90">
        <v>44</v>
      </c>
      <c r="R71" s="91">
        <v>123256.35841506977</v>
      </c>
      <c r="S71" s="92">
        <v>266.13</v>
      </c>
      <c r="T71" s="90">
        <v>2849</v>
      </c>
      <c r="V71" s="122"/>
    </row>
    <row r="72" spans="1:22" x14ac:dyDescent="0.2">
      <c r="A72" s="78">
        <v>2018</v>
      </c>
      <c r="B72" s="79" t="s">
        <v>78</v>
      </c>
      <c r="C72" s="87"/>
      <c r="D72" s="81">
        <v>32733608</v>
      </c>
      <c r="E72" s="81"/>
      <c r="F72" s="82">
        <v>13425595.333333332</v>
      </c>
      <c r="G72" s="83">
        <v>11194</v>
      </c>
      <c r="H72" s="81">
        <v>6436097.666666667</v>
      </c>
      <c r="I72" s="83">
        <v>2147</v>
      </c>
      <c r="J72" s="84">
        <v>10495914.539999999</v>
      </c>
      <c r="K72" s="85">
        <v>23520.2</v>
      </c>
      <c r="L72" s="83">
        <v>138</v>
      </c>
      <c r="M72" s="81">
        <v>13839</v>
      </c>
      <c r="N72" s="83">
        <v>51</v>
      </c>
      <c r="O72" s="84">
        <v>3402.8</v>
      </c>
      <c r="P72" s="86">
        <v>9.4522222222222219</v>
      </c>
      <c r="Q72" s="83">
        <v>44</v>
      </c>
      <c r="R72" s="84">
        <v>119266</v>
      </c>
      <c r="S72" s="85">
        <v>263.95</v>
      </c>
      <c r="T72" s="83">
        <v>2849</v>
      </c>
      <c r="V72" s="122"/>
    </row>
    <row r="73" spans="1:22" x14ac:dyDescent="0.2">
      <c r="A73" s="78">
        <v>2018</v>
      </c>
      <c r="B73" s="79" t="s">
        <v>79</v>
      </c>
      <c r="C73" s="87"/>
      <c r="D73" s="88">
        <v>27371745</v>
      </c>
      <c r="E73" s="88"/>
      <c r="F73" s="89">
        <v>10887001.333333334</v>
      </c>
      <c r="G73" s="90">
        <v>11255</v>
      </c>
      <c r="H73" s="88">
        <v>5398946.666666666</v>
      </c>
      <c r="I73" s="90">
        <v>2154</v>
      </c>
      <c r="J73" s="91">
        <v>9321938.2400000002</v>
      </c>
      <c r="K73" s="92">
        <v>23263.5</v>
      </c>
      <c r="L73" s="90">
        <v>138</v>
      </c>
      <c r="M73" s="88">
        <v>13839</v>
      </c>
      <c r="N73" s="90">
        <v>51</v>
      </c>
      <c r="O73" s="91">
        <v>3402.8</v>
      </c>
      <c r="P73" s="93">
        <v>9.4522222222222219</v>
      </c>
      <c r="Q73" s="90">
        <v>44</v>
      </c>
      <c r="R73" s="91">
        <v>102437</v>
      </c>
      <c r="S73" s="92">
        <v>261.95</v>
      </c>
      <c r="T73" s="90">
        <v>2849</v>
      </c>
      <c r="V73" s="122"/>
    </row>
    <row r="74" spans="1:22" x14ac:dyDescent="0.2">
      <c r="A74" s="78">
        <v>2018</v>
      </c>
      <c r="B74" s="79" t="s">
        <v>80</v>
      </c>
      <c r="C74" s="87"/>
      <c r="D74" s="88">
        <v>27619983</v>
      </c>
      <c r="E74" s="88"/>
      <c r="F74" s="89">
        <v>10530403.333333334</v>
      </c>
      <c r="G74" s="90">
        <v>11251</v>
      </c>
      <c r="H74" s="88">
        <v>5342555.666666666</v>
      </c>
      <c r="I74" s="90">
        <v>2156</v>
      </c>
      <c r="J74" s="91">
        <v>10027371.960000001</v>
      </c>
      <c r="K74" s="92">
        <v>22612.400000000001</v>
      </c>
      <c r="L74" s="90">
        <v>138</v>
      </c>
      <c r="M74" s="88">
        <v>13839</v>
      </c>
      <c r="N74" s="90">
        <v>51</v>
      </c>
      <c r="O74" s="91">
        <v>3402.8</v>
      </c>
      <c r="P74" s="93">
        <v>9.4522222222222219</v>
      </c>
      <c r="Q74" s="90">
        <v>44</v>
      </c>
      <c r="R74" s="91">
        <v>96269</v>
      </c>
      <c r="S74" s="92">
        <v>256.95</v>
      </c>
      <c r="T74" s="90">
        <v>2849</v>
      </c>
      <c r="V74" s="122"/>
    </row>
    <row r="75" spans="1:22" x14ac:dyDescent="0.2">
      <c r="A75" s="78">
        <v>2018</v>
      </c>
      <c r="B75" s="79" t="s">
        <v>81</v>
      </c>
      <c r="C75" s="87"/>
      <c r="D75" s="88">
        <v>25333746</v>
      </c>
      <c r="E75" s="88"/>
      <c r="F75" s="89">
        <v>9425114.6666666679</v>
      </c>
      <c r="G75" s="90">
        <v>11270</v>
      </c>
      <c r="H75" s="88">
        <v>4845326</v>
      </c>
      <c r="I75" s="90">
        <v>2163</v>
      </c>
      <c r="J75" s="91">
        <v>9470546.1199999992</v>
      </c>
      <c r="K75" s="92">
        <v>22929.200000000001</v>
      </c>
      <c r="L75" s="90">
        <v>137</v>
      </c>
      <c r="M75" s="88">
        <v>13839</v>
      </c>
      <c r="N75" s="90">
        <v>51</v>
      </c>
      <c r="O75" s="91">
        <v>3402.8</v>
      </c>
      <c r="P75" s="93">
        <v>9.4522222222222219</v>
      </c>
      <c r="Q75" s="90">
        <v>44</v>
      </c>
      <c r="R75" s="91">
        <v>81954</v>
      </c>
      <c r="S75" s="92">
        <v>256.95</v>
      </c>
      <c r="T75" s="90">
        <v>2849</v>
      </c>
      <c r="V75" s="122"/>
    </row>
    <row r="76" spans="1:22" x14ac:dyDescent="0.2">
      <c r="A76" s="78">
        <v>2018</v>
      </c>
      <c r="B76" s="79" t="s">
        <v>45</v>
      </c>
      <c r="C76" s="87"/>
      <c r="D76" s="88">
        <v>21970207</v>
      </c>
      <c r="E76" s="88"/>
      <c r="F76" s="89">
        <v>6777512.666666667</v>
      </c>
      <c r="G76" s="90">
        <v>11275</v>
      </c>
      <c r="H76" s="88">
        <v>4256131</v>
      </c>
      <c r="I76" s="90">
        <v>2161</v>
      </c>
      <c r="J76" s="91">
        <v>9605077.8100000005</v>
      </c>
      <c r="K76" s="92">
        <v>24327.3</v>
      </c>
      <c r="L76" s="90">
        <v>137</v>
      </c>
      <c r="M76" s="88">
        <v>13839</v>
      </c>
      <c r="N76" s="90">
        <v>51</v>
      </c>
      <c r="O76" s="91">
        <v>3402.8</v>
      </c>
      <c r="P76" s="93">
        <v>9.4522222222222219</v>
      </c>
      <c r="Q76" s="90">
        <v>44</v>
      </c>
      <c r="R76" s="91">
        <v>74460</v>
      </c>
      <c r="S76" s="92">
        <v>255.95</v>
      </c>
      <c r="T76" s="90">
        <v>2849</v>
      </c>
      <c r="V76" s="122"/>
    </row>
    <row r="77" spans="1:22" x14ac:dyDescent="0.2">
      <c r="A77" s="78">
        <v>2018</v>
      </c>
      <c r="B77" s="79" t="s">
        <v>82</v>
      </c>
      <c r="C77" s="87"/>
      <c r="D77" s="88">
        <v>22053298</v>
      </c>
      <c r="E77" s="88"/>
      <c r="F77" s="89">
        <v>6400002.666666667</v>
      </c>
      <c r="G77" s="90">
        <v>11282</v>
      </c>
      <c r="H77" s="88">
        <v>4280862</v>
      </c>
      <c r="I77" s="90">
        <v>2162</v>
      </c>
      <c r="J77" s="91">
        <v>9768401.2400000002</v>
      </c>
      <c r="K77" s="92">
        <v>24748.2</v>
      </c>
      <c r="L77" s="90">
        <v>137</v>
      </c>
      <c r="M77" s="88">
        <v>13845</v>
      </c>
      <c r="N77" s="90">
        <v>51</v>
      </c>
      <c r="O77" s="91">
        <v>3402.8</v>
      </c>
      <c r="P77" s="93">
        <v>9.4522222222222219</v>
      </c>
      <c r="Q77" s="90">
        <v>44</v>
      </c>
      <c r="R77" s="91">
        <v>67443</v>
      </c>
      <c r="S77" s="92">
        <v>255.95</v>
      </c>
      <c r="T77" s="90">
        <v>2849</v>
      </c>
      <c r="V77" s="122"/>
    </row>
    <row r="78" spans="1:22" x14ac:dyDescent="0.2">
      <c r="A78" s="78">
        <v>2018</v>
      </c>
      <c r="B78" s="79" t="s">
        <v>83</v>
      </c>
      <c r="C78" s="87"/>
      <c r="D78" s="88">
        <v>25386186</v>
      </c>
      <c r="E78" s="88"/>
      <c r="F78" s="89">
        <v>7744763.666666667</v>
      </c>
      <c r="G78" s="90">
        <v>11292</v>
      </c>
      <c r="H78" s="88">
        <v>5098048</v>
      </c>
      <c r="I78" s="90">
        <v>2164</v>
      </c>
      <c r="J78" s="91">
        <v>10576344.49</v>
      </c>
      <c r="K78" s="92">
        <v>24671</v>
      </c>
      <c r="L78" s="90">
        <v>137</v>
      </c>
      <c r="M78" s="88">
        <v>13845</v>
      </c>
      <c r="N78" s="90">
        <v>51</v>
      </c>
      <c r="O78" s="91">
        <v>3402.8</v>
      </c>
      <c r="P78" s="93">
        <v>9.4522222222222219</v>
      </c>
      <c r="Q78" s="90">
        <v>44</v>
      </c>
      <c r="R78" s="91">
        <v>71401</v>
      </c>
      <c r="S78" s="92">
        <v>255.95</v>
      </c>
      <c r="T78" s="90">
        <v>2849</v>
      </c>
      <c r="V78" s="122"/>
    </row>
    <row r="79" spans="1:22" x14ac:dyDescent="0.2">
      <c r="A79" s="78">
        <v>2018</v>
      </c>
      <c r="B79" s="79" t="s">
        <v>84</v>
      </c>
      <c r="C79" s="87"/>
      <c r="D79" s="88">
        <v>24965359</v>
      </c>
      <c r="E79" s="88"/>
      <c r="F79" s="89">
        <v>7583908.666666667</v>
      </c>
      <c r="G79" s="90">
        <v>11317</v>
      </c>
      <c r="H79" s="88">
        <v>5023926</v>
      </c>
      <c r="I79" s="90">
        <v>2161</v>
      </c>
      <c r="J79" s="91">
        <v>10546530.99</v>
      </c>
      <c r="K79" s="92">
        <v>24136.2</v>
      </c>
      <c r="L79" s="90">
        <v>137</v>
      </c>
      <c r="M79" s="88">
        <v>13845</v>
      </c>
      <c r="N79" s="90">
        <v>51</v>
      </c>
      <c r="O79" s="91">
        <v>3412.8</v>
      </c>
      <c r="P79" s="93">
        <v>9.48</v>
      </c>
      <c r="Q79" s="90">
        <v>44</v>
      </c>
      <c r="R79" s="91">
        <v>80422</v>
      </c>
      <c r="S79" s="92">
        <v>255.95</v>
      </c>
      <c r="T79" s="90">
        <v>2849</v>
      </c>
      <c r="V79" s="122"/>
    </row>
    <row r="80" spans="1:22" x14ac:dyDescent="0.2">
      <c r="A80" s="78">
        <v>2018</v>
      </c>
      <c r="B80" s="79" t="s">
        <v>85</v>
      </c>
      <c r="C80" s="87"/>
      <c r="D80" s="88">
        <v>22184261</v>
      </c>
      <c r="E80" s="88"/>
      <c r="F80" s="89">
        <v>6706825.666666667</v>
      </c>
      <c r="G80" s="90">
        <v>11318</v>
      </c>
      <c r="H80" s="88">
        <v>4143790</v>
      </c>
      <c r="I80" s="90">
        <v>2160</v>
      </c>
      <c r="J80" s="91">
        <v>9797866.2100000009</v>
      </c>
      <c r="K80" s="92">
        <v>25717.5</v>
      </c>
      <c r="L80" s="90">
        <v>137</v>
      </c>
      <c r="M80" s="88">
        <v>13845</v>
      </c>
      <c r="N80" s="90">
        <v>51</v>
      </c>
      <c r="O80" s="91">
        <v>3402.8</v>
      </c>
      <c r="P80" s="93">
        <v>9.4522222222222219</v>
      </c>
      <c r="Q80" s="90">
        <v>44</v>
      </c>
      <c r="R80" s="91">
        <v>88505</v>
      </c>
      <c r="S80" s="92">
        <v>255.97</v>
      </c>
      <c r="T80" s="90">
        <v>2849</v>
      </c>
      <c r="V80" s="122"/>
    </row>
    <row r="81" spans="1:22" x14ac:dyDescent="0.2">
      <c r="A81" s="78">
        <v>2018</v>
      </c>
      <c r="B81" s="79" t="s">
        <v>86</v>
      </c>
      <c r="C81" s="87"/>
      <c r="D81" s="88">
        <v>24204812</v>
      </c>
      <c r="E81" s="88"/>
      <c r="F81" s="89">
        <v>8138784.666666667</v>
      </c>
      <c r="G81" s="90">
        <v>11326</v>
      </c>
      <c r="H81" s="88">
        <v>4398018</v>
      </c>
      <c r="I81" s="90">
        <v>2160</v>
      </c>
      <c r="J81" s="91">
        <v>10012369.99</v>
      </c>
      <c r="K81" s="92">
        <v>25447.5</v>
      </c>
      <c r="L81" s="90">
        <v>138</v>
      </c>
      <c r="M81" s="88">
        <v>13845</v>
      </c>
      <c r="N81" s="90">
        <v>51</v>
      </c>
      <c r="O81" s="91">
        <v>3525.8</v>
      </c>
      <c r="P81" s="93">
        <v>9.7938888888888886</v>
      </c>
      <c r="Q81" s="90">
        <v>44</v>
      </c>
      <c r="R81" s="91">
        <v>103131</v>
      </c>
      <c r="S81" s="92">
        <v>255.95</v>
      </c>
      <c r="T81" s="90">
        <v>2849</v>
      </c>
      <c r="V81" s="122"/>
    </row>
    <row r="82" spans="1:22" x14ac:dyDescent="0.2">
      <c r="A82" s="78">
        <v>2018</v>
      </c>
      <c r="B82" s="79" t="s">
        <v>87</v>
      </c>
      <c r="C82" s="87"/>
      <c r="D82" s="88">
        <v>26802618</v>
      </c>
      <c r="E82" s="88"/>
      <c r="F82" s="89">
        <v>10088263.666666668</v>
      </c>
      <c r="G82" s="90">
        <v>11337</v>
      </c>
      <c r="H82" s="88">
        <v>5066865</v>
      </c>
      <c r="I82" s="90">
        <v>2159</v>
      </c>
      <c r="J82" s="91">
        <v>9701499.25</v>
      </c>
      <c r="K82" s="92">
        <v>23134.9</v>
      </c>
      <c r="L82" s="90">
        <v>138</v>
      </c>
      <c r="M82" s="88">
        <v>13845</v>
      </c>
      <c r="N82" s="90">
        <v>51</v>
      </c>
      <c r="O82" s="91">
        <v>3291.8</v>
      </c>
      <c r="P82" s="93">
        <v>9.1438888888888883</v>
      </c>
      <c r="Q82" s="90">
        <v>44</v>
      </c>
      <c r="R82" s="91">
        <v>110017</v>
      </c>
      <c r="S82" s="92">
        <v>255.95</v>
      </c>
      <c r="T82" s="90">
        <v>2849</v>
      </c>
      <c r="V82" s="122"/>
    </row>
    <row r="83" spans="1:22" x14ac:dyDescent="0.2">
      <c r="A83" s="78">
        <v>2018</v>
      </c>
      <c r="B83" s="79" t="s">
        <v>88</v>
      </c>
      <c r="C83" s="87"/>
      <c r="D83" s="88">
        <v>28621650</v>
      </c>
      <c r="E83" s="88"/>
      <c r="F83" s="89">
        <v>11718909</v>
      </c>
      <c r="G83" s="90">
        <v>11347</v>
      </c>
      <c r="H83" s="88">
        <v>5488902</v>
      </c>
      <c r="I83" s="90">
        <v>2159</v>
      </c>
      <c r="J83" s="91">
        <v>9768617.7100000009</v>
      </c>
      <c r="K83" s="92">
        <v>23516.400000000001</v>
      </c>
      <c r="L83" s="90">
        <v>138</v>
      </c>
      <c r="M83" s="88">
        <v>14421</v>
      </c>
      <c r="N83" s="90">
        <v>51</v>
      </c>
      <c r="O83" s="91">
        <v>3368.5</v>
      </c>
      <c r="P83" s="93">
        <v>9.3569444444444443</v>
      </c>
      <c r="Q83" s="90">
        <v>44</v>
      </c>
      <c r="R83" s="91">
        <v>118726</v>
      </c>
      <c r="S83" s="92">
        <v>256.10000000000002</v>
      </c>
      <c r="T83" s="90">
        <v>2849</v>
      </c>
      <c r="V83" s="122"/>
    </row>
    <row r="84" spans="1:22" x14ac:dyDescent="0.2">
      <c r="A84" s="78">
        <v>2019</v>
      </c>
      <c r="B84" s="79" t="s">
        <v>78</v>
      </c>
      <c r="C84" s="87"/>
      <c r="D84" s="81">
        <v>32743936.59</v>
      </c>
      <c r="E84" s="81"/>
      <c r="F84" s="82">
        <v>13700795</v>
      </c>
      <c r="G84" s="83">
        <v>11367</v>
      </c>
      <c r="H84" s="81">
        <v>6359914</v>
      </c>
      <c r="I84" s="83">
        <v>2156</v>
      </c>
      <c r="J84" s="84">
        <v>10571083</v>
      </c>
      <c r="K84" s="85">
        <v>23914.720000000001</v>
      </c>
      <c r="L84" s="83">
        <v>138</v>
      </c>
      <c r="M84" s="81">
        <v>14421</v>
      </c>
      <c r="N84" s="83">
        <v>55</v>
      </c>
      <c r="O84" s="84">
        <v>3368.5</v>
      </c>
      <c r="P84" s="86">
        <v>9.3569444444444443</v>
      </c>
      <c r="Q84" s="83">
        <v>43</v>
      </c>
      <c r="R84" s="84">
        <v>115683</v>
      </c>
      <c r="S84" s="85">
        <v>256.11</v>
      </c>
      <c r="T84" s="83">
        <v>2849</v>
      </c>
      <c r="V84" s="122"/>
    </row>
    <row r="85" spans="1:22" x14ac:dyDescent="0.2">
      <c r="A85" s="78">
        <v>2019</v>
      </c>
      <c r="B85" s="79" t="s">
        <v>79</v>
      </c>
      <c r="C85" s="87"/>
      <c r="D85" s="88">
        <v>28440395.719999999</v>
      </c>
      <c r="E85" s="88"/>
      <c r="F85" s="89">
        <v>11697150</v>
      </c>
      <c r="G85" s="90">
        <v>11374</v>
      </c>
      <c r="H85" s="88">
        <v>5557866</v>
      </c>
      <c r="I85" s="90">
        <v>2155</v>
      </c>
      <c r="J85" s="91">
        <v>9329196</v>
      </c>
      <c r="K85" s="92">
        <v>23092.000000000004</v>
      </c>
      <c r="L85" s="90">
        <v>138</v>
      </c>
      <c r="M85" s="88">
        <v>14421</v>
      </c>
      <c r="N85" s="90">
        <v>55</v>
      </c>
      <c r="O85" s="91">
        <v>3368</v>
      </c>
      <c r="P85" s="93">
        <v>9.3555555555555561</v>
      </c>
      <c r="Q85" s="90">
        <v>43</v>
      </c>
      <c r="R85" s="91">
        <v>102324</v>
      </c>
      <c r="S85" s="92">
        <v>256.11</v>
      </c>
      <c r="T85" s="90">
        <v>2849</v>
      </c>
      <c r="V85" s="122"/>
    </row>
    <row r="86" spans="1:22" x14ac:dyDescent="0.2">
      <c r="A86" s="78">
        <v>2019</v>
      </c>
      <c r="B86" s="79" t="s">
        <v>80</v>
      </c>
      <c r="C86" s="87"/>
      <c r="D86" s="88">
        <v>29353455.600000001</v>
      </c>
      <c r="E86" s="88"/>
      <c r="F86" s="89">
        <v>11549860</v>
      </c>
      <c r="G86" s="90">
        <v>11398</v>
      </c>
      <c r="H86" s="88">
        <v>5630712</v>
      </c>
      <c r="I86" s="90">
        <v>2159</v>
      </c>
      <c r="J86" s="91">
        <v>10256657</v>
      </c>
      <c r="K86" s="92">
        <v>23151.120000000003</v>
      </c>
      <c r="L86" s="90">
        <v>138</v>
      </c>
      <c r="M86" s="88">
        <v>14421</v>
      </c>
      <c r="N86" s="90">
        <v>55</v>
      </c>
      <c r="O86" s="91">
        <v>3368</v>
      </c>
      <c r="P86" s="93">
        <v>9.3555555555555561</v>
      </c>
      <c r="Q86" s="90">
        <v>43</v>
      </c>
      <c r="R86" s="91">
        <v>96213</v>
      </c>
      <c r="S86" s="92">
        <v>256.11</v>
      </c>
      <c r="T86" s="90">
        <v>2849</v>
      </c>
      <c r="V86" s="122"/>
    </row>
    <row r="87" spans="1:22" x14ac:dyDescent="0.2">
      <c r="A87" s="78">
        <v>2019</v>
      </c>
      <c r="B87" s="79" t="s">
        <v>81</v>
      </c>
      <c r="C87" s="87"/>
      <c r="D87" s="88">
        <v>24614385.100000001</v>
      </c>
      <c r="E87" s="88"/>
      <c r="F87" s="89">
        <v>9075291</v>
      </c>
      <c r="G87" s="90">
        <v>11410</v>
      </c>
      <c r="H87" s="88">
        <v>4626893</v>
      </c>
      <c r="I87" s="90">
        <v>2155</v>
      </c>
      <c r="J87" s="91">
        <v>9343780</v>
      </c>
      <c r="K87" s="92">
        <v>22573.449999999997</v>
      </c>
      <c r="L87" s="90">
        <v>138</v>
      </c>
      <c r="M87" s="88">
        <v>14421</v>
      </c>
      <c r="N87" s="90">
        <v>55</v>
      </c>
      <c r="O87" s="91">
        <v>3368</v>
      </c>
      <c r="P87" s="93">
        <v>9.3555555555555561</v>
      </c>
      <c r="Q87" s="90">
        <v>43</v>
      </c>
      <c r="R87" s="91">
        <v>81967</v>
      </c>
      <c r="S87" s="92">
        <v>256.11</v>
      </c>
      <c r="T87" s="90">
        <v>2849</v>
      </c>
      <c r="V87" s="122"/>
    </row>
    <row r="88" spans="1:22" x14ac:dyDescent="0.2">
      <c r="A88" s="78">
        <v>2019</v>
      </c>
      <c r="B88" s="79" t="s">
        <v>45</v>
      </c>
      <c r="C88" s="87"/>
      <c r="D88" s="88">
        <v>22757878</v>
      </c>
      <c r="E88" s="88"/>
      <c r="F88" s="89">
        <v>7520776</v>
      </c>
      <c r="G88" s="90">
        <v>11417</v>
      </c>
      <c r="H88" s="88">
        <v>4274565</v>
      </c>
      <c r="I88" s="90">
        <v>2155</v>
      </c>
      <c r="J88" s="91">
        <v>9486287</v>
      </c>
      <c r="K88" s="92">
        <v>22772.339999999997</v>
      </c>
      <c r="L88" s="90">
        <v>136</v>
      </c>
      <c r="M88" s="88">
        <v>14421</v>
      </c>
      <c r="N88" s="90">
        <v>55</v>
      </c>
      <c r="O88" s="91">
        <v>3368</v>
      </c>
      <c r="P88" s="93">
        <v>9.3555555555555561</v>
      </c>
      <c r="Q88" s="90">
        <v>43</v>
      </c>
      <c r="R88" s="91">
        <v>74589</v>
      </c>
      <c r="S88" s="92">
        <v>256.11</v>
      </c>
      <c r="T88" s="90">
        <v>2849</v>
      </c>
      <c r="V88" s="122"/>
    </row>
    <row r="89" spans="1:22" x14ac:dyDescent="0.2">
      <c r="A89" s="78">
        <v>2019</v>
      </c>
      <c r="B89" s="79" t="s">
        <v>82</v>
      </c>
      <c r="C89" s="87"/>
      <c r="D89" s="88">
        <v>21375937</v>
      </c>
      <c r="E89" s="88"/>
      <c r="F89" s="89">
        <v>6450182</v>
      </c>
      <c r="G89" s="90">
        <v>11421</v>
      </c>
      <c r="H89" s="88">
        <v>4116944</v>
      </c>
      <c r="I89" s="90">
        <v>2157</v>
      </c>
      <c r="J89" s="91">
        <v>9231940</v>
      </c>
      <c r="K89" s="92">
        <v>23376.16</v>
      </c>
      <c r="L89" s="90">
        <v>136</v>
      </c>
      <c r="M89" s="88">
        <v>14421</v>
      </c>
      <c r="N89" s="90">
        <v>55</v>
      </c>
      <c r="O89" s="91">
        <v>3365</v>
      </c>
      <c r="P89" s="93">
        <v>9.3472222222222214</v>
      </c>
      <c r="Q89" s="90">
        <v>40</v>
      </c>
      <c r="R89" s="91">
        <v>67489</v>
      </c>
      <c r="S89" s="92">
        <v>256.23</v>
      </c>
      <c r="T89" s="90">
        <v>2849</v>
      </c>
      <c r="V89" s="122"/>
    </row>
    <row r="90" spans="1:22" x14ac:dyDescent="0.2">
      <c r="A90" s="78">
        <v>2019</v>
      </c>
      <c r="B90" s="79" t="s">
        <v>83</v>
      </c>
      <c r="C90" s="87"/>
      <c r="D90" s="88">
        <v>25496655.219999999</v>
      </c>
      <c r="E90" s="88"/>
      <c r="F90" s="89">
        <v>7894783</v>
      </c>
      <c r="G90" s="90">
        <v>11428</v>
      </c>
      <c r="H90" s="88">
        <v>5062183</v>
      </c>
      <c r="I90" s="90">
        <v>2157</v>
      </c>
      <c r="J90" s="91">
        <v>10719042</v>
      </c>
      <c r="K90" s="92">
        <v>25553.66</v>
      </c>
      <c r="L90" s="90">
        <v>136</v>
      </c>
      <c r="M90" s="88">
        <v>14421</v>
      </c>
      <c r="N90" s="90">
        <v>55</v>
      </c>
      <c r="O90" s="91">
        <v>3168</v>
      </c>
      <c r="P90" s="93">
        <v>8.8000000000000007</v>
      </c>
      <c r="Q90" s="90">
        <v>40</v>
      </c>
      <c r="R90" s="91">
        <v>71658</v>
      </c>
      <c r="S90" s="92">
        <v>256.23</v>
      </c>
      <c r="T90" s="90">
        <v>2849</v>
      </c>
      <c r="V90" s="122"/>
    </row>
    <row r="91" spans="1:22" x14ac:dyDescent="0.2">
      <c r="A91" s="78">
        <v>2019</v>
      </c>
      <c r="B91" s="79" t="s">
        <v>84</v>
      </c>
      <c r="C91" s="87"/>
      <c r="D91" s="88">
        <v>23892941.600000001</v>
      </c>
      <c r="E91" s="88"/>
      <c r="F91" s="89">
        <v>6927898</v>
      </c>
      <c r="G91" s="90">
        <v>11443</v>
      </c>
      <c r="H91" s="88">
        <v>4692880</v>
      </c>
      <c r="I91" s="90">
        <v>2154</v>
      </c>
      <c r="J91" s="91">
        <v>10385007</v>
      </c>
      <c r="K91" s="92">
        <v>25218.71</v>
      </c>
      <c r="L91" s="90">
        <v>136</v>
      </c>
      <c r="M91" s="88">
        <v>14370</v>
      </c>
      <c r="N91" s="90">
        <v>54</v>
      </c>
      <c r="O91" s="91">
        <v>3163</v>
      </c>
      <c r="P91" s="93">
        <v>8.7861111111111114</v>
      </c>
      <c r="Q91" s="90">
        <v>40</v>
      </c>
      <c r="R91" s="91">
        <v>80412</v>
      </c>
      <c r="S91" s="92">
        <v>256.23</v>
      </c>
      <c r="T91" s="90">
        <v>2849</v>
      </c>
      <c r="V91" s="122"/>
    </row>
    <row r="92" spans="1:22" x14ac:dyDescent="0.2">
      <c r="A92" s="78">
        <v>2019</v>
      </c>
      <c r="B92" s="79" t="s">
        <v>85</v>
      </c>
      <c r="C92" s="87"/>
      <c r="D92" s="88">
        <v>21583546.969999999</v>
      </c>
      <c r="E92" s="88"/>
      <c r="F92" s="89">
        <v>6241345</v>
      </c>
      <c r="G92" s="90">
        <v>11472</v>
      </c>
      <c r="H92" s="88">
        <v>3929434</v>
      </c>
      <c r="I92" s="90">
        <v>2154</v>
      </c>
      <c r="J92" s="91">
        <v>9678055</v>
      </c>
      <c r="K92" s="92">
        <v>25180.91</v>
      </c>
      <c r="L92" s="90">
        <v>136</v>
      </c>
      <c r="M92" s="88">
        <v>14370</v>
      </c>
      <c r="N92" s="90">
        <v>54</v>
      </c>
      <c r="O92" s="91">
        <v>3163</v>
      </c>
      <c r="P92" s="93">
        <v>8.7861111111111114</v>
      </c>
      <c r="Q92" s="90">
        <v>40</v>
      </c>
      <c r="R92" s="91">
        <v>88645</v>
      </c>
      <c r="S92" s="92">
        <v>256.23</v>
      </c>
      <c r="T92" s="90">
        <v>2849</v>
      </c>
      <c r="V92" s="122"/>
    </row>
    <row r="93" spans="1:22" x14ac:dyDescent="0.2">
      <c r="A93" s="78">
        <v>2019</v>
      </c>
      <c r="B93" s="79" t="s">
        <v>86</v>
      </c>
      <c r="C93" s="87"/>
      <c r="D93" s="88">
        <v>23416882.789999999</v>
      </c>
      <c r="E93" s="88"/>
      <c r="F93" s="89">
        <v>7563810</v>
      </c>
      <c r="G93" s="90">
        <v>11473</v>
      </c>
      <c r="H93" s="88">
        <v>4229532</v>
      </c>
      <c r="I93" s="90">
        <v>2153</v>
      </c>
      <c r="J93" s="91">
        <v>9865312</v>
      </c>
      <c r="K93" s="92">
        <v>25485.16</v>
      </c>
      <c r="L93" s="90">
        <v>136</v>
      </c>
      <c r="M93" s="88">
        <v>14370</v>
      </c>
      <c r="N93" s="90">
        <v>54</v>
      </c>
      <c r="O93" s="91">
        <v>3163</v>
      </c>
      <c r="P93" s="93">
        <v>8.7861111111111114</v>
      </c>
      <c r="Q93" s="90">
        <v>40</v>
      </c>
      <c r="R93" s="91">
        <v>103167</v>
      </c>
      <c r="S93" s="92">
        <v>256.23</v>
      </c>
      <c r="T93" s="90">
        <v>2849</v>
      </c>
      <c r="V93" s="122"/>
    </row>
    <row r="94" spans="1:22" x14ac:dyDescent="0.2">
      <c r="A94" s="78">
        <v>2019</v>
      </c>
      <c r="B94" s="79" t="s">
        <v>87</v>
      </c>
      <c r="C94" s="87"/>
      <c r="D94" s="88">
        <v>27163548.379999999</v>
      </c>
      <c r="E94" s="88"/>
      <c r="F94" s="89">
        <v>10176691</v>
      </c>
      <c r="G94" s="90">
        <v>11476</v>
      </c>
      <c r="H94" s="88">
        <v>5117738</v>
      </c>
      <c r="I94" s="90">
        <v>2149</v>
      </c>
      <c r="J94" s="91">
        <v>9968156</v>
      </c>
      <c r="K94" s="92">
        <v>24673.98</v>
      </c>
      <c r="L94" s="90">
        <v>136</v>
      </c>
      <c r="M94" s="88">
        <v>14370</v>
      </c>
      <c r="N94" s="90">
        <v>54</v>
      </c>
      <c r="O94" s="91">
        <v>3163</v>
      </c>
      <c r="P94" s="93">
        <v>8.7861111111111114</v>
      </c>
      <c r="Q94" s="90">
        <v>40</v>
      </c>
      <c r="R94" s="91">
        <v>109998</v>
      </c>
      <c r="S94" s="92">
        <v>256.23</v>
      </c>
      <c r="T94" s="90">
        <v>2849</v>
      </c>
      <c r="V94" s="122"/>
    </row>
    <row r="95" spans="1:22" x14ac:dyDescent="0.2">
      <c r="A95" s="78">
        <v>2019</v>
      </c>
      <c r="B95" s="79" t="s">
        <v>88</v>
      </c>
      <c r="C95" s="87"/>
      <c r="D95" s="88">
        <v>29112532.5</v>
      </c>
      <c r="E95" s="88"/>
      <c r="F95" s="89">
        <v>11967105</v>
      </c>
      <c r="G95" s="90">
        <v>11478</v>
      </c>
      <c r="H95" s="88">
        <v>5677998</v>
      </c>
      <c r="I95" s="90">
        <v>2148</v>
      </c>
      <c r="J95" s="91">
        <v>9660900</v>
      </c>
      <c r="K95" s="92">
        <v>24531.809999999998</v>
      </c>
      <c r="L95" s="90">
        <v>136</v>
      </c>
      <c r="M95" s="88">
        <v>14370</v>
      </c>
      <c r="N95" s="90">
        <v>54</v>
      </c>
      <c r="O95" s="91">
        <v>3088</v>
      </c>
      <c r="P95" s="93">
        <v>8.5777777777777775</v>
      </c>
      <c r="Q95" s="90">
        <v>40</v>
      </c>
      <c r="R95" s="91">
        <v>118813</v>
      </c>
      <c r="S95" s="92">
        <v>256.23</v>
      </c>
      <c r="T95" s="90">
        <v>2851</v>
      </c>
      <c r="V95" s="122"/>
    </row>
    <row r="96" spans="1:22" x14ac:dyDescent="0.2">
      <c r="A96" s="78">
        <v>2020</v>
      </c>
      <c r="B96" s="79" t="s">
        <v>78</v>
      </c>
      <c r="C96" s="87"/>
      <c r="D96" s="81">
        <v>30452078</v>
      </c>
      <c r="E96" s="81"/>
      <c r="F96" s="82">
        <v>12075462</v>
      </c>
      <c r="G96" s="83">
        <v>11515</v>
      </c>
      <c r="H96" s="81">
        <v>5800151</v>
      </c>
      <c r="I96" s="83">
        <v>2148</v>
      </c>
      <c r="J96" s="84">
        <v>10443182</v>
      </c>
      <c r="K96" s="85">
        <v>24378.55</v>
      </c>
      <c r="L96" s="83">
        <v>136</v>
      </c>
      <c r="M96" s="81">
        <v>14370</v>
      </c>
      <c r="N96" s="83">
        <v>54</v>
      </c>
      <c r="O96" s="84">
        <v>3163</v>
      </c>
      <c r="P96" s="86">
        <v>8.7861111111111114</v>
      </c>
      <c r="Q96" s="83">
        <v>40</v>
      </c>
      <c r="R96" s="84">
        <v>115863</v>
      </c>
      <c r="S96" s="85">
        <v>256.22000000000003</v>
      </c>
      <c r="T96" s="83">
        <v>2851</v>
      </c>
      <c r="V96" s="122"/>
    </row>
    <row r="97" spans="1:22" x14ac:dyDescent="0.2">
      <c r="A97" s="78">
        <v>2020</v>
      </c>
      <c r="B97" s="79" t="s">
        <v>79</v>
      </c>
      <c r="C97" s="87"/>
      <c r="D97" s="88">
        <v>28729836</v>
      </c>
      <c r="E97" s="88"/>
      <c r="F97" s="89">
        <v>11374321</v>
      </c>
      <c r="G97" s="90">
        <v>11523</v>
      </c>
      <c r="H97" s="88">
        <v>5548490</v>
      </c>
      <c r="I97" s="90">
        <v>2149</v>
      </c>
      <c r="J97" s="91">
        <v>10111948</v>
      </c>
      <c r="K97" s="92">
        <v>24775.91</v>
      </c>
      <c r="L97" s="90">
        <v>136</v>
      </c>
      <c r="M97" s="88">
        <v>14370</v>
      </c>
      <c r="N97" s="90">
        <v>54</v>
      </c>
      <c r="O97" s="91">
        <v>3163</v>
      </c>
      <c r="P97" s="93">
        <v>8.7861111111111114</v>
      </c>
      <c r="Q97" s="90">
        <v>40</v>
      </c>
      <c r="R97" s="91">
        <v>105847</v>
      </c>
      <c r="S97" s="92">
        <v>256.23</v>
      </c>
      <c r="T97" s="90">
        <v>2851</v>
      </c>
      <c r="V97" s="122"/>
    </row>
    <row r="98" spans="1:22" x14ac:dyDescent="0.2">
      <c r="A98" s="78">
        <v>2020</v>
      </c>
      <c r="B98" s="79" t="s">
        <v>80</v>
      </c>
      <c r="C98" s="87"/>
      <c r="D98" s="88">
        <v>26931054</v>
      </c>
      <c r="E98" s="88"/>
      <c r="F98" s="89">
        <v>10567777</v>
      </c>
      <c r="G98" s="90">
        <v>11534</v>
      </c>
      <c r="H98" s="88">
        <v>4903420</v>
      </c>
      <c r="I98" s="90">
        <v>2149</v>
      </c>
      <c r="J98" s="91">
        <v>9789152</v>
      </c>
      <c r="K98" s="92">
        <v>23899.839999999997</v>
      </c>
      <c r="L98" s="90">
        <v>136</v>
      </c>
      <c r="M98" s="88">
        <v>14370</v>
      </c>
      <c r="N98" s="90">
        <v>54</v>
      </c>
      <c r="O98" s="91">
        <v>3163</v>
      </c>
      <c r="P98" s="93">
        <v>8.7861111111111114</v>
      </c>
      <c r="Q98" s="90">
        <v>40</v>
      </c>
      <c r="R98" s="91">
        <v>96363</v>
      </c>
      <c r="S98" s="92">
        <v>256.23</v>
      </c>
      <c r="T98" s="90">
        <v>2851</v>
      </c>
      <c r="V98" s="122"/>
    </row>
    <row r="99" spans="1:22" x14ac:dyDescent="0.2">
      <c r="A99" s="78">
        <v>2020</v>
      </c>
      <c r="B99" s="79" t="s">
        <v>81</v>
      </c>
      <c r="C99" s="87"/>
      <c r="D99" s="88">
        <v>23177143</v>
      </c>
      <c r="E99" s="88"/>
      <c r="F99" s="89">
        <v>9215338</v>
      </c>
      <c r="G99" s="90">
        <v>11550</v>
      </c>
      <c r="H99" s="88">
        <v>3781401</v>
      </c>
      <c r="I99" s="90">
        <v>2151</v>
      </c>
      <c r="J99" s="91">
        <v>8930909</v>
      </c>
      <c r="K99" s="92">
        <v>21031.05</v>
      </c>
      <c r="L99" s="90">
        <v>136</v>
      </c>
      <c r="M99" s="88">
        <v>14370</v>
      </c>
      <c r="N99" s="90">
        <v>54</v>
      </c>
      <c r="O99" s="91">
        <v>3087.5</v>
      </c>
      <c r="P99" s="93">
        <v>8.5763888888888893</v>
      </c>
      <c r="Q99" s="90">
        <v>40</v>
      </c>
      <c r="R99" s="91">
        <v>82824</v>
      </c>
      <c r="S99" s="92">
        <v>256.86</v>
      </c>
      <c r="T99" s="90">
        <v>2851</v>
      </c>
      <c r="V99" s="122"/>
    </row>
    <row r="100" spans="1:22" x14ac:dyDescent="0.2">
      <c r="A100" s="78">
        <v>2020</v>
      </c>
      <c r="B100" s="79" t="s">
        <v>45</v>
      </c>
      <c r="C100" s="87"/>
      <c r="D100" s="88">
        <v>22565297</v>
      </c>
      <c r="E100" s="88"/>
      <c r="F100" s="89">
        <v>8185802</v>
      </c>
      <c r="G100" s="90">
        <v>11554</v>
      </c>
      <c r="H100" s="88">
        <v>3680867</v>
      </c>
      <c r="I100" s="90">
        <v>2152</v>
      </c>
      <c r="J100" s="91">
        <v>9310693</v>
      </c>
      <c r="K100" s="92">
        <v>22844.159999999996</v>
      </c>
      <c r="L100" s="90">
        <v>136</v>
      </c>
      <c r="M100" s="88">
        <v>14370</v>
      </c>
      <c r="N100" s="90">
        <v>54</v>
      </c>
      <c r="O100" s="91">
        <v>3087.5</v>
      </c>
      <c r="P100" s="93">
        <v>8.5763888888888893</v>
      </c>
      <c r="Q100" s="90">
        <v>40</v>
      </c>
      <c r="R100" s="91">
        <v>76350</v>
      </c>
      <c r="S100" s="92">
        <v>256.86</v>
      </c>
      <c r="T100" s="90">
        <v>2851</v>
      </c>
      <c r="V100" s="122"/>
    </row>
    <row r="101" spans="1:22" x14ac:dyDescent="0.2">
      <c r="A101" s="78">
        <v>2020</v>
      </c>
      <c r="B101" s="79" t="s">
        <v>82</v>
      </c>
      <c r="C101" s="87"/>
      <c r="D101" s="88">
        <v>22325604</v>
      </c>
      <c r="E101" s="88"/>
      <c r="F101" s="89">
        <v>7327358</v>
      </c>
      <c r="G101" s="90">
        <v>11558</v>
      </c>
      <c r="H101" s="88">
        <v>3852088</v>
      </c>
      <c r="I101" s="90">
        <v>2151</v>
      </c>
      <c r="J101" s="91">
        <v>9719114</v>
      </c>
      <c r="K101" s="92">
        <v>24377.559999999998</v>
      </c>
      <c r="L101" s="90">
        <v>136</v>
      </c>
      <c r="M101" s="88">
        <v>14370</v>
      </c>
      <c r="N101" s="90">
        <v>54</v>
      </c>
      <c r="O101" s="91">
        <v>3087</v>
      </c>
      <c r="P101" s="93">
        <v>8.5749999999999993</v>
      </c>
      <c r="Q101" s="90">
        <v>40</v>
      </c>
      <c r="R101" s="91">
        <v>69417</v>
      </c>
      <c r="S101" s="92">
        <v>256.86</v>
      </c>
      <c r="T101" s="90">
        <v>2851</v>
      </c>
      <c r="V101" s="122"/>
    </row>
    <row r="102" spans="1:22" x14ac:dyDescent="0.2">
      <c r="A102" s="78">
        <v>2020</v>
      </c>
      <c r="B102" s="79" t="s">
        <v>83</v>
      </c>
      <c r="C102" s="87"/>
      <c r="D102" s="88">
        <v>26178908</v>
      </c>
      <c r="E102" s="88"/>
      <c r="F102" s="89">
        <v>8925433</v>
      </c>
      <c r="G102" s="90">
        <v>11571</v>
      </c>
      <c r="H102" s="88">
        <v>4746736</v>
      </c>
      <c r="I102" s="90">
        <v>2153</v>
      </c>
      <c r="J102" s="91">
        <v>10677894</v>
      </c>
      <c r="K102" s="92">
        <v>28197.870000000003</v>
      </c>
      <c r="L102" s="90">
        <v>136</v>
      </c>
      <c r="M102" s="88">
        <v>14370</v>
      </c>
      <c r="N102" s="90">
        <v>54</v>
      </c>
      <c r="O102" s="91">
        <v>3095</v>
      </c>
      <c r="P102" s="93">
        <v>8.5972222222222214</v>
      </c>
      <c r="Q102" s="90">
        <v>40</v>
      </c>
      <c r="R102" s="91">
        <v>77558</v>
      </c>
      <c r="S102" s="92">
        <v>256.86</v>
      </c>
      <c r="T102" s="90">
        <v>2851</v>
      </c>
      <c r="V102" s="122"/>
    </row>
    <row r="103" spans="1:22" x14ac:dyDescent="0.2">
      <c r="A103" s="78">
        <v>2020</v>
      </c>
      <c r="B103" s="79" t="s">
        <v>84</v>
      </c>
      <c r="C103" s="87"/>
      <c r="D103" s="88">
        <v>24180956</v>
      </c>
      <c r="E103" s="88"/>
      <c r="F103" s="89">
        <v>7867206</v>
      </c>
      <c r="G103" s="90">
        <v>11572</v>
      </c>
      <c r="H103" s="88">
        <v>4433621</v>
      </c>
      <c r="I103" s="90">
        <v>2154</v>
      </c>
      <c r="J103" s="91">
        <v>10238043</v>
      </c>
      <c r="K103" s="92">
        <v>25824.370000000003</v>
      </c>
      <c r="L103" s="90">
        <v>136</v>
      </c>
      <c r="M103" s="88">
        <v>14370</v>
      </c>
      <c r="N103" s="90">
        <v>54</v>
      </c>
      <c r="O103" s="91">
        <v>3095</v>
      </c>
      <c r="P103" s="93">
        <v>8.5972222222222214</v>
      </c>
      <c r="Q103" s="90">
        <v>40</v>
      </c>
      <c r="R103" s="91">
        <v>80205</v>
      </c>
      <c r="S103" s="92">
        <v>256.86</v>
      </c>
      <c r="T103" s="90">
        <v>2851</v>
      </c>
      <c r="V103" s="122"/>
    </row>
    <row r="104" spans="1:22" x14ac:dyDescent="0.2">
      <c r="A104" s="78">
        <v>2020</v>
      </c>
      <c r="B104" s="79" t="s">
        <v>85</v>
      </c>
      <c r="C104" s="87"/>
      <c r="D104" s="88">
        <v>21706905</v>
      </c>
      <c r="E104" s="88"/>
      <c r="F104" s="89">
        <v>6884484</v>
      </c>
      <c r="G104" s="90">
        <v>11593</v>
      </c>
      <c r="H104" s="88">
        <v>3854536</v>
      </c>
      <c r="I104" s="90">
        <v>2154</v>
      </c>
      <c r="J104" s="91">
        <v>9549087</v>
      </c>
      <c r="K104" s="92">
        <v>24518.030000000002</v>
      </c>
      <c r="L104" s="90">
        <v>136</v>
      </c>
      <c r="M104" s="88">
        <v>14370</v>
      </c>
      <c r="N104" s="90">
        <v>54</v>
      </c>
      <c r="O104" s="91">
        <v>3087</v>
      </c>
      <c r="P104" s="93">
        <v>8.5749999999999993</v>
      </c>
      <c r="Q104" s="90">
        <v>40</v>
      </c>
      <c r="R104" s="91">
        <v>82709</v>
      </c>
      <c r="S104" s="92">
        <v>256.86</v>
      </c>
      <c r="T104" s="90">
        <v>2851</v>
      </c>
      <c r="V104" s="122"/>
    </row>
    <row r="105" spans="1:22" x14ac:dyDescent="0.2">
      <c r="A105" s="78">
        <v>2020</v>
      </c>
      <c r="B105" s="79" t="s">
        <v>86</v>
      </c>
      <c r="C105" s="87"/>
      <c r="D105" s="88">
        <v>24121204</v>
      </c>
      <c r="E105" s="88"/>
      <c r="F105" s="89">
        <v>8526373</v>
      </c>
      <c r="G105" s="90">
        <v>11589</v>
      </c>
      <c r="H105" s="88">
        <v>4235928</v>
      </c>
      <c r="I105" s="90">
        <v>2160</v>
      </c>
      <c r="J105" s="91">
        <v>9858469</v>
      </c>
      <c r="K105" s="92">
        <v>24162.940000000002</v>
      </c>
      <c r="L105" s="90">
        <v>135</v>
      </c>
      <c r="M105" s="88">
        <v>14746</v>
      </c>
      <c r="N105" s="90">
        <v>62</v>
      </c>
      <c r="O105" s="91">
        <v>3087</v>
      </c>
      <c r="P105" s="93">
        <v>8.5749999999999993</v>
      </c>
      <c r="Q105" s="90">
        <v>40</v>
      </c>
      <c r="R105" s="91">
        <v>95656</v>
      </c>
      <c r="S105" s="92">
        <v>256.86</v>
      </c>
      <c r="T105" s="90">
        <v>2851</v>
      </c>
      <c r="V105" s="122"/>
    </row>
    <row r="106" spans="1:22" x14ac:dyDescent="0.2">
      <c r="A106" s="78">
        <v>2020</v>
      </c>
      <c r="B106" s="79" t="s">
        <v>87</v>
      </c>
      <c r="C106" s="87"/>
      <c r="D106" s="88">
        <v>25126449</v>
      </c>
      <c r="E106" s="88"/>
      <c r="F106" s="89">
        <v>9286968</v>
      </c>
      <c r="G106" s="90">
        <v>11609</v>
      </c>
      <c r="H106" s="88">
        <v>4476458</v>
      </c>
      <c r="I106" s="90">
        <v>2167</v>
      </c>
      <c r="J106" s="91">
        <v>9711758</v>
      </c>
      <c r="K106" s="92">
        <v>23719.65</v>
      </c>
      <c r="L106" s="90">
        <v>135</v>
      </c>
      <c r="M106" s="88">
        <v>14746</v>
      </c>
      <c r="N106" s="90">
        <v>62</v>
      </c>
      <c r="O106" s="91">
        <v>3087</v>
      </c>
      <c r="P106" s="93">
        <v>8.5749999999999993</v>
      </c>
      <c r="Q106" s="90">
        <v>40</v>
      </c>
      <c r="R106" s="91">
        <v>98114</v>
      </c>
      <c r="S106" s="92">
        <v>256.86</v>
      </c>
      <c r="T106" s="90">
        <v>2851</v>
      </c>
      <c r="V106" s="122"/>
    </row>
    <row r="107" spans="1:22" x14ac:dyDescent="0.2">
      <c r="A107" s="78">
        <v>2020</v>
      </c>
      <c r="B107" s="79" t="s">
        <v>88</v>
      </c>
      <c r="C107" s="87"/>
      <c r="D107" s="88">
        <v>28892268</v>
      </c>
      <c r="E107" s="88"/>
      <c r="F107" s="89">
        <v>12200890</v>
      </c>
      <c r="G107" s="90">
        <v>11624</v>
      </c>
      <c r="H107" s="88">
        <v>5321614</v>
      </c>
      <c r="I107" s="90">
        <v>2176</v>
      </c>
      <c r="J107" s="91">
        <v>9519628</v>
      </c>
      <c r="K107" s="92">
        <v>23032.75</v>
      </c>
      <c r="L107" s="90">
        <v>136</v>
      </c>
      <c r="M107" s="88">
        <v>14746</v>
      </c>
      <c r="N107" s="90">
        <v>62</v>
      </c>
      <c r="O107" s="91">
        <v>3087</v>
      </c>
      <c r="P107" s="93">
        <v>8.5749999999999993</v>
      </c>
      <c r="Q107" s="90">
        <v>40</v>
      </c>
      <c r="R107" s="91">
        <v>106309</v>
      </c>
      <c r="S107" s="92">
        <v>256.86</v>
      </c>
      <c r="T107" s="90">
        <v>2851</v>
      </c>
      <c r="U107" s="122">
        <f>G107+I107+L107</f>
        <v>13936</v>
      </c>
      <c r="V107" s="122"/>
    </row>
    <row r="108" spans="1:22" x14ac:dyDescent="0.2">
      <c r="A108" s="78">
        <v>2021</v>
      </c>
      <c r="B108" s="79" t="s">
        <v>78</v>
      </c>
      <c r="C108" s="87"/>
      <c r="D108" s="81">
        <v>29919109</v>
      </c>
      <c r="E108" s="81"/>
      <c r="F108" s="82">
        <v>12861568</v>
      </c>
      <c r="G108" s="83">
        <v>11624</v>
      </c>
      <c r="H108" s="81">
        <v>5452123</v>
      </c>
      <c r="I108" s="83">
        <v>2180</v>
      </c>
      <c r="J108" s="84">
        <v>9455402</v>
      </c>
      <c r="K108" s="85">
        <v>22035.74</v>
      </c>
      <c r="L108" s="83">
        <v>136</v>
      </c>
      <c r="M108" s="81">
        <v>14746</v>
      </c>
      <c r="N108" s="83">
        <v>62</v>
      </c>
      <c r="O108" s="84">
        <v>3087</v>
      </c>
      <c r="P108" s="86">
        <v>8.5749999999999993</v>
      </c>
      <c r="Q108" s="83">
        <v>40</v>
      </c>
      <c r="R108" s="84">
        <v>104187</v>
      </c>
      <c r="S108" s="85">
        <v>256.86</v>
      </c>
      <c r="T108" s="83">
        <v>2851</v>
      </c>
      <c r="V108" s="122"/>
    </row>
    <row r="109" spans="1:22" x14ac:dyDescent="0.2">
      <c r="A109" s="78">
        <v>2021</v>
      </c>
      <c r="B109" s="79" t="s">
        <v>79</v>
      </c>
      <c r="C109" s="87"/>
      <c r="D109" s="88">
        <v>28503891</v>
      </c>
      <c r="E109" s="88"/>
      <c r="F109" s="89">
        <v>12093226</v>
      </c>
      <c r="G109" s="90">
        <v>11658</v>
      </c>
      <c r="H109" s="88">
        <v>5232812</v>
      </c>
      <c r="I109" s="90">
        <v>2188</v>
      </c>
      <c r="J109" s="91">
        <v>9144520</v>
      </c>
      <c r="K109" s="92">
        <v>22153.089999999997</v>
      </c>
      <c r="L109" s="90">
        <v>133</v>
      </c>
      <c r="M109" s="88">
        <v>14746</v>
      </c>
      <c r="N109" s="90">
        <v>62</v>
      </c>
      <c r="O109" s="91">
        <v>3087</v>
      </c>
      <c r="P109" s="93">
        <v>8.5749999999999993</v>
      </c>
      <c r="Q109" s="90">
        <v>40</v>
      </c>
      <c r="R109" s="91">
        <v>93036</v>
      </c>
      <c r="S109" s="92">
        <v>256.86</v>
      </c>
      <c r="T109" s="90">
        <v>2851</v>
      </c>
      <c r="V109" s="122"/>
    </row>
    <row r="110" spans="1:22" x14ac:dyDescent="0.2">
      <c r="A110" s="78">
        <v>2021</v>
      </c>
      <c r="B110" s="79" t="s">
        <v>80</v>
      </c>
      <c r="C110" s="87"/>
      <c r="D110" s="88">
        <v>27991373</v>
      </c>
      <c r="E110" s="88"/>
      <c r="F110" s="89">
        <v>11067343</v>
      </c>
      <c r="G110" s="90">
        <v>11671</v>
      </c>
      <c r="H110" s="88">
        <v>5156067</v>
      </c>
      <c r="I110" s="90">
        <v>2185</v>
      </c>
      <c r="J110" s="91">
        <v>10195091</v>
      </c>
      <c r="K110" s="92">
        <v>22078.560000000001</v>
      </c>
      <c r="L110" s="90">
        <v>132</v>
      </c>
      <c r="M110" s="88">
        <v>14887</v>
      </c>
      <c r="N110" s="90">
        <v>65</v>
      </c>
      <c r="O110" s="91">
        <v>3087</v>
      </c>
      <c r="P110" s="93">
        <v>8.5749999999999993</v>
      </c>
      <c r="Q110" s="90">
        <v>40</v>
      </c>
      <c r="R110" s="91">
        <v>91230</v>
      </c>
      <c r="S110" s="92">
        <v>256.86</v>
      </c>
      <c r="T110" s="90">
        <v>2851</v>
      </c>
      <c r="V110" s="122"/>
    </row>
    <row r="111" spans="1:22" x14ac:dyDescent="0.2">
      <c r="A111" s="78">
        <v>2021</v>
      </c>
      <c r="B111" s="79" t="s">
        <v>81</v>
      </c>
      <c r="C111" s="87"/>
      <c r="D111" s="88">
        <v>23510679</v>
      </c>
      <c r="E111" s="88"/>
      <c r="F111" s="89">
        <v>8571210</v>
      </c>
      <c r="G111" s="90">
        <v>11674</v>
      </c>
      <c r="H111" s="88">
        <v>4059487</v>
      </c>
      <c r="I111" s="90">
        <v>2184</v>
      </c>
      <c r="J111" s="91">
        <v>9368550</v>
      </c>
      <c r="K111" s="92">
        <v>22583.78</v>
      </c>
      <c r="L111" s="90">
        <v>132</v>
      </c>
      <c r="M111" s="88">
        <v>14887</v>
      </c>
      <c r="N111" s="90">
        <v>65</v>
      </c>
      <c r="O111" s="91">
        <v>3087</v>
      </c>
      <c r="P111" s="93">
        <v>8.5749999999999993</v>
      </c>
      <c r="Q111" s="90">
        <v>40</v>
      </c>
      <c r="R111" s="91">
        <v>83669</v>
      </c>
      <c r="S111" s="92">
        <v>256.86</v>
      </c>
      <c r="T111" s="90">
        <v>2851</v>
      </c>
      <c r="V111" s="122"/>
    </row>
    <row r="112" spans="1:22" x14ac:dyDescent="0.2">
      <c r="A112" s="78">
        <v>2021</v>
      </c>
      <c r="B112" s="79" t="s">
        <v>45</v>
      </c>
      <c r="C112" s="87"/>
      <c r="D112" s="88">
        <v>22807571</v>
      </c>
      <c r="E112" s="88"/>
      <c r="F112" s="89">
        <v>7793566</v>
      </c>
      <c r="G112" s="90">
        <v>11705</v>
      </c>
      <c r="H112" s="88">
        <v>3985806</v>
      </c>
      <c r="I112" s="90">
        <v>2186</v>
      </c>
      <c r="J112" s="91">
        <v>9563882</v>
      </c>
      <c r="K112" s="92">
        <v>22518.17</v>
      </c>
      <c r="L112" s="90">
        <v>131</v>
      </c>
      <c r="M112" s="88">
        <v>14887</v>
      </c>
      <c r="N112" s="90">
        <v>65</v>
      </c>
      <c r="O112" s="91">
        <v>3087</v>
      </c>
      <c r="P112" s="93">
        <v>8.5749999999999993</v>
      </c>
      <c r="Q112" s="90">
        <v>40</v>
      </c>
      <c r="R112" s="91">
        <v>76350</v>
      </c>
      <c r="S112" s="92">
        <v>256.86</v>
      </c>
      <c r="T112" s="90">
        <v>2851</v>
      </c>
      <c r="V112" s="122"/>
    </row>
    <row r="113" spans="1:22" x14ac:dyDescent="0.2">
      <c r="A113" s="78">
        <v>2021</v>
      </c>
      <c r="B113" s="79" t="s">
        <v>82</v>
      </c>
      <c r="C113" s="87"/>
      <c r="D113" s="88">
        <v>23479543</v>
      </c>
      <c r="E113" s="88"/>
      <c r="F113" s="89">
        <v>7508354</v>
      </c>
      <c r="G113" s="90">
        <v>11713</v>
      </c>
      <c r="H113" s="88">
        <v>4188697</v>
      </c>
      <c r="I113" s="90">
        <v>2190</v>
      </c>
      <c r="J113" s="91">
        <v>9899241</v>
      </c>
      <c r="K113" s="92">
        <v>23534.51</v>
      </c>
      <c r="L113" s="90">
        <v>130</v>
      </c>
      <c r="M113" s="88">
        <v>14887</v>
      </c>
      <c r="N113" s="90">
        <v>65</v>
      </c>
      <c r="O113" s="91">
        <v>3087</v>
      </c>
      <c r="P113" s="93">
        <v>8.5749999999999993</v>
      </c>
      <c r="Q113" s="90">
        <v>40</v>
      </c>
      <c r="R113" s="91">
        <v>69414</v>
      </c>
      <c r="S113" s="92">
        <v>256.86</v>
      </c>
      <c r="T113" s="90">
        <v>2851</v>
      </c>
      <c r="V113" s="122"/>
    </row>
    <row r="114" spans="1:22" x14ac:dyDescent="0.2">
      <c r="A114" s="78">
        <v>2021</v>
      </c>
      <c r="B114" s="79" t="s">
        <v>83</v>
      </c>
      <c r="C114" s="87"/>
      <c r="D114" s="88">
        <v>24849711</v>
      </c>
      <c r="E114" s="88"/>
      <c r="F114" s="89">
        <v>7969672</v>
      </c>
      <c r="G114" s="90">
        <v>11717</v>
      </c>
      <c r="H114" s="88">
        <v>4656044</v>
      </c>
      <c r="I114" s="90">
        <v>2189</v>
      </c>
      <c r="J114" s="91">
        <v>10527025</v>
      </c>
      <c r="K114" s="92">
        <v>23638.26</v>
      </c>
      <c r="L114" s="90">
        <v>129</v>
      </c>
      <c r="M114" s="88">
        <v>14887</v>
      </c>
      <c r="N114" s="90">
        <v>65</v>
      </c>
      <c r="O114" s="91">
        <v>3087</v>
      </c>
      <c r="P114" s="93">
        <v>8.5749999999999993</v>
      </c>
      <c r="Q114" s="90">
        <v>40</v>
      </c>
      <c r="R114" s="91">
        <v>77558</v>
      </c>
      <c r="S114" s="92">
        <v>256.86</v>
      </c>
      <c r="T114" s="90">
        <v>2851</v>
      </c>
      <c r="V114" s="122"/>
    </row>
    <row r="115" spans="1:22" x14ac:dyDescent="0.2">
      <c r="A115" s="78">
        <v>2021</v>
      </c>
      <c r="B115" s="79" t="s">
        <v>84</v>
      </c>
      <c r="C115" s="87"/>
      <c r="D115" s="88">
        <v>27059084</v>
      </c>
      <c r="E115" s="88"/>
      <c r="F115" s="89">
        <v>8857289</v>
      </c>
      <c r="G115" s="90">
        <v>11739</v>
      </c>
      <c r="H115" s="88">
        <v>5095064</v>
      </c>
      <c r="I115" s="90">
        <v>2192</v>
      </c>
      <c r="J115" s="91">
        <v>11326980</v>
      </c>
      <c r="K115" s="92">
        <v>27829.730000000003</v>
      </c>
      <c r="L115" s="90">
        <v>130</v>
      </c>
      <c r="M115" s="88">
        <v>14887</v>
      </c>
      <c r="N115" s="90">
        <v>65</v>
      </c>
      <c r="O115" s="91">
        <v>3087</v>
      </c>
      <c r="P115" s="93">
        <v>8.5749999999999993</v>
      </c>
      <c r="Q115" s="90">
        <v>40</v>
      </c>
      <c r="R115" s="91">
        <v>80205</v>
      </c>
      <c r="S115" s="92">
        <v>256.86</v>
      </c>
      <c r="T115" s="90">
        <v>2851</v>
      </c>
      <c r="V115" s="122"/>
    </row>
    <row r="116" spans="1:22" x14ac:dyDescent="0.2">
      <c r="A116" s="78">
        <v>2021</v>
      </c>
      <c r="B116" s="79" t="s">
        <v>85</v>
      </c>
      <c r="C116" s="87"/>
      <c r="D116" s="88">
        <v>22357163</v>
      </c>
      <c r="E116" s="88"/>
      <c r="F116" s="89">
        <v>6806749</v>
      </c>
      <c r="G116" s="90">
        <v>11760</v>
      </c>
      <c r="H116" s="88">
        <v>4053728</v>
      </c>
      <c r="I116" s="90">
        <v>2193</v>
      </c>
      <c r="J116" s="91">
        <v>9892370</v>
      </c>
      <c r="K116" s="92">
        <v>24747.9</v>
      </c>
      <c r="L116" s="90">
        <v>129</v>
      </c>
      <c r="M116" s="88">
        <v>14887</v>
      </c>
      <c r="N116" s="90">
        <v>65</v>
      </c>
      <c r="O116" s="91">
        <v>3087</v>
      </c>
      <c r="P116" s="93">
        <v>8.5749999999999993</v>
      </c>
      <c r="Q116" s="90">
        <v>40</v>
      </c>
      <c r="R116" s="91">
        <v>83190</v>
      </c>
      <c r="S116" s="92">
        <v>256.86</v>
      </c>
      <c r="T116" s="90">
        <v>2851</v>
      </c>
      <c r="V116" s="122"/>
    </row>
    <row r="117" spans="1:22" x14ac:dyDescent="0.2">
      <c r="A117" s="78">
        <v>2021</v>
      </c>
      <c r="B117" s="79" t="s">
        <v>86</v>
      </c>
      <c r="C117" s="87"/>
      <c r="D117" s="88">
        <v>23786911</v>
      </c>
      <c r="E117" s="88"/>
      <c r="F117" s="89">
        <v>7601741</v>
      </c>
      <c r="G117" s="90">
        <v>11777</v>
      </c>
      <c r="H117" s="88">
        <v>4183435</v>
      </c>
      <c r="I117" s="90">
        <v>2197</v>
      </c>
      <c r="J117" s="91">
        <v>10431514</v>
      </c>
      <c r="K117" s="92">
        <v>25671.279999999999</v>
      </c>
      <c r="L117" s="90">
        <v>129</v>
      </c>
      <c r="M117" s="88">
        <v>14887</v>
      </c>
      <c r="N117" s="90">
        <v>65</v>
      </c>
      <c r="O117" s="91">
        <v>3088</v>
      </c>
      <c r="P117" s="93">
        <v>8.5777777777777775</v>
      </c>
      <c r="Q117" s="90">
        <v>40</v>
      </c>
      <c r="R117" s="91">
        <v>95656</v>
      </c>
      <c r="S117" s="92">
        <v>256.86</v>
      </c>
      <c r="T117" s="90">
        <v>2851</v>
      </c>
      <c r="V117" s="122"/>
    </row>
    <row r="118" spans="1:22" x14ac:dyDescent="0.2">
      <c r="A118" s="78">
        <v>2021</v>
      </c>
      <c r="B118" s="79" t="s">
        <v>87</v>
      </c>
      <c r="C118" s="87"/>
      <c r="D118" s="88">
        <v>26548630</v>
      </c>
      <c r="E118" s="88"/>
      <c r="F118" s="89">
        <v>9744511</v>
      </c>
      <c r="G118" s="90">
        <v>11826</v>
      </c>
      <c r="H118" s="88">
        <v>4813328</v>
      </c>
      <c r="I118" s="90">
        <v>2202</v>
      </c>
      <c r="J118" s="91">
        <v>9988600</v>
      </c>
      <c r="K118" s="92">
        <v>24537.13</v>
      </c>
      <c r="L118" s="90">
        <v>129</v>
      </c>
      <c r="M118" s="88">
        <v>14887</v>
      </c>
      <c r="N118" s="90">
        <v>65</v>
      </c>
      <c r="O118" s="91">
        <v>3088</v>
      </c>
      <c r="P118" s="93">
        <v>8.5777777777777775</v>
      </c>
      <c r="Q118" s="90">
        <v>40</v>
      </c>
      <c r="R118" s="91">
        <v>98114</v>
      </c>
      <c r="S118" s="92">
        <v>256.86</v>
      </c>
      <c r="T118" s="90">
        <v>2851</v>
      </c>
      <c r="V118" s="122"/>
    </row>
    <row r="119" spans="1:22" x14ac:dyDescent="0.2">
      <c r="A119" s="78">
        <v>2021</v>
      </c>
      <c r="B119" s="79" t="s">
        <v>88</v>
      </c>
      <c r="C119" s="87"/>
      <c r="D119" s="88">
        <v>29127757</v>
      </c>
      <c r="E119" s="88"/>
      <c r="F119" s="89">
        <v>12082874</v>
      </c>
      <c r="G119" s="90">
        <v>11847</v>
      </c>
      <c r="H119" s="88">
        <v>5497661</v>
      </c>
      <c r="I119" s="90">
        <v>2204</v>
      </c>
      <c r="J119" s="91">
        <v>9840437</v>
      </c>
      <c r="K119" s="92">
        <v>24103.86</v>
      </c>
      <c r="L119" s="90">
        <v>129</v>
      </c>
      <c r="M119" s="88">
        <v>14887</v>
      </c>
      <c r="N119" s="90">
        <v>65</v>
      </c>
      <c r="O119" s="91">
        <v>3087</v>
      </c>
      <c r="P119" s="93">
        <v>8.5749999999999993</v>
      </c>
      <c r="Q119" s="90">
        <v>40</v>
      </c>
      <c r="R119" s="91">
        <v>106308</v>
      </c>
      <c r="S119" s="92">
        <v>256.86</v>
      </c>
      <c r="T119" s="90">
        <v>2851</v>
      </c>
      <c r="U119" s="122">
        <f>G119+I119+L119</f>
        <v>14180</v>
      </c>
      <c r="V119" s="122"/>
    </row>
    <row r="120" spans="1:22" x14ac:dyDescent="0.2">
      <c r="A120" s="78">
        <v>2022</v>
      </c>
      <c r="B120" s="79" t="s">
        <v>78</v>
      </c>
      <c r="C120" s="87"/>
      <c r="D120" s="81">
        <v>34795564</v>
      </c>
      <c r="E120" s="81"/>
      <c r="F120" s="82">
        <v>15288831</v>
      </c>
      <c r="G120" s="83">
        <v>11857</v>
      </c>
      <c r="H120" s="81">
        <v>6620879</v>
      </c>
      <c r="I120" s="83">
        <v>2205</v>
      </c>
      <c r="J120" s="84">
        <v>10600536</v>
      </c>
      <c r="K120" s="85">
        <v>23826.57</v>
      </c>
      <c r="L120" s="83">
        <v>129</v>
      </c>
      <c r="M120" s="81">
        <v>14887</v>
      </c>
      <c r="N120" s="83">
        <v>65</v>
      </c>
      <c r="O120" s="84">
        <v>3087</v>
      </c>
      <c r="P120" s="86">
        <v>8.5749999999999993</v>
      </c>
      <c r="Q120" s="83">
        <v>40</v>
      </c>
      <c r="R120" s="84">
        <v>104186</v>
      </c>
      <c r="S120" s="85">
        <v>256.86</v>
      </c>
      <c r="T120" s="83">
        <v>2851</v>
      </c>
      <c r="V120" s="122"/>
    </row>
    <row r="121" spans="1:22" x14ac:dyDescent="0.2">
      <c r="A121" s="78">
        <v>2022</v>
      </c>
      <c r="B121" s="79" t="s">
        <v>79</v>
      </c>
      <c r="C121" s="87"/>
      <c r="D121" s="88">
        <v>30039948</v>
      </c>
      <c r="E121" s="88"/>
      <c r="F121" s="89">
        <v>12618527</v>
      </c>
      <c r="G121" s="90">
        <v>11867</v>
      </c>
      <c r="H121" s="88">
        <v>5767398</v>
      </c>
      <c r="I121" s="90">
        <v>2210</v>
      </c>
      <c r="J121" s="91">
        <v>9657312</v>
      </c>
      <c r="K121" s="92">
        <v>23370.76</v>
      </c>
      <c r="L121" s="90">
        <v>129</v>
      </c>
      <c r="M121" s="88">
        <v>14887</v>
      </c>
      <c r="N121" s="90">
        <v>65</v>
      </c>
      <c r="O121" s="91">
        <v>3087</v>
      </c>
      <c r="P121" s="93">
        <v>8.5749999999999993</v>
      </c>
      <c r="Q121" s="90">
        <v>39</v>
      </c>
      <c r="R121" s="91">
        <v>93038</v>
      </c>
      <c r="S121" s="92">
        <v>256.86</v>
      </c>
      <c r="T121" s="90">
        <v>2851</v>
      </c>
      <c r="V121" s="122"/>
    </row>
    <row r="122" spans="1:22" x14ac:dyDescent="0.2">
      <c r="A122" s="78">
        <v>2022</v>
      </c>
      <c r="B122" s="79" t="s">
        <v>80</v>
      </c>
      <c r="C122" s="87"/>
      <c r="D122" s="88">
        <v>29938094</v>
      </c>
      <c r="E122" s="88"/>
      <c r="F122" s="89">
        <v>11852497</v>
      </c>
      <c r="G122" s="90">
        <v>11863</v>
      </c>
      <c r="H122" s="88">
        <v>5691573</v>
      </c>
      <c r="I122" s="90">
        <v>2208</v>
      </c>
      <c r="J122" s="91">
        <v>10498906</v>
      </c>
      <c r="K122" s="92">
        <v>23473.57</v>
      </c>
      <c r="L122" s="90">
        <v>128</v>
      </c>
      <c r="M122" s="88">
        <v>14887</v>
      </c>
      <c r="N122" s="90">
        <v>65</v>
      </c>
      <c r="O122" s="91">
        <v>3087</v>
      </c>
      <c r="P122" s="93">
        <v>8.5749999999999993</v>
      </c>
      <c r="Q122" s="90">
        <v>39</v>
      </c>
      <c r="R122" s="91">
        <v>91230</v>
      </c>
      <c r="S122" s="92">
        <v>256.86</v>
      </c>
      <c r="T122" s="90">
        <v>2851</v>
      </c>
      <c r="V122" s="122"/>
    </row>
    <row r="123" spans="1:22" x14ac:dyDescent="0.2">
      <c r="A123" s="78">
        <v>2022</v>
      </c>
      <c r="B123" s="79" t="s">
        <v>81</v>
      </c>
      <c r="C123" s="87"/>
      <c r="D123" s="88">
        <v>25592068</v>
      </c>
      <c r="E123" s="88"/>
      <c r="F123" s="89">
        <v>9318640</v>
      </c>
      <c r="G123" s="90">
        <v>11876</v>
      </c>
      <c r="H123" s="88">
        <v>4626127</v>
      </c>
      <c r="I123" s="90">
        <v>2210</v>
      </c>
      <c r="J123" s="91">
        <v>9984284</v>
      </c>
      <c r="K123" s="92">
        <v>24485.72</v>
      </c>
      <c r="L123" s="90">
        <v>129</v>
      </c>
      <c r="M123" s="88">
        <v>14187</v>
      </c>
      <c r="N123" s="90">
        <v>64</v>
      </c>
      <c r="O123" s="91">
        <v>3087</v>
      </c>
      <c r="P123" s="93">
        <v>8.5749999999999993</v>
      </c>
      <c r="Q123" s="90">
        <v>39</v>
      </c>
      <c r="R123" s="91">
        <v>83670</v>
      </c>
      <c r="S123" s="92">
        <v>256.86</v>
      </c>
      <c r="T123" s="90">
        <v>2851</v>
      </c>
      <c r="V123" s="122"/>
    </row>
    <row r="124" spans="1:22" x14ac:dyDescent="0.2">
      <c r="A124" s="78">
        <v>2022</v>
      </c>
      <c r="B124" s="79" t="s">
        <v>45</v>
      </c>
      <c r="C124" s="87"/>
      <c r="D124" s="88">
        <v>23761000</v>
      </c>
      <c r="E124" s="88"/>
      <c r="F124" s="89">
        <v>7502565</v>
      </c>
      <c r="G124" s="90">
        <v>11883</v>
      </c>
      <c r="H124" s="88">
        <v>4308329</v>
      </c>
      <c r="I124" s="90">
        <v>2212</v>
      </c>
      <c r="J124" s="91">
        <v>10552771</v>
      </c>
      <c r="K124" s="92">
        <v>26091.02</v>
      </c>
      <c r="L124" s="90">
        <v>129</v>
      </c>
      <c r="M124" s="88">
        <v>14187</v>
      </c>
      <c r="N124" s="90">
        <v>64</v>
      </c>
      <c r="O124" s="91">
        <v>3087</v>
      </c>
      <c r="P124" s="93">
        <v>8.5749999999999993</v>
      </c>
      <c r="Q124" s="90">
        <v>39</v>
      </c>
      <c r="R124" s="91">
        <v>76349</v>
      </c>
      <c r="S124" s="92">
        <v>256.86</v>
      </c>
      <c r="T124" s="90">
        <v>2851</v>
      </c>
      <c r="V124" s="122"/>
    </row>
    <row r="125" spans="1:22" x14ac:dyDescent="0.2">
      <c r="A125" s="78">
        <v>2022</v>
      </c>
      <c r="B125" s="79" t="s">
        <v>82</v>
      </c>
      <c r="C125" s="87"/>
      <c r="D125" s="88">
        <v>23802150</v>
      </c>
      <c r="E125" s="88"/>
      <c r="F125" s="89">
        <v>7235869</v>
      </c>
      <c r="G125" s="90">
        <v>11883</v>
      </c>
      <c r="H125" s="88">
        <v>4351593</v>
      </c>
      <c r="I125" s="90">
        <v>2216</v>
      </c>
      <c r="J125" s="91">
        <v>10792853</v>
      </c>
      <c r="K125" s="92">
        <v>26578.449999999997</v>
      </c>
      <c r="L125" s="90">
        <v>129</v>
      </c>
      <c r="M125" s="88">
        <v>14187</v>
      </c>
      <c r="N125" s="90">
        <v>64</v>
      </c>
      <c r="O125" s="91">
        <v>2846</v>
      </c>
      <c r="P125" s="93">
        <v>7.9055555555555559</v>
      </c>
      <c r="Q125" s="90">
        <v>37</v>
      </c>
      <c r="R125" s="91">
        <v>69415</v>
      </c>
      <c r="S125" s="92">
        <v>256.86</v>
      </c>
      <c r="T125" s="90">
        <v>2851</v>
      </c>
      <c r="V125" s="122"/>
    </row>
    <row r="126" spans="1:22" x14ac:dyDescent="0.2">
      <c r="A126" s="78">
        <v>2022</v>
      </c>
      <c r="B126" s="79" t="s">
        <v>83</v>
      </c>
      <c r="C126" s="87"/>
      <c r="D126" s="88">
        <v>25485797</v>
      </c>
      <c r="E126" s="88"/>
      <c r="F126" s="89">
        <v>7972499</v>
      </c>
      <c r="G126" s="90">
        <v>11886</v>
      </c>
      <c r="H126" s="88">
        <v>4775667</v>
      </c>
      <c r="I126" s="90">
        <v>2217</v>
      </c>
      <c r="J126" s="91">
        <v>10946128</v>
      </c>
      <c r="K126" s="92">
        <v>26096.89</v>
      </c>
      <c r="L126" s="90">
        <v>129</v>
      </c>
      <c r="M126" s="88">
        <v>14187</v>
      </c>
      <c r="N126" s="90">
        <v>64</v>
      </c>
      <c r="O126" s="91">
        <v>2850</v>
      </c>
      <c r="P126" s="93">
        <v>7.916666666666667</v>
      </c>
      <c r="Q126" s="90">
        <v>37</v>
      </c>
      <c r="R126" s="91">
        <v>77559</v>
      </c>
      <c r="S126" s="92">
        <v>256.86</v>
      </c>
      <c r="T126" s="90">
        <v>2851</v>
      </c>
      <c r="V126" s="122"/>
    </row>
    <row r="127" spans="1:22" x14ac:dyDescent="0.2">
      <c r="A127" s="78">
        <v>2022</v>
      </c>
      <c r="B127" s="79" t="s">
        <v>84</v>
      </c>
      <c r="C127" s="87"/>
      <c r="D127" s="88">
        <v>26149673</v>
      </c>
      <c r="E127" s="88"/>
      <c r="F127" s="89">
        <v>8139091</v>
      </c>
      <c r="G127" s="90">
        <v>11909</v>
      </c>
      <c r="H127" s="88">
        <v>4882288</v>
      </c>
      <c r="I127" s="90">
        <v>2194</v>
      </c>
      <c r="J127" s="91">
        <v>11156528</v>
      </c>
      <c r="K127" s="92">
        <v>26765.27</v>
      </c>
      <c r="L127" s="90">
        <v>129</v>
      </c>
      <c r="M127" s="88">
        <v>14187</v>
      </c>
      <c r="N127" s="90">
        <v>64</v>
      </c>
      <c r="O127" s="91">
        <v>2850</v>
      </c>
      <c r="P127" s="93">
        <v>7.916666666666667</v>
      </c>
      <c r="Q127" s="90">
        <v>37</v>
      </c>
      <c r="R127" s="91">
        <v>80205</v>
      </c>
      <c r="S127" s="92">
        <v>256.86</v>
      </c>
      <c r="T127" s="90">
        <v>2851</v>
      </c>
      <c r="V127" s="122"/>
    </row>
    <row r="128" spans="1:22" x14ac:dyDescent="0.2">
      <c r="A128" s="78">
        <v>2022</v>
      </c>
      <c r="B128" s="79" t="s">
        <v>85</v>
      </c>
      <c r="C128" s="87"/>
      <c r="D128" s="88">
        <v>23192024</v>
      </c>
      <c r="E128" s="88"/>
      <c r="F128" s="89">
        <v>7083870</v>
      </c>
      <c r="G128" s="90">
        <v>11915</v>
      </c>
      <c r="H128" s="88">
        <v>4202704</v>
      </c>
      <c r="I128" s="90">
        <v>2194</v>
      </c>
      <c r="J128" s="91">
        <v>10429248</v>
      </c>
      <c r="K128" s="92">
        <v>29278.25</v>
      </c>
      <c r="L128" s="90">
        <v>129</v>
      </c>
      <c r="M128" s="88">
        <v>14187</v>
      </c>
      <c r="N128" s="90">
        <v>64</v>
      </c>
      <c r="O128" s="91">
        <v>2846</v>
      </c>
      <c r="P128" s="93">
        <v>7.9055555555555559</v>
      </c>
      <c r="Q128" s="90">
        <v>37</v>
      </c>
      <c r="R128" s="91">
        <v>83191</v>
      </c>
      <c r="S128" s="92">
        <v>256.86</v>
      </c>
      <c r="T128" s="90">
        <v>2851</v>
      </c>
      <c r="V128" s="122"/>
    </row>
    <row r="129" spans="1:22" x14ac:dyDescent="0.2">
      <c r="A129" s="78">
        <v>2022</v>
      </c>
      <c r="B129" s="79" t="s">
        <v>86</v>
      </c>
      <c r="C129" s="87"/>
      <c r="D129" s="88">
        <v>24211097</v>
      </c>
      <c r="E129" s="88"/>
      <c r="F129" s="89">
        <v>8101315</v>
      </c>
      <c r="G129" s="90">
        <v>11980</v>
      </c>
      <c r="H129" s="88">
        <v>4321187</v>
      </c>
      <c r="I129" s="90">
        <v>2191</v>
      </c>
      <c r="J129" s="91">
        <v>10475623</v>
      </c>
      <c r="K129" s="92">
        <v>27764.030000000002</v>
      </c>
      <c r="L129" s="90">
        <v>129</v>
      </c>
      <c r="M129" s="88">
        <v>14187</v>
      </c>
      <c r="N129" s="90">
        <v>64</v>
      </c>
      <c r="O129" s="91">
        <v>2706</v>
      </c>
      <c r="P129" s="93">
        <v>7.5166666666666666</v>
      </c>
      <c r="Q129" s="90">
        <v>37</v>
      </c>
      <c r="R129" s="91">
        <v>95658</v>
      </c>
      <c r="S129" s="92">
        <v>256.86</v>
      </c>
      <c r="T129" s="90">
        <v>2851</v>
      </c>
      <c r="V129" s="122"/>
    </row>
    <row r="130" spans="1:22" x14ac:dyDescent="0.2">
      <c r="A130" s="78">
        <v>2022</v>
      </c>
      <c r="B130" s="79" t="s">
        <v>87</v>
      </c>
      <c r="C130" s="87"/>
      <c r="D130" s="88">
        <v>26468247</v>
      </c>
      <c r="E130" s="88"/>
      <c r="F130" s="89">
        <v>9420562</v>
      </c>
      <c r="G130" s="90">
        <v>12007</v>
      </c>
      <c r="H130" s="88">
        <v>4793077</v>
      </c>
      <c r="I130" s="90">
        <v>2201</v>
      </c>
      <c r="J130" s="91">
        <v>10279089</v>
      </c>
      <c r="K130" s="92">
        <v>25089.21</v>
      </c>
      <c r="L130" s="90">
        <v>130</v>
      </c>
      <c r="M130" s="88">
        <v>14187</v>
      </c>
      <c r="N130" s="90">
        <v>64</v>
      </c>
      <c r="O130" s="91">
        <v>2806</v>
      </c>
      <c r="P130" s="93">
        <v>7.7944444444444443</v>
      </c>
      <c r="Q130" s="90">
        <v>37</v>
      </c>
      <c r="R130" s="91">
        <v>98114</v>
      </c>
      <c r="S130" s="92">
        <v>256.86</v>
      </c>
      <c r="T130" s="90">
        <v>2851</v>
      </c>
      <c r="V130" s="122"/>
    </row>
    <row r="131" spans="1:22" x14ac:dyDescent="0.2">
      <c r="A131" s="78">
        <v>2022</v>
      </c>
      <c r="B131" s="79" t="s">
        <v>88</v>
      </c>
      <c r="C131" s="87"/>
      <c r="D131" s="88">
        <v>29238327</v>
      </c>
      <c r="E131" s="88"/>
      <c r="F131" s="89">
        <v>12099132</v>
      </c>
      <c r="G131" s="90">
        <v>12017</v>
      </c>
      <c r="H131" s="88">
        <v>5654790</v>
      </c>
      <c r="I131" s="90">
        <v>2204</v>
      </c>
      <c r="J131" s="91">
        <v>9833784</v>
      </c>
      <c r="K131" s="92">
        <v>25421.07</v>
      </c>
      <c r="L131" s="90">
        <v>130</v>
      </c>
      <c r="M131" s="88">
        <v>14187</v>
      </c>
      <c r="N131" s="90">
        <v>64</v>
      </c>
      <c r="O131" s="91">
        <v>2598</v>
      </c>
      <c r="P131" s="93">
        <v>7.2166666666666668</v>
      </c>
      <c r="Q131" s="90">
        <v>33</v>
      </c>
      <c r="R131" s="91">
        <v>106309</v>
      </c>
      <c r="S131" s="92">
        <v>256.86</v>
      </c>
      <c r="T131" s="90">
        <v>2851</v>
      </c>
      <c r="U131" s="122">
        <f>G131+I131+L131</f>
        <v>14351</v>
      </c>
      <c r="V131" s="122"/>
    </row>
    <row r="132" spans="1:22" x14ac:dyDescent="0.2">
      <c r="A132" s="78">
        <v>2023</v>
      </c>
      <c r="B132" s="79" t="s">
        <v>78</v>
      </c>
      <c r="C132" s="87"/>
      <c r="D132" s="81">
        <v>30877295</v>
      </c>
      <c r="E132" s="81"/>
      <c r="F132" s="82">
        <v>12500368</v>
      </c>
      <c r="G132" s="83">
        <v>12032</v>
      </c>
      <c r="H132" s="81">
        <v>5904888</v>
      </c>
      <c r="I132" s="83">
        <v>2204</v>
      </c>
      <c r="J132" s="84">
        <v>10596075</v>
      </c>
      <c r="K132" s="85">
        <v>24071.089999999997</v>
      </c>
      <c r="L132" s="83">
        <v>130</v>
      </c>
      <c r="M132" s="81">
        <v>14187</v>
      </c>
      <c r="N132" s="83">
        <v>64</v>
      </c>
      <c r="O132" s="84">
        <v>2598</v>
      </c>
      <c r="P132" s="86">
        <v>7.2166666666666668</v>
      </c>
      <c r="Q132" s="83">
        <v>33</v>
      </c>
      <c r="R132" s="84">
        <v>104186</v>
      </c>
      <c r="S132" s="85">
        <v>256.86</v>
      </c>
      <c r="T132" s="83">
        <v>2851</v>
      </c>
      <c r="V132" s="122"/>
    </row>
    <row r="133" spans="1:22" x14ac:dyDescent="0.2">
      <c r="A133" s="78">
        <v>2023</v>
      </c>
      <c r="B133" s="79" t="s">
        <v>79</v>
      </c>
      <c r="C133" s="87"/>
      <c r="D133" s="88">
        <v>28906608</v>
      </c>
      <c r="E133" s="88"/>
      <c r="F133" s="89">
        <v>11791584</v>
      </c>
      <c r="G133" s="90">
        <v>12046</v>
      </c>
      <c r="H133" s="88">
        <v>5640986</v>
      </c>
      <c r="I133" s="90">
        <v>2206</v>
      </c>
      <c r="J133" s="91">
        <v>9878020</v>
      </c>
      <c r="K133" s="92">
        <v>24779.730000000003</v>
      </c>
      <c r="L133" s="90">
        <v>130</v>
      </c>
      <c r="M133" s="88">
        <v>14187</v>
      </c>
      <c r="N133" s="90">
        <v>64</v>
      </c>
      <c r="O133" s="91">
        <v>2598</v>
      </c>
      <c r="P133" s="93">
        <v>7.2166666666666668</v>
      </c>
      <c r="Q133" s="90">
        <v>33</v>
      </c>
      <c r="R133" s="91">
        <v>93037</v>
      </c>
      <c r="S133" s="92">
        <v>256.86</v>
      </c>
      <c r="T133" s="90">
        <v>2851</v>
      </c>
      <c r="V133" s="122"/>
    </row>
    <row r="134" spans="1:22" x14ac:dyDescent="0.2">
      <c r="A134" s="78">
        <v>2023</v>
      </c>
      <c r="B134" s="79" t="s">
        <v>80</v>
      </c>
      <c r="C134" s="87"/>
      <c r="D134" s="88">
        <v>29869663</v>
      </c>
      <c r="E134" s="88"/>
      <c r="F134" s="89">
        <v>11371070</v>
      </c>
      <c r="G134" s="90">
        <v>12059</v>
      </c>
      <c r="H134" s="88">
        <v>5638636</v>
      </c>
      <c r="I134" s="90">
        <v>2205</v>
      </c>
      <c r="J134" s="91">
        <v>11021321</v>
      </c>
      <c r="K134" s="92">
        <v>25440.07</v>
      </c>
      <c r="L134" s="90">
        <v>130</v>
      </c>
      <c r="M134" s="88">
        <v>14136</v>
      </c>
      <c r="N134" s="90">
        <v>64</v>
      </c>
      <c r="O134" s="91">
        <v>2598</v>
      </c>
      <c r="P134" s="93">
        <v>7.2166666666666668</v>
      </c>
      <c r="Q134" s="90">
        <v>33</v>
      </c>
      <c r="R134" s="91">
        <v>91231</v>
      </c>
      <c r="S134" s="92">
        <v>256.86</v>
      </c>
      <c r="T134" s="90">
        <v>2851</v>
      </c>
      <c r="V134" s="122"/>
    </row>
    <row r="135" spans="1:22" x14ac:dyDescent="0.2">
      <c r="A135" s="78">
        <v>2023</v>
      </c>
      <c r="B135" s="79" t="s">
        <v>81</v>
      </c>
      <c r="C135" s="87"/>
      <c r="D135" s="88">
        <v>25209778</v>
      </c>
      <c r="E135" s="88"/>
      <c r="F135" s="89">
        <v>9092782</v>
      </c>
      <c r="G135" s="90">
        <v>12060</v>
      </c>
      <c r="H135" s="88">
        <v>4578435</v>
      </c>
      <c r="I135" s="90">
        <v>2202</v>
      </c>
      <c r="J135" s="91">
        <v>10069077</v>
      </c>
      <c r="K135" s="92">
        <v>28208.1</v>
      </c>
      <c r="L135" s="90">
        <v>130</v>
      </c>
      <c r="M135" s="88">
        <v>14187</v>
      </c>
      <c r="N135" s="90">
        <v>64</v>
      </c>
      <c r="O135" s="91">
        <v>2598</v>
      </c>
      <c r="P135" s="93">
        <v>7.2166666666666668</v>
      </c>
      <c r="Q135" s="90">
        <v>33</v>
      </c>
      <c r="R135" s="91">
        <v>83670</v>
      </c>
      <c r="S135" s="92">
        <v>256.86</v>
      </c>
      <c r="T135" s="90">
        <v>2851</v>
      </c>
      <c r="V135" s="122"/>
    </row>
    <row r="136" spans="1:22" x14ac:dyDescent="0.2">
      <c r="A136" s="78">
        <v>2023</v>
      </c>
      <c r="B136" s="79" t="s">
        <v>45</v>
      </c>
      <c r="C136" s="87"/>
      <c r="D136" s="88">
        <v>23723123</v>
      </c>
      <c r="E136" s="88"/>
      <c r="F136" s="89">
        <v>7718123</v>
      </c>
      <c r="G136" s="90">
        <v>12078</v>
      </c>
      <c r="H136" s="88">
        <v>4285435</v>
      </c>
      <c r="I136" s="90">
        <v>2206</v>
      </c>
      <c r="J136" s="91">
        <v>10193665</v>
      </c>
      <c r="K136" s="92">
        <v>27150.87</v>
      </c>
      <c r="L136" s="90">
        <v>130</v>
      </c>
      <c r="M136" s="88">
        <v>14136</v>
      </c>
      <c r="N136" s="90">
        <v>63</v>
      </c>
      <c r="O136" s="91">
        <v>2598</v>
      </c>
      <c r="P136" s="93">
        <v>7.2166666666666668</v>
      </c>
      <c r="Q136" s="90">
        <v>32</v>
      </c>
      <c r="R136" s="91">
        <v>76350</v>
      </c>
      <c r="S136" s="92">
        <v>256.86</v>
      </c>
      <c r="T136" s="90">
        <v>2851</v>
      </c>
      <c r="V136" s="122"/>
    </row>
    <row r="137" spans="1:22" x14ac:dyDescent="0.2">
      <c r="A137" s="78">
        <v>2023</v>
      </c>
      <c r="B137" s="79" t="s">
        <v>82</v>
      </c>
      <c r="C137" s="87"/>
      <c r="D137" s="88">
        <v>23955844</v>
      </c>
      <c r="E137" s="88"/>
      <c r="F137" s="89">
        <v>7513035</v>
      </c>
      <c r="G137" s="90">
        <v>12117</v>
      </c>
      <c r="H137" s="88">
        <v>4496104</v>
      </c>
      <c r="I137" s="90">
        <v>2203</v>
      </c>
      <c r="J137" s="91">
        <v>10582767</v>
      </c>
      <c r="K137" s="92">
        <v>29686.950000000004</v>
      </c>
      <c r="L137" s="90">
        <v>130</v>
      </c>
      <c r="M137" s="88">
        <v>14136</v>
      </c>
      <c r="N137" s="90">
        <v>63</v>
      </c>
      <c r="O137" s="91">
        <v>2598</v>
      </c>
      <c r="P137" s="93">
        <v>7.2166666666666668</v>
      </c>
      <c r="Q137" s="90">
        <v>32</v>
      </c>
      <c r="R137" s="91">
        <v>69415</v>
      </c>
      <c r="S137" s="92">
        <v>256.86</v>
      </c>
      <c r="T137" s="90">
        <v>2851</v>
      </c>
      <c r="V137" s="122"/>
    </row>
    <row r="138" spans="1:22" x14ac:dyDescent="0.2">
      <c r="A138" s="78">
        <v>2023</v>
      </c>
      <c r="B138" s="79" t="s">
        <v>83</v>
      </c>
      <c r="C138" s="87"/>
      <c r="D138" s="88">
        <v>25445214</v>
      </c>
      <c r="E138" s="88"/>
      <c r="F138" s="89">
        <v>8582214</v>
      </c>
      <c r="G138" s="90">
        <v>12121</v>
      </c>
      <c r="H138" s="88">
        <v>5039008</v>
      </c>
      <c r="I138" s="90">
        <v>2202</v>
      </c>
      <c r="J138" s="91">
        <v>10343721</v>
      </c>
      <c r="K138" s="92">
        <v>26334.55</v>
      </c>
      <c r="L138" s="90">
        <v>130</v>
      </c>
      <c r="M138" s="88">
        <v>14136</v>
      </c>
      <c r="N138" s="90">
        <v>63</v>
      </c>
      <c r="O138" s="91">
        <v>2598</v>
      </c>
      <c r="P138" s="93">
        <v>7.2166666666666668</v>
      </c>
      <c r="Q138" s="90">
        <v>32</v>
      </c>
      <c r="R138" s="91">
        <v>77559</v>
      </c>
      <c r="S138" s="92">
        <v>256.86</v>
      </c>
      <c r="T138" s="90">
        <v>2851</v>
      </c>
      <c r="V138" s="122"/>
    </row>
    <row r="139" spans="1:22" x14ac:dyDescent="0.2">
      <c r="A139" s="78">
        <v>2023</v>
      </c>
      <c r="B139" s="79" t="s">
        <v>84</v>
      </c>
      <c r="C139" s="87"/>
      <c r="D139" s="88">
        <v>24199133</v>
      </c>
      <c r="E139" s="88"/>
      <c r="F139" s="89">
        <v>7605480</v>
      </c>
      <c r="G139" s="90">
        <v>12140</v>
      </c>
      <c r="H139" s="88">
        <v>4681296</v>
      </c>
      <c r="I139" s="90">
        <v>2206</v>
      </c>
      <c r="J139" s="91">
        <v>10343193</v>
      </c>
      <c r="K139" s="92">
        <v>25688.37</v>
      </c>
      <c r="L139" s="90">
        <v>130</v>
      </c>
      <c r="M139" s="88">
        <v>14136</v>
      </c>
      <c r="N139" s="90">
        <v>63</v>
      </c>
      <c r="O139" s="91">
        <v>2598</v>
      </c>
      <c r="P139" s="93">
        <v>7.2166666666666668</v>
      </c>
      <c r="Q139" s="90">
        <v>32</v>
      </c>
      <c r="R139" s="91">
        <v>80206</v>
      </c>
      <c r="S139" s="92">
        <v>256.86</v>
      </c>
      <c r="T139" s="90">
        <v>2851</v>
      </c>
      <c r="V139" s="122"/>
    </row>
    <row r="140" spans="1:22" x14ac:dyDescent="0.2">
      <c r="A140" s="78">
        <v>2023</v>
      </c>
      <c r="B140" s="79" t="s">
        <v>85</v>
      </c>
      <c r="C140" s="87"/>
      <c r="D140" s="88">
        <v>22957346</v>
      </c>
      <c r="E140" s="88"/>
      <c r="F140" s="89">
        <v>7182582</v>
      </c>
      <c r="G140" s="90">
        <v>12180</v>
      </c>
      <c r="H140" s="88">
        <v>4249603</v>
      </c>
      <c r="I140" s="90">
        <v>2208</v>
      </c>
      <c r="J140" s="91">
        <v>9972022</v>
      </c>
      <c r="K140" s="92">
        <v>27113.059999999998</v>
      </c>
      <c r="L140" s="90">
        <v>130</v>
      </c>
      <c r="M140" s="88">
        <v>14136</v>
      </c>
      <c r="N140" s="90">
        <v>63</v>
      </c>
      <c r="O140" s="91">
        <v>2598</v>
      </c>
      <c r="P140" s="93">
        <v>7.2166666666666668</v>
      </c>
      <c r="Q140" s="90">
        <v>32</v>
      </c>
      <c r="R140" s="91">
        <v>83190</v>
      </c>
      <c r="S140" s="92">
        <v>256.86</v>
      </c>
      <c r="T140" s="90">
        <v>2851</v>
      </c>
      <c r="V140" s="122"/>
    </row>
    <row r="141" spans="1:22" x14ac:dyDescent="0.2">
      <c r="A141" s="78">
        <v>2023</v>
      </c>
      <c r="B141" s="79" t="s">
        <v>86</v>
      </c>
      <c r="C141" s="87"/>
      <c r="D141" s="88">
        <v>24656330</v>
      </c>
      <c r="E141" s="88"/>
      <c r="F141" s="89">
        <v>8181565</v>
      </c>
      <c r="G141" s="90">
        <v>12195</v>
      </c>
      <c r="H141" s="88">
        <v>4426440</v>
      </c>
      <c r="I141" s="90">
        <v>2209</v>
      </c>
      <c r="J141" s="91">
        <v>10301105</v>
      </c>
      <c r="K141" s="92">
        <v>27592</v>
      </c>
      <c r="L141" s="90">
        <v>130</v>
      </c>
      <c r="M141" s="88">
        <v>14136</v>
      </c>
      <c r="N141" s="90">
        <v>63</v>
      </c>
      <c r="O141" s="91">
        <v>2598</v>
      </c>
      <c r="P141" s="93">
        <v>7.2166666666666668</v>
      </c>
      <c r="Q141" s="90">
        <v>32</v>
      </c>
      <c r="R141" s="91">
        <v>95657</v>
      </c>
      <c r="S141" s="93">
        <v>257</v>
      </c>
      <c r="T141" s="90">
        <v>2851</v>
      </c>
      <c r="V141" s="122"/>
    </row>
    <row r="142" spans="1:22" x14ac:dyDescent="0.2">
      <c r="A142" s="78">
        <v>2023</v>
      </c>
      <c r="B142" s="79" t="s">
        <v>87</v>
      </c>
      <c r="C142" s="87"/>
      <c r="D142" s="88">
        <v>27066324</v>
      </c>
      <c r="E142" s="88"/>
      <c r="F142" s="89">
        <v>10319577</v>
      </c>
      <c r="G142" s="90">
        <v>12227</v>
      </c>
      <c r="H142" s="88">
        <v>5167651</v>
      </c>
      <c r="I142" s="90">
        <v>2211</v>
      </c>
      <c r="J142" s="91">
        <v>9911491</v>
      </c>
      <c r="K142" s="92">
        <v>25475</v>
      </c>
      <c r="L142" s="90">
        <v>130</v>
      </c>
      <c r="M142" s="88">
        <v>14136</v>
      </c>
      <c r="N142" s="90">
        <v>63</v>
      </c>
      <c r="O142" s="91">
        <v>2598</v>
      </c>
      <c r="P142" s="93">
        <v>7.2166666666666668</v>
      </c>
      <c r="Q142" s="90">
        <v>33</v>
      </c>
      <c r="R142" s="91">
        <v>98115</v>
      </c>
      <c r="S142" s="93">
        <v>257</v>
      </c>
      <c r="T142" s="90">
        <v>2851</v>
      </c>
      <c r="V142" s="122"/>
    </row>
    <row r="143" spans="1:22" ht="13.5" thickBot="1" x14ac:dyDescent="0.25">
      <c r="A143" s="78">
        <v>2023</v>
      </c>
      <c r="B143" s="79" t="s">
        <v>88</v>
      </c>
      <c r="C143" s="87"/>
      <c r="D143" s="88">
        <v>28270776</v>
      </c>
      <c r="E143" s="88"/>
      <c r="F143" s="89">
        <v>11661990.27</v>
      </c>
      <c r="G143" s="90">
        <v>12248</v>
      </c>
      <c r="H143" s="94">
        <v>5546597</v>
      </c>
      <c r="I143" s="95">
        <v>2215</v>
      </c>
      <c r="J143" s="96">
        <v>9241317.75</v>
      </c>
      <c r="K143" s="97">
        <v>23994.1</v>
      </c>
      <c r="L143" s="95">
        <v>131</v>
      </c>
      <c r="M143" s="94">
        <v>14136</v>
      </c>
      <c r="N143" s="95">
        <v>63</v>
      </c>
      <c r="O143" s="96">
        <v>2597.7600000000002</v>
      </c>
      <c r="P143" s="98">
        <v>7.2166666666666668</v>
      </c>
      <c r="Q143" s="95">
        <v>33</v>
      </c>
      <c r="R143" s="96">
        <v>106307.73</v>
      </c>
      <c r="S143" s="98">
        <v>256.86</v>
      </c>
      <c r="T143" s="95">
        <v>2851</v>
      </c>
      <c r="U143" s="122">
        <f>G143+I143+L143</f>
        <v>14594</v>
      </c>
      <c r="V143" s="122"/>
    </row>
    <row r="144" spans="1:22" x14ac:dyDescent="0.2">
      <c r="A144" s="78">
        <v>2024</v>
      </c>
      <c r="B144" s="79" t="s">
        <v>78</v>
      </c>
      <c r="D144" s="81">
        <v>31081694</v>
      </c>
      <c r="E144" s="81"/>
      <c r="F144" s="82">
        <v>12985364.870000001</v>
      </c>
      <c r="G144" s="83">
        <v>12272</v>
      </c>
      <c r="H144" s="81">
        <v>6067971</v>
      </c>
      <c r="I144" s="83">
        <v>2220</v>
      </c>
      <c r="J144" s="84">
        <v>9899637.0800000001</v>
      </c>
      <c r="K144" s="85">
        <v>25221.629999999997</v>
      </c>
      <c r="L144" s="83">
        <v>130</v>
      </c>
      <c r="M144" s="81">
        <v>14161</v>
      </c>
      <c r="N144" s="83">
        <v>63</v>
      </c>
      <c r="O144" s="84">
        <v>2597.7600000000002</v>
      </c>
      <c r="P144" s="86">
        <v>7.2160000000000002</v>
      </c>
      <c r="Q144" s="83">
        <v>33</v>
      </c>
      <c r="R144" s="84">
        <v>104187.13</v>
      </c>
      <c r="S144" s="85">
        <v>256.86</v>
      </c>
      <c r="T144" s="83">
        <v>2851</v>
      </c>
    </row>
    <row r="145" spans="1:20" x14ac:dyDescent="0.2">
      <c r="A145" s="78">
        <v>2024</v>
      </c>
      <c r="B145" s="79" t="s">
        <v>79</v>
      </c>
      <c r="D145" s="88">
        <v>28269261</v>
      </c>
      <c r="E145" s="88"/>
      <c r="F145" s="89">
        <v>11350192.75</v>
      </c>
      <c r="G145" s="90">
        <v>12280</v>
      </c>
      <c r="H145" s="88">
        <v>5533518</v>
      </c>
      <c r="I145" s="90">
        <v>2223</v>
      </c>
      <c r="J145" s="91">
        <v>9814768.9199999999</v>
      </c>
      <c r="K145" s="92">
        <v>24706.54</v>
      </c>
      <c r="L145" s="90">
        <v>130</v>
      </c>
      <c r="M145" s="88">
        <v>14136</v>
      </c>
      <c r="N145" s="90">
        <v>63</v>
      </c>
      <c r="O145" s="91">
        <v>2597.7600000000002</v>
      </c>
      <c r="P145" s="93">
        <v>7.2160000000000002</v>
      </c>
      <c r="Q145" s="90">
        <v>33</v>
      </c>
      <c r="R145" s="91">
        <v>96301.89</v>
      </c>
      <c r="S145" s="92">
        <v>256.86</v>
      </c>
      <c r="T145" s="90">
        <v>2851</v>
      </c>
    </row>
    <row r="146" spans="1:20" x14ac:dyDescent="0.2">
      <c r="A146" s="78">
        <v>2024</v>
      </c>
      <c r="B146" s="79" t="s">
        <v>80</v>
      </c>
      <c r="D146" s="88">
        <v>28028742</v>
      </c>
      <c r="E146" s="88"/>
      <c r="F146" s="89">
        <v>10864139.59</v>
      </c>
      <c r="G146" s="90">
        <v>12280</v>
      </c>
      <c r="H146" s="88">
        <v>5348385</v>
      </c>
      <c r="I146" s="90">
        <v>2223</v>
      </c>
      <c r="J146" s="91">
        <v>10239874.02</v>
      </c>
      <c r="K146" s="92">
        <v>24782.86</v>
      </c>
      <c r="L146" s="90">
        <v>130</v>
      </c>
      <c r="M146" s="88">
        <v>14136</v>
      </c>
      <c r="N146" s="90">
        <v>63</v>
      </c>
      <c r="O146" s="91">
        <v>2597.7600000000002</v>
      </c>
      <c r="P146" s="93">
        <v>7.2160000000000002</v>
      </c>
      <c r="Q146" s="90">
        <v>33</v>
      </c>
      <c r="R146" s="91">
        <v>90920.44</v>
      </c>
      <c r="S146" s="92">
        <v>256.86</v>
      </c>
      <c r="T146" s="90">
        <v>2851</v>
      </c>
    </row>
    <row r="147" spans="1:20" x14ac:dyDescent="0.2">
      <c r="A147" s="78">
        <v>2024</v>
      </c>
      <c r="B147" s="79" t="s">
        <v>81</v>
      </c>
      <c r="D147" s="88">
        <v>24581293</v>
      </c>
      <c r="E147" s="88"/>
      <c r="F147" s="89">
        <v>8913670.6199999992</v>
      </c>
      <c r="G147" s="90">
        <v>12305</v>
      </c>
      <c r="H147" s="88">
        <v>4616541</v>
      </c>
      <c r="I147" s="90">
        <v>2223</v>
      </c>
      <c r="J147" s="91">
        <v>9669420.709999999</v>
      </c>
      <c r="K147" s="92">
        <v>24459.919999999998</v>
      </c>
      <c r="L147" s="90">
        <v>130</v>
      </c>
      <c r="M147" s="88">
        <v>14136</v>
      </c>
      <c r="N147" s="90">
        <v>63</v>
      </c>
      <c r="O147" s="91">
        <v>2597.7599999999998</v>
      </c>
      <c r="P147" s="93">
        <v>7.2159999999999993</v>
      </c>
      <c r="Q147" s="90">
        <v>33</v>
      </c>
      <c r="R147" s="91">
        <v>83670.17</v>
      </c>
      <c r="S147" s="92">
        <v>256.86</v>
      </c>
      <c r="T147" s="90">
        <v>2851</v>
      </c>
    </row>
    <row r="148" spans="1:20" x14ac:dyDescent="0.2">
      <c r="A148" s="78">
        <v>2024</v>
      </c>
      <c r="B148" s="79" t="s">
        <v>45</v>
      </c>
      <c r="D148" s="88">
        <v>23038858</v>
      </c>
      <c r="E148" s="88"/>
      <c r="F148" s="89">
        <v>7456230.669999999</v>
      </c>
      <c r="G148" s="90">
        <v>12313</v>
      </c>
      <c r="H148" s="88">
        <v>4302756</v>
      </c>
      <c r="I148" s="90">
        <v>2227</v>
      </c>
      <c r="J148" s="91">
        <v>9949231.4100000001</v>
      </c>
      <c r="K148" s="92">
        <v>25863.51</v>
      </c>
      <c r="L148" s="90">
        <v>130</v>
      </c>
      <c r="M148" s="88">
        <v>14136</v>
      </c>
      <c r="N148" s="90">
        <v>63</v>
      </c>
      <c r="O148" s="91">
        <v>2599.08</v>
      </c>
      <c r="P148" s="93">
        <v>7.2196666666666669</v>
      </c>
      <c r="Q148" s="90">
        <v>33</v>
      </c>
      <c r="R148" s="91">
        <v>76349.55</v>
      </c>
      <c r="S148" s="92">
        <v>256.86</v>
      </c>
      <c r="T148" s="90">
        <v>2851</v>
      </c>
    </row>
    <row r="149" spans="1:20" x14ac:dyDescent="0.2">
      <c r="A149" s="78">
        <v>2024</v>
      </c>
      <c r="B149" s="79" t="s">
        <v>82</v>
      </c>
      <c r="D149" s="88">
        <v>23532824</v>
      </c>
      <c r="E149" s="88"/>
      <c r="F149" s="89">
        <v>7723518.4299999997</v>
      </c>
      <c r="G149" s="90">
        <v>12317</v>
      </c>
      <c r="H149" s="88">
        <v>4548940</v>
      </c>
      <c r="I149" s="90">
        <v>2226</v>
      </c>
      <c r="J149" s="91">
        <v>9651576.620000001</v>
      </c>
      <c r="K149" s="92">
        <v>26943.02</v>
      </c>
      <c r="L149" s="90">
        <v>132</v>
      </c>
      <c r="M149" s="88">
        <v>14136</v>
      </c>
      <c r="N149" s="90">
        <v>63</v>
      </c>
      <c r="O149" s="91">
        <v>2598.96</v>
      </c>
      <c r="P149" s="93">
        <v>7.2193333333333332</v>
      </c>
      <c r="Q149" s="90">
        <v>33</v>
      </c>
      <c r="R149" s="91">
        <v>69414.710000000006</v>
      </c>
      <c r="S149" s="92">
        <v>256.86</v>
      </c>
      <c r="T149" s="90">
        <v>2851</v>
      </c>
    </row>
    <row r="150" spans="1:20" x14ac:dyDescent="0.2">
      <c r="A150" s="78">
        <v>2024</v>
      </c>
      <c r="B150" s="79" t="s">
        <v>83</v>
      </c>
      <c r="D150" s="88">
        <v>26577704</v>
      </c>
      <c r="E150" s="88"/>
      <c r="F150" s="89">
        <v>9058122.4800000004</v>
      </c>
      <c r="G150" s="90">
        <v>12316</v>
      </c>
      <c r="H150" s="88">
        <v>5110816</v>
      </c>
      <c r="I150" s="90">
        <v>2221</v>
      </c>
      <c r="J150" s="91">
        <v>10773731.710000001</v>
      </c>
      <c r="K150" s="92">
        <v>26691.21</v>
      </c>
      <c r="L150" s="90">
        <v>131</v>
      </c>
      <c r="M150" s="88">
        <v>14136</v>
      </c>
      <c r="N150" s="90">
        <v>63</v>
      </c>
      <c r="O150" s="91">
        <v>2597.7600000000002</v>
      </c>
      <c r="P150" s="93">
        <v>7.2160000000000002</v>
      </c>
      <c r="Q150" s="90">
        <v>33</v>
      </c>
      <c r="R150" s="91">
        <v>77558.880000000005</v>
      </c>
      <c r="S150" s="92">
        <v>256.86</v>
      </c>
      <c r="T150" s="90">
        <v>2851</v>
      </c>
    </row>
    <row r="151" spans="1:20" x14ac:dyDescent="0.2">
      <c r="A151" s="78">
        <v>2024</v>
      </c>
      <c r="B151" s="79" t="s">
        <v>84</v>
      </c>
      <c r="D151" s="88">
        <v>26337062</v>
      </c>
      <c r="E151" s="88"/>
      <c r="F151" s="89">
        <v>8524379.2800000012</v>
      </c>
      <c r="G151" s="90">
        <v>12356</v>
      </c>
      <c r="H151" s="88">
        <v>4911622</v>
      </c>
      <c r="I151" s="90">
        <v>2223</v>
      </c>
      <c r="J151" s="91">
        <v>10785273.189999999</v>
      </c>
      <c r="K151" s="92">
        <v>27230.69</v>
      </c>
      <c r="L151" s="90">
        <v>131</v>
      </c>
      <c r="M151" s="88">
        <v>14136</v>
      </c>
      <c r="N151" s="90">
        <v>63</v>
      </c>
      <c r="O151" s="91">
        <v>2597.7600000000002</v>
      </c>
      <c r="P151" s="93">
        <v>7.2160000000000002</v>
      </c>
      <c r="Q151" s="90">
        <v>33</v>
      </c>
      <c r="R151" s="91">
        <v>80205.72</v>
      </c>
      <c r="S151" s="92">
        <v>256.86</v>
      </c>
      <c r="T151" s="90">
        <v>2851</v>
      </c>
    </row>
    <row r="152" spans="1:20" x14ac:dyDescent="0.2">
      <c r="A152" s="78">
        <v>2024</v>
      </c>
      <c r="B152" s="79" t="s">
        <v>85</v>
      </c>
      <c r="D152" s="88">
        <v>23770050</v>
      </c>
      <c r="E152" s="88"/>
      <c r="F152" s="89">
        <v>7366741.2299999995</v>
      </c>
      <c r="G152" s="90">
        <v>12373</v>
      </c>
      <c r="H152" s="88">
        <v>4387420</v>
      </c>
      <c r="I152" s="90">
        <v>2229</v>
      </c>
      <c r="J152" s="91">
        <v>10188240.93</v>
      </c>
      <c r="K152" s="92">
        <v>27177.1</v>
      </c>
      <c r="L152" s="90">
        <v>134</v>
      </c>
      <c r="M152" s="88">
        <v>14136</v>
      </c>
      <c r="N152" s="90">
        <v>63</v>
      </c>
      <c r="O152" s="91">
        <v>2522.16</v>
      </c>
      <c r="P152" s="93">
        <v>7.0059999999999993</v>
      </c>
      <c r="Q152" s="90">
        <v>32</v>
      </c>
      <c r="R152" s="91">
        <v>83190.95</v>
      </c>
      <c r="S152" s="92">
        <v>256.86</v>
      </c>
      <c r="T152" s="90">
        <v>2851</v>
      </c>
    </row>
    <row r="153" spans="1:20" x14ac:dyDescent="0.2">
      <c r="A153" s="78">
        <v>2024</v>
      </c>
      <c r="B153" s="79" t="s">
        <v>86</v>
      </c>
      <c r="D153" s="88">
        <v>24811935</v>
      </c>
      <c r="E153" s="88"/>
      <c r="F153" s="89">
        <v>8168616.1299999999</v>
      </c>
      <c r="G153" s="90">
        <v>12380</v>
      </c>
      <c r="H153" s="88">
        <v>4472939</v>
      </c>
      <c r="I153" s="90">
        <v>2230</v>
      </c>
      <c r="J153" s="91">
        <v>10234359.210000001</v>
      </c>
      <c r="K153" s="92">
        <v>27061.84</v>
      </c>
      <c r="L153" s="90">
        <v>134</v>
      </c>
      <c r="M153" s="88">
        <v>14136</v>
      </c>
      <c r="N153" s="90">
        <v>63</v>
      </c>
      <c r="O153" s="91">
        <v>2522.16</v>
      </c>
      <c r="P153" s="93">
        <v>7.0059999999999993</v>
      </c>
      <c r="Q153" s="90">
        <v>32</v>
      </c>
      <c r="R153" s="91">
        <v>95655.69</v>
      </c>
      <c r="S153" s="93">
        <v>256.86</v>
      </c>
      <c r="T153" s="90">
        <v>2851</v>
      </c>
    </row>
    <row r="154" spans="1:20" x14ac:dyDescent="0.2">
      <c r="A154" s="78">
        <v>2024</v>
      </c>
      <c r="B154" s="79" t="s">
        <v>87</v>
      </c>
      <c r="D154" s="88">
        <v>26163462</v>
      </c>
      <c r="E154" s="88"/>
      <c r="F154" s="89">
        <v>9364363.0199999996</v>
      </c>
      <c r="G154" s="90">
        <v>12400</v>
      </c>
      <c r="H154" s="88">
        <v>4741669</v>
      </c>
      <c r="I154" s="90">
        <v>2234</v>
      </c>
      <c r="J154" s="91">
        <v>9813567.4499999993</v>
      </c>
      <c r="K154" s="92">
        <v>26418.15</v>
      </c>
      <c r="L154" s="90">
        <v>137</v>
      </c>
      <c r="M154" s="88">
        <v>14136</v>
      </c>
      <c r="N154" s="90">
        <v>63</v>
      </c>
      <c r="O154" s="91">
        <v>2522.16</v>
      </c>
      <c r="P154" s="93">
        <v>7.0059999999999993</v>
      </c>
      <c r="Q154" s="90">
        <v>32</v>
      </c>
      <c r="R154" s="91">
        <v>98115.25</v>
      </c>
      <c r="S154" s="93">
        <v>256.86</v>
      </c>
      <c r="T154" s="90">
        <v>2851</v>
      </c>
    </row>
    <row r="155" spans="1:20" ht="13.5" thickBot="1" x14ac:dyDescent="0.25">
      <c r="A155" s="78">
        <v>2024</v>
      </c>
      <c r="B155" s="79" t="s">
        <v>88</v>
      </c>
      <c r="D155" s="94">
        <v>31129577</v>
      </c>
      <c r="E155" s="94"/>
      <c r="F155" s="89">
        <v>12803072</v>
      </c>
      <c r="G155" s="90">
        <v>12400</v>
      </c>
      <c r="H155" s="94">
        <v>5775781</v>
      </c>
      <c r="I155" s="95">
        <v>2235</v>
      </c>
      <c r="J155" s="96">
        <v>9726367.8599999994</v>
      </c>
      <c r="K155" s="97">
        <v>26859.57</v>
      </c>
      <c r="L155" s="95">
        <v>138</v>
      </c>
      <c r="M155" s="94">
        <v>14136</v>
      </c>
      <c r="N155" s="95">
        <v>63</v>
      </c>
      <c r="O155" s="96">
        <v>2522</v>
      </c>
      <c r="P155" s="98">
        <v>7.0059999999999993</v>
      </c>
      <c r="Q155" s="95">
        <v>32</v>
      </c>
      <c r="R155" s="96">
        <v>106311.19</v>
      </c>
      <c r="S155" s="98">
        <v>256.86</v>
      </c>
      <c r="T155" s="95">
        <v>2851</v>
      </c>
    </row>
  </sheetData>
  <sheetProtection selectLockedCells="1" selectUnlockedCells="1"/>
  <mergeCells count="10">
    <mergeCell ref="A3:G3"/>
    <mergeCell ref="A20:B20"/>
    <mergeCell ref="D20:E20"/>
    <mergeCell ref="F20:T20"/>
    <mergeCell ref="R21:T21"/>
    <mergeCell ref="F21:G21"/>
    <mergeCell ref="H21:I21"/>
    <mergeCell ref="J21:L21"/>
    <mergeCell ref="M21:N21"/>
    <mergeCell ref="O21:Q2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1:N66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62" sqref="H62"/>
    </sheetView>
  </sheetViews>
  <sheetFormatPr defaultRowHeight="12.75" x14ac:dyDescent="0.2"/>
  <cols>
    <col min="1" max="1" width="42.5703125" customWidth="1"/>
    <col min="2" max="2" width="16.140625" bestFit="1" customWidth="1"/>
    <col min="3" max="3" width="14" bestFit="1" customWidth="1"/>
    <col min="4" max="4" width="12.5703125" bestFit="1" customWidth="1"/>
    <col min="5" max="5" width="13.7109375" customWidth="1"/>
    <col min="6" max="8" width="12.5703125" bestFit="1" customWidth="1"/>
    <col min="9" max="11" width="12.5703125" customWidth="1"/>
    <col min="12" max="13" width="12.5703125" bestFit="1" customWidth="1"/>
  </cols>
  <sheetData>
    <row r="1" spans="1:14" ht="15.75" x14ac:dyDescent="0.25">
      <c r="A1" s="24" t="s">
        <v>109</v>
      </c>
    </row>
    <row r="2" spans="1:14" x14ac:dyDescent="0.2">
      <c r="L2" s="26"/>
      <c r="M2" s="26" t="s">
        <v>96</v>
      </c>
    </row>
    <row r="3" spans="1:14" ht="25.5" x14ac:dyDescent="0.2">
      <c r="B3" s="26" t="s">
        <v>97</v>
      </c>
      <c r="C3" s="26" t="s">
        <v>95</v>
      </c>
      <c r="D3" s="26" t="s">
        <v>48</v>
      </c>
      <c r="E3" s="26" t="s">
        <v>49</v>
      </c>
      <c r="F3" s="26" t="s">
        <v>53</v>
      </c>
      <c r="G3" s="26" t="s">
        <v>54</v>
      </c>
      <c r="H3" s="26" t="s">
        <v>94</v>
      </c>
      <c r="I3" s="26" t="s">
        <v>66</v>
      </c>
      <c r="J3" s="26" t="s">
        <v>67</v>
      </c>
      <c r="K3" s="26" t="s">
        <v>108</v>
      </c>
      <c r="L3" s="26" t="s">
        <v>121</v>
      </c>
      <c r="M3" s="26" t="s">
        <v>93</v>
      </c>
    </row>
    <row r="4" spans="1:14" x14ac:dyDescent="0.2">
      <c r="A4" s="12" t="s">
        <v>40</v>
      </c>
      <c r="B4" s="19">
        <f>+'Power Purchased Model'!B152</f>
        <v>319149657</v>
      </c>
      <c r="C4" s="19">
        <f>+'Power Purchased Model'!B153</f>
        <v>308961454</v>
      </c>
      <c r="D4" s="19">
        <f>+'Power Purchased Model'!B154</f>
        <v>302232068</v>
      </c>
      <c r="E4" s="19">
        <f>+'Power Purchased Model'!B155</f>
        <v>297287399</v>
      </c>
      <c r="F4" s="19">
        <f>+'Power Purchased Model'!B156</f>
        <v>309247473</v>
      </c>
      <c r="G4" s="19">
        <f>+'Power Purchased Model'!B157</f>
        <v>309952095.46999997</v>
      </c>
      <c r="H4" s="19">
        <f>+'Power Purchased Model'!B158</f>
        <v>304387702</v>
      </c>
      <c r="I4" s="19">
        <f>+'Power Purchased Model'!B159</f>
        <v>309941422</v>
      </c>
      <c r="J4" s="19">
        <f>+'Power Purchased Model'!B160</f>
        <v>322673989</v>
      </c>
      <c r="K4" s="19">
        <f>+'Power Purchased Model'!B161</f>
        <v>315137434</v>
      </c>
      <c r="L4" s="19">
        <f>'Power Purchased Model'!B162</f>
        <v>317322462</v>
      </c>
    </row>
    <row r="5" spans="1:14" x14ac:dyDescent="0.2">
      <c r="A5" s="12" t="s">
        <v>41</v>
      </c>
      <c r="B5" s="19">
        <f>+'Power Purchased Model'!I152</f>
        <v>309053650.44764197</v>
      </c>
      <c r="C5" s="19">
        <f>+'Power Purchased Model'!I153</f>
        <v>306881369.40230405</v>
      </c>
      <c r="D5" s="19">
        <f>+'Power Purchased Model'!I154</f>
        <v>303651713.3178646</v>
      </c>
      <c r="E5" s="19">
        <f>+'Power Purchased Model'!I155</f>
        <v>304745921.78254604</v>
      </c>
      <c r="F5" s="19">
        <f>+'Power Purchased Model'!I156</f>
        <v>310470786.39033937</v>
      </c>
      <c r="G5" s="19">
        <f>+'Power Purchased Model'!I157</f>
        <v>315285936.05228049</v>
      </c>
      <c r="H5" s="19">
        <f>+'Power Purchased Model'!I158</f>
        <v>307539315.59453505</v>
      </c>
      <c r="I5" s="19">
        <f>+'Power Purchased Model'!I159</f>
        <v>310944826.79909241</v>
      </c>
      <c r="J5" s="19">
        <f>+'Power Purchased Model'!I160</f>
        <v>317030636.12954813</v>
      </c>
      <c r="K5" s="19">
        <f>+'Power Purchased Model'!I161</f>
        <v>315136108.87785494</v>
      </c>
      <c r="L5" s="19">
        <f>+'Power Purchased Model'!I162</f>
        <v>315552890.67599291</v>
      </c>
      <c r="M5" s="19">
        <f>+'Power Purchased Model'!I163</f>
        <v>324424307.55406445</v>
      </c>
    </row>
    <row r="6" spans="1:14" x14ac:dyDescent="0.2">
      <c r="A6" s="12" t="s">
        <v>4</v>
      </c>
      <c r="B6" s="25">
        <f t="shared" ref="B6:K6" si="0">(B5-B4)/B4</f>
        <v>-3.1634082415316622E-2</v>
      </c>
      <c r="C6" s="25">
        <f t="shared" si="0"/>
        <v>-6.732505206607251E-3</v>
      </c>
      <c r="D6" s="25">
        <f t="shared" si="0"/>
        <v>4.6972028059729153E-3</v>
      </c>
      <c r="E6" s="25">
        <f t="shared" si="0"/>
        <v>2.5088593756865032E-2</v>
      </c>
      <c r="F6" s="25">
        <f t="shared" si="0"/>
        <v>3.9557748959823339E-3</v>
      </c>
      <c r="G6" s="25">
        <f t="shared" si="0"/>
        <v>1.720859661939848E-2</v>
      </c>
      <c r="H6" s="25">
        <f t="shared" si="0"/>
        <v>1.0353945227836612E-2</v>
      </c>
      <c r="I6" s="25">
        <f t="shared" si="0"/>
        <v>3.2374014180408966E-3</v>
      </c>
      <c r="J6" s="25">
        <f t="shared" si="0"/>
        <v>-1.7489333081793176E-2</v>
      </c>
      <c r="K6" s="25">
        <f t="shared" si="0"/>
        <v>-4.2049023762017576E-6</v>
      </c>
    </row>
    <row r="7" spans="1:14" x14ac:dyDescent="0.2">
      <c r="A7" s="12"/>
      <c r="B7" s="25"/>
      <c r="C7" s="25"/>
      <c r="D7" s="25"/>
      <c r="E7" s="25"/>
      <c r="F7" s="25"/>
      <c r="G7" s="25"/>
      <c r="H7" s="25"/>
      <c r="I7" s="25"/>
      <c r="J7" s="25"/>
      <c r="K7" s="25"/>
      <c r="L7" s="19"/>
      <c r="M7" s="19"/>
    </row>
    <row r="8" spans="1:14" x14ac:dyDescent="0.2">
      <c r="A8" s="12"/>
      <c r="B8" s="25"/>
      <c r="C8" s="25"/>
      <c r="D8" s="25"/>
      <c r="E8" s="25"/>
      <c r="F8" s="25"/>
      <c r="G8" s="25"/>
      <c r="H8" s="25"/>
      <c r="I8" s="25"/>
      <c r="J8" s="25"/>
      <c r="K8" s="25"/>
      <c r="L8" s="31"/>
      <c r="M8" s="31"/>
    </row>
    <row r="9" spans="1:14" x14ac:dyDescent="0.2">
      <c r="A9" s="12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4" x14ac:dyDescent="0.2">
      <c r="A10" s="12" t="s">
        <v>55</v>
      </c>
      <c r="B10" s="5">
        <f>'Rate Class Energy Model'!G3</f>
        <v>297398397.24340039</v>
      </c>
      <c r="C10" s="5">
        <f>'Rate Class Energy Model'!G4</f>
        <v>288752254.73999995</v>
      </c>
      <c r="D10" s="5">
        <f>'Rate Class Energy Model'!G5</f>
        <v>280505070.49164295</v>
      </c>
      <c r="E10" s="5">
        <f>'Rate Class Energy Model'!G6</f>
        <v>279563881.0820545</v>
      </c>
      <c r="F10" s="5">
        <f>'Rate Class Energy Model'!G7</f>
        <v>289620570.18333334</v>
      </c>
      <c r="G10" s="5">
        <f>'Rate Class Energy Model'!G8</f>
        <v>289860628.5</v>
      </c>
      <c r="H10" s="5">
        <f>'Rate Class Energy Model'!G9</f>
        <v>286230671</v>
      </c>
      <c r="I10" s="5">
        <f>'Rate Class Energy Model'!G10</f>
        <v>290240292</v>
      </c>
      <c r="J10" s="5">
        <f>'Rate Class Energy Model'!G11</f>
        <v>303102277</v>
      </c>
      <c r="K10" s="5">
        <f>'Rate Class Energy Model'!G12</f>
        <v>296889108.50999999</v>
      </c>
      <c r="L10" s="5">
        <f>'Rate Class Energy Model'!G13</f>
        <v>296405229.82999998</v>
      </c>
      <c r="M10" s="5">
        <f>'Rate Class Energy Model'!G14</f>
        <v>303742692.05874807</v>
      </c>
    </row>
    <row r="11" spans="1:14" x14ac:dyDescent="0.2">
      <c r="A11" s="12"/>
      <c r="L11" s="5"/>
      <c r="M11" s="5"/>
    </row>
    <row r="12" spans="1:14" ht="15.75" x14ac:dyDescent="0.25">
      <c r="A12" s="24" t="s">
        <v>42</v>
      </c>
      <c r="C12" s="1"/>
      <c r="E12" s="1"/>
      <c r="H12" s="31"/>
    </row>
    <row r="13" spans="1:14" x14ac:dyDescent="0.2">
      <c r="A13" s="23" t="str">
        <f>'Rate Class Energy Model'!H2</f>
        <v>Residential</v>
      </c>
      <c r="C13" s="1"/>
      <c r="D13" s="1"/>
      <c r="E13" s="1"/>
      <c r="H13" s="5"/>
      <c r="I13" s="5"/>
      <c r="J13" s="5"/>
      <c r="K13" s="5"/>
      <c r="L13" s="5"/>
      <c r="M13" s="5"/>
    </row>
    <row r="14" spans="1:14" x14ac:dyDescent="0.2">
      <c r="A14" t="s">
        <v>34</v>
      </c>
      <c r="B14" s="5">
        <f>'Rate Class Customer Model'!B3</f>
        <v>10964.083333333334</v>
      </c>
      <c r="C14" s="5">
        <f>'Rate Class Customer Model'!B4</f>
        <v>11020.916666666666</v>
      </c>
      <c r="D14" s="5">
        <f>'Rate Class Customer Model'!B5</f>
        <v>11078.416666666666</v>
      </c>
      <c r="E14" s="5">
        <f>'Rate Class Customer Model'!B6</f>
        <v>11168.75</v>
      </c>
      <c r="F14" s="5">
        <f>'Rate Class Customer Model'!B7</f>
        <v>11288.666666666666</v>
      </c>
      <c r="G14" s="5">
        <f>'Rate Class Customer Model'!B8</f>
        <v>11429.75</v>
      </c>
      <c r="H14" s="5">
        <f>'Rate Class Customer Model'!B9</f>
        <v>11566</v>
      </c>
      <c r="I14" s="5">
        <f>'Rate Class Customer Model'!B10</f>
        <v>11725.916666666666</v>
      </c>
      <c r="J14" s="5">
        <f>'Rate Class Customer Model'!B11</f>
        <v>11911.916666666666</v>
      </c>
      <c r="K14" s="5">
        <f>'Rate Class Customer Model'!B12</f>
        <v>12125.25</v>
      </c>
      <c r="L14" s="5">
        <f>'Rate Class Customer Model'!B13</f>
        <v>12332.666666666666</v>
      </c>
      <c r="M14" s="5">
        <f>'Rate Class Customer Model'!B14</f>
        <v>12503</v>
      </c>
      <c r="N14" s="31"/>
    </row>
    <row r="15" spans="1:14" x14ac:dyDescent="0.2">
      <c r="A15" t="s">
        <v>35</v>
      </c>
      <c r="B15" s="5">
        <f>'Rate Class Energy Model'!H3</f>
        <v>114433382.22499122</v>
      </c>
      <c r="C15" s="5">
        <f>'Rate Class Energy Model'!H4</f>
        <v>108243956.44</v>
      </c>
      <c r="D15" s="5">
        <f>'Rate Class Energy Model'!H5</f>
        <v>104348161.31</v>
      </c>
      <c r="E15" s="30">
        <f>'Rate Class Energy Model'!H6</f>
        <v>103129632.00000001</v>
      </c>
      <c r="F15" s="5">
        <f>'Rate Class Energy Model'!H7</f>
        <v>109427085.33333334</v>
      </c>
      <c r="G15" s="5">
        <f>'Rate Class Energy Model'!H8</f>
        <v>110765686</v>
      </c>
      <c r="H15" s="5">
        <f>'Rate Class Energy Model'!H9</f>
        <v>112437412</v>
      </c>
      <c r="I15" s="5">
        <f>'Rate Class Energy Model'!H10</f>
        <v>112958103</v>
      </c>
      <c r="J15" s="5">
        <f>'Rate Class Energy Model'!H11</f>
        <v>116633398</v>
      </c>
      <c r="K15" s="5">
        <f>'Rate Class Energy Model'!H12</f>
        <v>113520370.27</v>
      </c>
      <c r="L15" s="5">
        <f>'Rate Class Energy Model'!H13</f>
        <v>114578411.06999999</v>
      </c>
      <c r="M15" s="5">
        <f>'Rate Class Energy Model'!H32</f>
        <v>115413813.42248669</v>
      </c>
      <c r="N15" s="31"/>
    </row>
    <row r="16" spans="1:14" x14ac:dyDescent="0.2">
      <c r="C16" s="30"/>
      <c r="F16" s="31"/>
      <c r="G16" s="31"/>
      <c r="I16" s="31"/>
      <c r="J16" s="31"/>
      <c r="K16" s="31"/>
      <c r="L16" s="31"/>
      <c r="M16" s="31"/>
      <c r="N16" s="31"/>
    </row>
    <row r="17" spans="1:14" x14ac:dyDescent="0.2">
      <c r="A17" s="23" t="str">
        <f>'Rate Class Energy Model'!I2</f>
        <v>General Service &lt; 50 kW</v>
      </c>
      <c r="C17" s="42"/>
      <c r="D17" s="1"/>
      <c r="E17" s="1"/>
      <c r="F17" s="1"/>
      <c r="G17" s="5"/>
      <c r="H17" s="5"/>
      <c r="I17" s="5"/>
      <c r="J17" s="5"/>
      <c r="K17" s="5"/>
      <c r="L17" s="5"/>
      <c r="M17" s="5"/>
      <c r="N17" s="31"/>
    </row>
    <row r="18" spans="1:14" ht="13.5" customHeight="1" x14ac:dyDescent="0.2">
      <c r="A18" t="s">
        <v>34</v>
      </c>
      <c r="B18" s="5">
        <f>'Rate Class Customer Model'!C3</f>
        <v>2106</v>
      </c>
      <c r="C18" s="5">
        <f>'Rate Class Customer Model'!C4</f>
        <v>2132.5833333333335</v>
      </c>
      <c r="D18" s="5">
        <f>'Rate Class Customer Model'!C5</f>
        <v>2137.6666666666665</v>
      </c>
      <c r="E18" s="5">
        <f>'Rate Class Customer Model'!C6</f>
        <v>2144.4166666666665</v>
      </c>
      <c r="F18" s="5">
        <f>'Rate Class Customer Model'!C7</f>
        <v>2158.8333333333335</v>
      </c>
      <c r="G18" s="5">
        <f>'Rate Class Customer Model'!C8</f>
        <v>2154.3333333333335</v>
      </c>
      <c r="H18" s="5">
        <f>'Rate Class Customer Model'!C9</f>
        <v>2155.3333333333335</v>
      </c>
      <c r="I18" s="5">
        <f>'Rate Class Customer Model'!C10</f>
        <v>2190.8333333333335</v>
      </c>
      <c r="J18" s="5">
        <f>'Rate Class Customer Model'!C11</f>
        <v>2205.1666666666665</v>
      </c>
      <c r="K18" s="5">
        <f>'Rate Class Customer Model'!C12</f>
        <v>2206.4166666666665</v>
      </c>
      <c r="L18" s="5">
        <f>'Rate Class Customer Model'!C13</f>
        <v>2226.1666666666665</v>
      </c>
      <c r="M18" s="5">
        <f>'Rate Class Customer Model'!C14</f>
        <v>2241</v>
      </c>
      <c r="N18" s="31"/>
    </row>
    <row r="19" spans="1:14" x14ac:dyDescent="0.2">
      <c r="A19" t="s">
        <v>35</v>
      </c>
      <c r="B19" s="5">
        <f>'Rate Class Energy Model'!I3</f>
        <v>58443482.099599421</v>
      </c>
      <c r="C19" s="5">
        <f>'Rate Class Energy Model'!I4</f>
        <v>58492111.439999998</v>
      </c>
      <c r="D19" s="5">
        <f>'Rate Class Energy Model'!I5</f>
        <v>58168701.330000006</v>
      </c>
      <c r="E19" s="5">
        <f>'Rate Class Energy Model'!I6</f>
        <v>57585352</v>
      </c>
      <c r="F19" s="5">
        <f>'Rate Class Energy Model'!I7</f>
        <v>59779468</v>
      </c>
      <c r="G19" s="5">
        <f>'Rate Class Energy Model'!I8</f>
        <v>59276659</v>
      </c>
      <c r="H19" s="5">
        <f>'Rate Class Energy Model'!I9</f>
        <v>54635310</v>
      </c>
      <c r="I19" s="5">
        <f>'Rate Class Energy Model'!I10</f>
        <v>56374252</v>
      </c>
      <c r="J19" s="5">
        <f>'Rate Class Energy Model'!I11</f>
        <v>59995612</v>
      </c>
      <c r="K19" s="5">
        <f>'Rate Class Energy Model'!I12</f>
        <v>59655079</v>
      </c>
      <c r="L19" s="5">
        <f>'Rate Class Energy Model'!I13</f>
        <v>59818358</v>
      </c>
      <c r="M19" s="5">
        <f>'Rate Class Energy Model'!I32</f>
        <v>59829645.043589436</v>
      </c>
      <c r="N19" s="31"/>
    </row>
    <row r="20" spans="1:14" x14ac:dyDescent="0.2">
      <c r="B20" s="5"/>
      <c r="C20" s="1"/>
      <c r="G20" s="31"/>
      <c r="I20" s="31"/>
      <c r="J20" s="31"/>
      <c r="K20" s="31"/>
      <c r="L20" s="31"/>
      <c r="M20" s="31"/>
      <c r="N20" s="31"/>
    </row>
    <row r="21" spans="1:14" x14ac:dyDescent="0.2">
      <c r="A21" s="23" t="str">
        <f>'Rate Class Energy Model'!J2</f>
        <v>General Service &gt; 50 to 4999 kW</v>
      </c>
      <c r="B21" s="5"/>
      <c r="C21" s="1"/>
      <c r="D21" s="1"/>
      <c r="E21" s="1"/>
      <c r="F21" s="1"/>
      <c r="N21" s="31"/>
    </row>
    <row r="22" spans="1:14" x14ac:dyDescent="0.2">
      <c r="A22" t="s">
        <v>34</v>
      </c>
      <c r="B22" s="5">
        <f>'Rate Class Customer Model'!D3</f>
        <v>172</v>
      </c>
      <c r="C22" s="5">
        <f>'Rate Class Customer Model'!D4</f>
        <v>155.83333333333334</v>
      </c>
      <c r="D22" s="5">
        <f>'Rate Class Customer Model'!D5</f>
        <v>149.33333333333334</v>
      </c>
      <c r="E22" s="5">
        <f>'Rate Class Customer Model'!D6</f>
        <v>137.91666666666666</v>
      </c>
      <c r="F22" s="5">
        <f>'Rate Class Customer Model'!D7</f>
        <v>137.5</v>
      </c>
      <c r="G22" s="5">
        <f>'Rate Class Customer Model'!D8</f>
        <v>136.66666666666666</v>
      </c>
      <c r="H22" s="5">
        <f>'Rate Class Customer Model'!D9</f>
        <v>135.83333333333334</v>
      </c>
      <c r="I22" s="5">
        <f>'Rate Class Customer Model'!D10</f>
        <v>130.75</v>
      </c>
      <c r="J22" s="5">
        <f>'Rate Class Customer Model'!D11</f>
        <v>129.08333333333334</v>
      </c>
      <c r="K22" s="5">
        <f>'Rate Class Customer Model'!D12</f>
        <v>130.08333333333334</v>
      </c>
      <c r="L22" s="5">
        <f>'Rate Class Customer Model'!D13</f>
        <v>132.25</v>
      </c>
      <c r="M22" s="5">
        <f>'Rate Class Customer Model'!D14</f>
        <v>140</v>
      </c>
      <c r="N22" s="31"/>
    </row>
    <row r="23" spans="1:14" x14ac:dyDescent="0.2">
      <c r="A23" t="s">
        <v>35</v>
      </c>
      <c r="B23" s="5">
        <f>'Rate Class Energy Model'!J3</f>
        <v>121885729.22737581</v>
      </c>
      <c r="C23" s="5">
        <f>'Rate Class Energy Model'!J4</f>
        <v>119763837.52000001</v>
      </c>
      <c r="D23" s="5">
        <f>'Rate Class Energy Model'!J5</f>
        <v>116637108.60000002</v>
      </c>
      <c r="E23" s="5">
        <f>'Rate Class Energy Model'!J6</f>
        <v>117484141.48363943</v>
      </c>
      <c r="F23" s="5">
        <f>'Rate Class Energy Model'!J7</f>
        <v>119092478.54999998</v>
      </c>
      <c r="G23" s="5">
        <f>'Rate Class Energy Model'!J8</f>
        <v>118495415</v>
      </c>
      <c r="H23" s="5">
        <f>'Rate Class Energy Model'!J9</f>
        <v>117859877</v>
      </c>
      <c r="I23" s="5">
        <f>'Rate Class Energy Model'!J10</f>
        <v>119633612</v>
      </c>
      <c r="J23" s="5">
        <f>'Rate Class Energy Model'!J11</f>
        <v>125207062</v>
      </c>
      <c r="K23" s="5">
        <f>'Rate Class Energy Model'!J12</f>
        <v>122453774.75</v>
      </c>
      <c r="L23" s="5">
        <f>'Rate Class Energy Model'!J13</f>
        <v>120746049.11000001</v>
      </c>
      <c r="M23" s="5">
        <f>'Rate Class Energy Model'!J32</f>
        <v>127238476.53901561</v>
      </c>
      <c r="N23" s="31"/>
    </row>
    <row r="24" spans="1:14" x14ac:dyDescent="0.2">
      <c r="A24" t="s">
        <v>36</v>
      </c>
      <c r="B24" s="5">
        <f>'Rate Class Load Model'!B2</f>
        <v>288260.7</v>
      </c>
      <c r="C24" s="5">
        <f>'Rate Class Load Model'!B3</f>
        <v>288082.36</v>
      </c>
      <c r="D24" s="5">
        <f>'Rate Class Load Model'!B4</f>
        <v>283796.43000000005</v>
      </c>
      <c r="E24" s="5">
        <f>'Rate Class Load Model'!B5</f>
        <v>281771.10000000003</v>
      </c>
      <c r="F24" s="5">
        <f>'Rate Class Load Model'!B6</f>
        <v>288024.30000000005</v>
      </c>
      <c r="G24" s="5">
        <f>'Rate Class Load Model'!B7</f>
        <v>289524.01999999996</v>
      </c>
      <c r="H24" s="5">
        <f>'Rate Class Load Model'!B8</f>
        <v>290762.68</v>
      </c>
      <c r="I24" s="5">
        <f>'Rate Class Load Model'!B9</f>
        <v>285432.01</v>
      </c>
      <c r="J24" s="5">
        <f>'Rate Class Load Model'!B10</f>
        <v>308240.81</v>
      </c>
      <c r="K24" s="5">
        <f>'Rate Class Load Model'!B11</f>
        <v>315533.88999999996</v>
      </c>
      <c r="L24" s="5">
        <f>'Rate Class Load Model'!B12</f>
        <v>313416.03999999998</v>
      </c>
      <c r="M24" s="5">
        <f>'Rate Class Load Model'!B13</f>
        <v>311745.42136929382</v>
      </c>
      <c r="N24" s="31"/>
    </row>
    <row r="25" spans="1:14" x14ac:dyDescent="0.2">
      <c r="B25" s="5"/>
      <c r="C25" s="5"/>
      <c r="D25" s="5"/>
      <c r="E25" s="5"/>
      <c r="F25" s="5"/>
      <c r="G25" s="5"/>
      <c r="H25" s="5"/>
      <c r="I25" s="5"/>
      <c r="K25" s="5"/>
      <c r="L25" s="5"/>
      <c r="M25" s="5"/>
      <c r="N25" s="31"/>
    </row>
    <row r="26" spans="1:14" x14ac:dyDescent="0.2">
      <c r="A26" s="23" t="str">
        <f>'Rate Class Energy Model'!K2</f>
        <v>USL</v>
      </c>
      <c r="E26" s="1"/>
      <c r="F26" s="1"/>
      <c r="H26" s="1"/>
      <c r="K26" s="5"/>
      <c r="N26" s="31"/>
    </row>
    <row r="27" spans="1:14" x14ac:dyDescent="0.2">
      <c r="A27" t="s">
        <v>37</v>
      </c>
      <c r="B27" s="5">
        <f>'Rate Class Customer Model'!E3</f>
        <v>54.75</v>
      </c>
      <c r="C27" s="5">
        <f>'Rate Class Customer Model'!E4</f>
        <v>52.166666666666664</v>
      </c>
      <c r="D27" s="5">
        <f>'Rate Class Customer Model'!E5</f>
        <v>51</v>
      </c>
      <c r="E27" s="5">
        <f>'Rate Class Customer Model'!E6</f>
        <v>51</v>
      </c>
      <c r="F27" s="5">
        <f>'Rate Class Customer Model'!E7</f>
        <v>51</v>
      </c>
      <c r="G27" s="5">
        <f>'Rate Class Customer Model'!E8</f>
        <v>54.583333333333336</v>
      </c>
      <c r="H27" s="5">
        <f>'Rate Class Customer Model'!E9</f>
        <v>56</v>
      </c>
      <c r="I27" s="5">
        <f>'Rate Class Customer Model'!E10</f>
        <v>64.5</v>
      </c>
      <c r="J27" s="5">
        <f>'Rate Class Customer Model'!E11</f>
        <v>64.25</v>
      </c>
      <c r="K27" s="5">
        <f>'Rate Class Customer Model'!E12</f>
        <v>63.333333333333336</v>
      </c>
      <c r="L27" s="5">
        <f>'Rate Class Customer Model'!E13</f>
        <v>63</v>
      </c>
      <c r="M27" s="5">
        <f>'Rate Class Customer Model'!E14</f>
        <v>63</v>
      </c>
      <c r="N27" s="31"/>
    </row>
    <row r="28" spans="1:14" x14ac:dyDescent="0.2">
      <c r="A28" t="s">
        <v>35</v>
      </c>
      <c r="B28" s="5">
        <f>'Rate Class Energy Model'!K3</f>
        <v>180165.06688870382</v>
      </c>
      <c r="C28" s="5">
        <f>'Rate Class Energy Model'!K4</f>
        <v>173556</v>
      </c>
      <c r="D28" s="5">
        <f>'Rate Class Energy Model'!K5</f>
        <v>166068</v>
      </c>
      <c r="E28" s="5">
        <f>'Rate Class Energy Model'!K6</f>
        <v>166068</v>
      </c>
      <c r="F28" s="5">
        <f>'Rate Class Energy Model'!K7</f>
        <v>166686</v>
      </c>
      <c r="G28" s="5">
        <f>'Rate Class Energy Model'!K8</f>
        <v>172797</v>
      </c>
      <c r="H28" s="5">
        <f>'Rate Class Energy Model'!K9</f>
        <v>173568</v>
      </c>
      <c r="I28" s="5">
        <f>'Rate Class Energy Model'!K10</f>
        <v>178362</v>
      </c>
      <c r="J28" s="5">
        <f>'Rate Class Energy Model'!K11</f>
        <v>172344</v>
      </c>
      <c r="K28" s="5">
        <f>'Rate Class Energy Model'!K12</f>
        <v>169785</v>
      </c>
      <c r="L28" s="5">
        <f>'Rate Class Energy Model'!K13</f>
        <v>169657</v>
      </c>
      <c r="M28" s="5">
        <f>'Rate Class Energy Model'!K32</f>
        <v>169657</v>
      </c>
      <c r="N28" s="31"/>
    </row>
    <row r="29" spans="1:14" x14ac:dyDescent="0.2">
      <c r="H29" s="5"/>
      <c r="I29" s="5"/>
      <c r="K29" s="5"/>
      <c r="L29" s="5"/>
      <c r="M29" s="5"/>
    </row>
    <row r="30" spans="1:14" x14ac:dyDescent="0.2">
      <c r="A30" s="23" t="str">
        <f>'Rate Class Energy Model'!L2</f>
        <v>Sentinel Lighting</v>
      </c>
      <c r="E30" s="1"/>
      <c r="G30" s="1"/>
      <c r="K30" s="16"/>
    </row>
    <row r="31" spans="1:14" x14ac:dyDescent="0.2">
      <c r="A31" t="s">
        <v>37</v>
      </c>
      <c r="B31" s="5">
        <f>'Rate Class Customer Model'!F3</f>
        <v>56.666666666666664</v>
      </c>
      <c r="C31" s="5">
        <f>'Rate Class Customer Model'!F4</f>
        <v>53</v>
      </c>
      <c r="D31" s="5">
        <f>'Rate Class Customer Model'!F5</f>
        <v>52.333333333333336</v>
      </c>
      <c r="E31" s="5">
        <f>'Rate Class Customer Model'!F6</f>
        <v>45.5</v>
      </c>
      <c r="F31" s="5">
        <f>'Rate Class Customer Model'!F7</f>
        <v>44</v>
      </c>
      <c r="G31" s="5">
        <f>'Rate Class Customer Model'!F8</f>
        <v>41.25</v>
      </c>
      <c r="H31" s="5">
        <f>'Rate Class Customer Model'!F9</f>
        <v>40</v>
      </c>
      <c r="I31" s="5">
        <f>'Rate Class Customer Model'!F10</f>
        <v>40</v>
      </c>
      <c r="J31" s="5">
        <f>'Rate Class Customer Model'!F11</f>
        <v>37.583333333333336</v>
      </c>
      <c r="K31" s="5">
        <f>'Rate Class Customer Model'!F12</f>
        <v>32.5</v>
      </c>
      <c r="L31" s="5">
        <f>'Rate Class Customer Model'!F13</f>
        <v>32.666666666666664</v>
      </c>
      <c r="M31" s="5">
        <f>'Rate Class Customer Model'!F14</f>
        <v>30.915945739990271</v>
      </c>
    </row>
    <row r="32" spans="1:14" x14ac:dyDescent="0.2">
      <c r="A32" t="s">
        <v>35</v>
      </c>
      <c r="B32" s="5">
        <f>'Rate Class Energy Model'!L3</f>
        <v>50003.862623739478</v>
      </c>
      <c r="C32" s="5">
        <f>'Rate Class Energy Model'!L4</f>
        <v>49108.439999999988</v>
      </c>
      <c r="D32" s="5">
        <f>'Rate Class Energy Model'!L5</f>
        <v>48745.789999999994</v>
      </c>
      <c r="E32" s="5">
        <f>'Rate Class Energy Model'!L6</f>
        <v>44233.600000000006</v>
      </c>
      <c r="F32" s="5">
        <f>'Rate Class Energy Model'!L7</f>
        <v>40821.300000000003</v>
      </c>
      <c r="G32" s="5">
        <f>'Rate Class Energy Model'!L8</f>
        <v>39113.5</v>
      </c>
      <c r="H32" s="5">
        <f>'Rate Class Energy Model'!L9</f>
        <v>37289</v>
      </c>
      <c r="I32" s="5">
        <f>'Rate Class Energy Model'!L10</f>
        <v>37046</v>
      </c>
      <c r="J32" s="5">
        <f>'Rate Class Energy Model'!L11</f>
        <v>34937</v>
      </c>
      <c r="K32" s="5">
        <f>'Rate Class Energy Model'!L12</f>
        <v>31175.760000000002</v>
      </c>
      <c r="L32" s="5">
        <f>'Rate Class Energy Model'!L13</f>
        <v>30873.080000000005</v>
      </c>
      <c r="M32" s="5">
        <f>'Rate Class Energy Model'!L32</f>
        <v>29218.483656317727</v>
      </c>
    </row>
    <row r="33" spans="1:13" x14ac:dyDescent="0.2">
      <c r="A33" t="s">
        <v>36</v>
      </c>
      <c r="B33" s="5">
        <f>'Rate Class Load Model'!C2</f>
        <v>138.89961839927633</v>
      </c>
      <c r="C33" s="5">
        <f>'Rate Class Load Model'!C3</f>
        <v>136.41233333333329</v>
      </c>
      <c r="D33" s="5">
        <f>'Rate Class Load Model'!C4</f>
        <v>135.40497222222223</v>
      </c>
      <c r="E33" s="5">
        <f>'Rate Class Load Model'!C5</f>
        <v>122.87111111111111</v>
      </c>
      <c r="F33" s="5">
        <f>'Rate Class Load Model'!C6</f>
        <v>113.39249999999998</v>
      </c>
      <c r="G33" s="5">
        <f>'Rate Class Load Model'!C7</f>
        <v>108.64861111111111</v>
      </c>
      <c r="H33" s="5">
        <f>'Rate Class Load Model'!C8</f>
        <v>103.58055555555556</v>
      </c>
      <c r="I33" s="5">
        <f>'Rate Class Load Model'!C9</f>
        <v>102.90555555555558</v>
      </c>
      <c r="J33" s="5">
        <f>'Rate Class Load Model'!C10</f>
        <v>97.047222222222217</v>
      </c>
      <c r="K33" s="5">
        <f>'Rate Class Load Model'!C11</f>
        <v>86.600000000000009</v>
      </c>
      <c r="L33" s="5">
        <f>'Rate Class Load Model'!C12</f>
        <v>85.759</v>
      </c>
      <c r="M33" s="5">
        <f>'Rate Class Load Model'!C13</f>
        <v>81.162549640620455</v>
      </c>
    </row>
    <row r="35" spans="1:13" x14ac:dyDescent="0.2">
      <c r="A35" s="23" t="str">
        <f>'Rate Class Energy Model'!M2</f>
        <v>Street Lighting</v>
      </c>
      <c r="E35" s="1"/>
      <c r="F35" s="1"/>
      <c r="G35" s="1"/>
      <c r="H35" s="1"/>
    </row>
    <row r="36" spans="1:13" x14ac:dyDescent="0.2">
      <c r="A36" t="s">
        <v>37</v>
      </c>
      <c r="B36" s="5">
        <f>'Rate Class Customer Model'!G3</f>
        <v>2843.6666666666665</v>
      </c>
      <c r="C36" s="5">
        <f>'Rate Class Customer Model'!G4</f>
        <v>2766.0833333333335</v>
      </c>
      <c r="D36" s="5">
        <f>'Rate Class Customer Model'!G5</f>
        <v>2679.1666666666665</v>
      </c>
      <c r="E36" s="5">
        <f>'Rate Class Customer Model'!G6</f>
        <v>2848.3333333333335</v>
      </c>
      <c r="F36" s="5">
        <f>'Rate Class Customer Model'!G7</f>
        <v>2849</v>
      </c>
      <c r="G36" s="5">
        <f>'Rate Class Customer Model'!G8</f>
        <v>2849.1666666666665</v>
      </c>
      <c r="H36" s="5">
        <f>'Rate Class Customer Model'!G9</f>
        <v>2851</v>
      </c>
      <c r="I36" s="5">
        <f>'Rate Class Customer Model'!G10</f>
        <v>2851</v>
      </c>
      <c r="J36" s="5">
        <f>'Rate Class Customer Model'!G11</f>
        <v>2851</v>
      </c>
      <c r="K36" s="5">
        <f>'Rate Class Customer Model'!G12</f>
        <v>2851</v>
      </c>
      <c r="L36" s="5">
        <f>'Rate Class Customer Model'!G13</f>
        <v>2851</v>
      </c>
      <c r="M36" s="5">
        <f>'Rate Class Customer Model'!G14</f>
        <v>2851</v>
      </c>
    </row>
    <row r="37" spans="1:13" x14ac:dyDescent="0.2">
      <c r="A37" t="s">
        <v>35</v>
      </c>
      <c r="B37" s="5">
        <f>'Rate Class Energy Model'!M3</f>
        <v>2405634.7619215469</v>
      </c>
      <c r="C37" s="5">
        <f>'Rate Class Energy Model'!M4</f>
        <v>2029684.9000000004</v>
      </c>
      <c r="D37" s="5">
        <f>'Rate Class Energy Model'!M5</f>
        <v>1136285.4616429303</v>
      </c>
      <c r="E37" s="5">
        <f>'Rate Class Energy Model'!M6</f>
        <v>1154453.9984150699</v>
      </c>
      <c r="F37" s="5">
        <f>'Rate Class Energy Model'!M7</f>
        <v>1114031</v>
      </c>
      <c r="G37" s="5">
        <f>'Rate Class Energy Model'!M8</f>
        <v>1110958</v>
      </c>
      <c r="H37" s="5">
        <f>'Rate Class Energy Model'!M9</f>
        <v>1087215</v>
      </c>
      <c r="I37" s="5">
        <f>'Rate Class Energy Model'!M10</f>
        <v>1058917</v>
      </c>
      <c r="J37" s="5">
        <f>'Rate Class Energy Model'!M11</f>
        <v>1058924</v>
      </c>
      <c r="K37" s="5">
        <f>'Rate Class Energy Model'!M12</f>
        <v>1058923.73</v>
      </c>
      <c r="L37" s="5">
        <f>'Rate Class Energy Model'!M13</f>
        <v>1061881.5699999998</v>
      </c>
      <c r="M37" s="5">
        <f>'Rate Class Energy Model'!M32</f>
        <v>1061881.5699999998</v>
      </c>
    </row>
    <row r="38" spans="1:13" x14ac:dyDescent="0.2">
      <c r="A38" t="s">
        <v>36</v>
      </c>
      <c r="B38" s="5">
        <f>'Rate Class Load Model'!D2</f>
        <v>6610.2200000000012</v>
      </c>
      <c r="C38" s="5">
        <f>'Rate Class Load Model'!D3</f>
        <v>5922.15</v>
      </c>
      <c r="D38" s="5">
        <f>'Rate Class Load Model'!D4</f>
        <v>3094.04</v>
      </c>
      <c r="E38" s="5">
        <f>'Rate Class Load Model'!D5</f>
        <v>3196.5600000000009</v>
      </c>
      <c r="F38" s="5">
        <f>'Rate Class Load Model'!D6</f>
        <v>3087.5699999999993</v>
      </c>
      <c r="G38" s="5">
        <f>'Rate Class Load Model'!D7</f>
        <v>3074.1600000000003</v>
      </c>
      <c r="H38" s="5">
        <f>'Rate Class Load Model'!D8</f>
        <v>3080.420000000001</v>
      </c>
      <c r="I38" s="5">
        <f>'Rate Class Load Model'!D9</f>
        <v>3082.3200000000011</v>
      </c>
      <c r="J38" s="5">
        <f>'Rate Class Load Model'!D10</f>
        <v>3082.3200000000011</v>
      </c>
      <c r="K38" s="5">
        <f>'Rate Class Load Model'!D11</f>
        <v>3082.6000000000008</v>
      </c>
      <c r="L38" s="5">
        <f>'Rate Class Load Model'!D12</f>
        <v>3082.3200000000011</v>
      </c>
      <c r="M38" s="5">
        <f>'Rate Class Load Model'!D13</f>
        <v>3008.4814552397265</v>
      </c>
    </row>
    <row r="40" spans="1:13" x14ac:dyDescent="0.2">
      <c r="A40" s="23" t="s">
        <v>5</v>
      </c>
      <c r="C40" s="1"/>
      <c r="E40" s="1"/>
      <c r="H40" s="39"/>
    </row>
    <row r="41" spans="1:13" x14ac:dyDescent="0.2">
      <c r="A41" t="s">
        <v>39</v>
      </c>
      <c r="B41" s="5">
        <f>+B14+B18+B22+B27+B31+B36</f>
        <v>16197.166666666666</v>
      </c>
      <c r="C41" s="5">
        <f t="shared" ref="C41:M41" si="1">+C14+C18+C22+C27+C31+C36</f>
        <v>16180.583333333334</v>
      </c>
      <c r="D41" s="5">
        <f t="shared" si="1"/>
        <v>16147.916666666666</v>
      </c>
      <c r="E41" s="5">
        <f t="shared" si="1"/>
        <v>16395.916666666664</v>
      </c>
      <c r="F41" s="5">
        <f t="shared" si="1"/>
        <v>16529</v>
      </c>
      <c r="G41" s="5">
        <f t="shared" si="1"/>
        <v>16665.75</v>
      </c>
      <c r="H41" s="5">
        <f t="shared" si="1"/>
        <v>16804.166666666668</v>
      </c>
      <c r="I41" s="5">
        <f t="shared" si="1"/>
        <v>17003</v>
      </c>
      <c r="J41" s="5">
        <f t="shared" si="1"/>
        <v>17199</v>
      </c>
      <c r="K41" s="5">
        <f t="shared" si="1"/>
        <v>17408.583333333336</v>
      </c>
      <c r="L41" s="5">
        <f t="shared" si="1"/>
        <v>17637.75</v>
      </c>
      <c r="M41" s="5">
        <f t="shared" si="1"/>
        <v>17828.915945739991</v>
      </c>
    </row>
    <row r="42" spans="1:13" x14ac:dyDescent="0.2">
      <c r="A42" t="s">
        <v>35</v>
      </c>
      <c r="B42" s="5">
        <f>+B15+B19+B23+B28+B32+B37</f>
        <v>297398397.24340039</v>
      </c>
      <c r="C42" s="5">
        <f t="shared" ref="C42:M42" si="2">+C15+C19+C23+C28+C32+C37</f>
        <v>288752254.73999995</v>
      </c>
      <c r="D42" s="5">
        <f t="shared" si="2"/>
        <v>280505070.49164295</v>
      </c>
      <c r="E42" s="5">
        <f t="shared" si="2"/>
        <v>279563881.0820545</v>
      </c>
      <c r="F42" s="5">
        <f t="shared" si="2"/>
        <v>289620570.18333334</v>
      </c>
      <c r="G42" s="5">
        <f t="shared" si="2"/>
        <v>289860628.5</v>
      </c>
      <c r="H42" s="5">
        <f t="shared" si="2"/>
        <v>286230671</v>
      </c>
      <c r="I42" s="5">
        <f t="shared" si="2"/>
        <v>290240292</v>
      </c>
      <c r="J42" s="5">
        <f t="shared" si="2"/>
        <v>303102277</v>
      </c>
      <c r="K42" s="5">
        <f t="shared" si="2"/>
        <v>296889108.50999999</v>
      </c>
      <c r="L42" s="5">
        <f t="shared" si="2"/>
        <v>296405229.82999998</v>
      </c>
      <c r="M42" s="5">
        <f t="shared" si="2"/>
        <v>303742692.05874807</v>
      </c>
    </row>
    <row r="43" spans="1:13" x14ac:dyDescent="0.2">
      <c r="A43" t="s">
        <v>38</v>
      </c>
      <c r="B43" s="5">
        <f>B24+B33+B38</f>
        <v>295009.81961839925</v>
      </c>
      <c r="C43" s="5">
        <f t="shared" ref="C43:M43" si="3">C24+C33+C38</f>
        <v>294140.92233333335</v>
      </c>
      <c r="D43" s="5">
        <f t="shared" si="3"/>
        <v>287025.87497222226</v>
      </c>
      <c r="E43" s="5">
        <f t="shared" si="3"/>
        <v>285090.53111111117</v>
      </c>
      <c r="F43" s="5">
        <f t="shared" si="3"/>
        <v>291225.26250000007</v>
      </c>
      <c r="G43" s="5">
        <f t="shared" si="3"/>
        <v>292706.82861111104</v>
      </c>
      <c r="H43" s="5">
        <f t="shared" si="3"/>
        <v>293946.6805555555</v>
      </c>
      <c r="I43" s="5">
        <f t="shared" si="3"/>
        <v>288617.23555555556</v>
      </c>
      <c r="J43" s="5">
        <f t="shared" si="3"/>
        <v>311420.17722222221</v>
      </c>
      <c r="K43" s="5">
        <f t="shared" si="3"/>
        <v>318703.08999999991</v>
      </c>
      <c r="L43" s="5">
        <f t="shared" si="3"/>
        <v>316584.11900000001</v>
      </c>
      <c r="M43" s="5">
        <f t="shared" si="3"/>
        <v>314835.06537417416</v>
      </c>
    </row>
    <row r="44" spans="1:13" x14ac:dyDescent="0.2">
      <c r="C44" s="39"/>
      <c r="D44" s="1"/>
      <c r="E44" s="1"/>
      <c r="F44" s="1"/>
    </row>
    <row r="45" spans="1:13" x14ac:dyDescent="0.2">
      <c r="A45" t="s">
        <v>39</v>
      </c>
      <c r="B45" s="5">
        <f>'Rate Class Customer Model'!H3</f>
        <v>16197.166666666666</v>
      </c>
      <c r="C45" s="5">
        <f>'Rate Class Customer Model'!H4</f>
        <v>16180.583333333334</v>
      </c>
      <c r="D45" s="5">
        <f>'Rate Class Customer Model'!H5</f>
        <v>16147.916666666666</v>
      </c>
      <c r="E45" s="5">
        <f>'Rate Class Customer Model'!H6</f>
        <v>16395.916666666664</v>
      </c>
      <c r="F45" s="5">
        <f>'Rate Class Customer Model'!H7</f>
        <v>16529</v>
      </c>
      <c r="G45" s="5">
        <f>'Rate Class Customer Model'!H8</f>
        <v>16665.75</v>
      </c>
      <c r="H45" s="5">
        <f>'Rate Class Customer Model'!H9</f>
        <v>16804.166666666668</v>
      </c>
      <c r="I45" s="5">
        <f>'Rate Class Customer Model'!H10</f>
        <v>17003</v>
      </c>
      <c r="J45" s="5">
        <f>'Rate Class Customer Model'!H11</f>
        <v>17199</v>
      </c>
      <c r="K45" s="5">
        <f>'Rate Class Customer Model'!H12</f>
        <v>17408.583333333336</v>
      </c>
      <c r="L45" s="5">
        <f>'Rate Class Customer Model'!H13</f>
        <v>17637.75</v>
      </c>
      <c r="M45" s="5">
        <f>'Rate Class Customer Model'!H14</f>
        <v>17828.915945739991</v>
      </c>
    </row>
    <row r="46" spans="1:13" x14ac:dyDescent="0.2">
      <c r="A46" t="s">
        <v>35</v>
      </c>
      <c r="B46" s="5">
        <f>'Rate Class Energy Model'!G3</f>
        <v>297398397.24340039</v>
      </c>
      <c r="C46" s="5">
        <f>'Rate Class Energy Model'!G4</f>
        <v>288752254.73999995</v>
      </c>
      <c r="D46" s="5">
        <f>'Rate Class Energy Model'!G5</f>
        <v>280505070.49164295</v>
      </c>
      <c r="E46" s="5">
        <f>'Rate Class Energy Model'!G6</f>
        <v>279563881.0820545</v>
      </c>
      <c r="F46" s="5">
        <f>'Rate Class Energy Model'!G7</f>
        <v>289620570.18333334</v>
      </c>
      <c r="G46" s="5">
        <f>'Rate Class Energy Model'!G8</f>
        <v>289860628.5</v>
      </c>
      <c r="H46" s="5">
        <f>'Rate Class Energy Model'!G9</f>
        <v>286230671</v>
      </c>
      <c r="I46" s="5">
        <f>'Rate Class Energy Model'!G10</f>
        <v>290240292</v>
      </c>
      <c r="J46" s="5">
        <f>'Rate Class Energy Model'!G11</f>
        <v>303102277</v>
      </c>
      <c r="K46" s="5">
        <f>'Rate Class Energy Model'!G12</f>
        <v>296889108.50999999</v>
      </c>
      <c r="L46" s="5">
        <f>'Rate Class Energy Model'!G13</f>
        <v>296405229.82999998</v>
      </c>
      <c r="M46" s="5">
        <f>'Rate Class Energy Model'!G14</f>
        <v>303742692.05874807</v>
      </c>
    </row>
    <row r="47" spans="1:13" x14ac:dyDescent="0.2">
      <c r="A47" t="s">
        <v>38</v>
      </c>
      <c r="B47" s="5">
        <f>'Rate Class Load Model'!E2</f>
        <v>295009.81961839925</v>
      </c>
      <c r="C47" s="5">
        <f>'Rate Class Load Model'!E3</f>
        <v>294140.92233333335</v>
      </c>
      <c r="D47" s="5">
        <f>'Rate Class Load Model'!E4</f>
        <v>287025.87497222226</v>
      </c>
      <c r="E47" s="5">
        <f>'Rate Class Load Model'!E5</f>
        <v>285090.53111111117</v>
      </c>
      <c r="F47" s="5">
        <f>'Rate Class Load Model'!E6</f>
        <v>291225.26250000007</v>
      </c>
      <c r="G47" s="5">
        <f>'Rate Class Load Model'!E7</f>
        <v>292706.82861111104</v>
      </c>
      <c r="H47" s="5">
        <f>'Rate Class Load Model'!E8</f>
        <v>293946.6805555555</v>
      </c>
      <c r="I47" s="5">
        <f>'Rate Class Load Model'!E9</f>
        <v>288617.23555555556</v>
      </c>
      <c r="J47" s="5">
        <f>'Rate Class Load Model'!E10</f>
        <v>311420.17722222221</v>
      </c>
      <c r="K47" s="5">
        <f>'Rate Class Load Model'!E11</f>
        <v>318703.08999999991</v>
      </c>
      <c r="L47" s="5">
        <f>'Rate Class Load Model'!E12</f>
        <v>316584.11900000001</v>
      </c>
      <c r="M47" s="5">
        <f>'Rate Class Load Model'!E13</f>
        <v>314835.06537417416</v>
      </c>
    </row>
    <row r="49" spans="1:13" hidden="1" x14ac:dyDescent="0.2">
      <c r="A49" t="s">
        <v>39</v>
      </c>
      <c r="H49" s="5">
        <f>'Rate Class Load Model'!E12</f>
        <v>316584.11900000001</v>
      </c>
      <c r="I49" s="5" t="e">
        <f>#REF!</f>
        <v>#REF!</v>
      </c>
      <c r="J49" s="5"/>
      <c r="K49" s="5"/>
      <c r="L49" s="5" t="e">
        <f>#REF!</f>
        <v>#REF!</v>
      </c>
      <c r="M49" s="5" t="e">
        <f>#REF!</f>
        <v>#REF!</v>
      </c>
    </row>
    <row r="50" spans="1:13" hidden="1" x14ac:dyDescent="0.2">
      <c r="A50" t="s">
        <v>35</v>
      </c>
      <c r="H50" s="5">
        <f>'Rate Class Load Model'!E13</f>
        <v>314835.06537417416</v>
      </c>
      <c r="I50" s="5" t="e">
        <f>#REF!</f>
        <v>#REF!</v>
      </c>
      <c r="J50" s="5"/>
      <c r="K50" s="5"/>
      <c r="L50" s="5" t="e">
        <f>#REF!</f>
        <v>#REF!</v>
      </c>
      <c r="M50" s="5" t="e">
        <f>#REF!</f>
        <v>#REF!</v>
      </c>
    </row>
    <row r="51" spans="1:13" hidden="1" x14ac:dyDescent="0.2">
      <c r="A51" t="s">
        <v>38</v>
      </c>
      <c r="H51" s="5">
        <f>'Rate Class Load Model'!E14</f>
        <v>0</v>
      </c>
      <c r="I51" s="5" t="e">
        <f>#REF!</f>
        <v>#REF!</v>
      </c>
      <c r="J51" s="5"/>
      <c r="K51" s="5"/>
      <c r="L51" s="5" t="e">
        <f>#REF!</f>
        <v>#REF!</v>
      </c>
      <c r="M51" s="5" t="e">
        <f>#REF!</f>
        <v>#REF!</v>
      </c>
    </row>
    <row r="52" spans="1:13" hidden="1" x14ac:dyDescent="0.2">
      <c r="H52" s="5">
        <f>'Rate Class Load Model'!E15</f>
        <v>0</v>
      </c>
    </row>
    <row r="53" spans="1:13" hidden="1" x14ac:dyDescent="0.2">
      <c r="A53" t="s">
        <v>39</v>
      </c>
      <c r="H53" s="5">
        <f>'Rate Class Load Model'!E16</f>
        <v>0</v>
      </c>
      <c r="I53" s="5" t="e">
        <f>#REF!-I49</f>
        <v>#REF!</v>
      </c>
      <c r="J53" s="5"/>
      <c r="K53" s="5"/>
      <c r="L53" s="5" t="e">
        <f>#REF!-L49</f>
        <v>#REF!</v>
      </c>
      <c r="M53" s="5" t="e">
        <f>#REF!-M49</f>
        <v>#REF!</v>
      </c>
    </row>
    <row r="54" spans="1:13" hidden="1" x14ac:dyDescent="0.2">
      <c r="A54" t="s">
        <v>35</v>
      </c>
      <c r="H54" s="5">
        <f>'Rate Class Load Model'!E17</f>
        <v>0</v>
      </c>
      <c r="I54" s="5" t="e">
        <f>#REF!-I50</f>
        <v>#REF!</v>
      </c>
      <c r="J54" s="5"/>
      <c r="K54" s="5"/>
      <c r="L54" s="5" t="e">
        <f>#REF!-L50</f>
        <v>#REF!</v>
      </c>
      <c r="M54" s="5" t="e">
        <f>#REF!-M50</f>
        <v>#REF!</v>
      </c>
    </row>
    <row r="55" spans="1:13" hidden="1" x14ac:dyDescent="0.2">
      <c r="A55" t="s">
        <v>38</v>
      </c>
      <c r="H55" s="5">
        <f>'Rate Class Load Model'!E18</f>
        <v>0</v>
      </c>
      <c r="I55" s="5" t="e">
        <f>#REF!-I51</f>
        <v>#REF!</v>
      </c>
      <c r="J55" s="5"/>
      <c r="K55" s="5"/>
      <c r="L55" s="5" t="e">
        <f>#REF!-L51</f>
        <v>#REF!</v>
      </c>
      <c r="M55" s="5" t="e">
        <f>#REF!-M51</f>
        <v>#REF!</v>
      </c>
    </row>
    <row r="56" spans="1:13" hidden="1" x14ac:dyDescent="0.2">
      <c r="H56" s="5">
        <f>'Rate Class Load Model'!E19</f>
        <v>0</v>
      </c>
    </row>
    <row r="57" spans="1:13" x14ac:dyDescent="0.2">
      <c r="A57" s="38" t="s">
        <v>10</v>
      </c>
      <c r="H57" s="5"/>
    </row>
    <row r="58" spans="1:13" x14ac:dyDescent="0.2">
      <c r="A58" t="s">
        <v>39</v>
      </c>
      <c r="B58" s="5">
        <f t="shared" ref="B58:M58" si="4">B41-B45</f>
        <v>0</v>
      </c>
      <c r="C58" s="5">
        <f t="shared" si="4"/>
        <v>0</v>
      </c>
      <c r="D58" s="5">
        <f t="shared" si="4"/>
        <v>0</v>
      </c>
      <c r="E58" s="5">
        <f t="shared" si="4"/>
        <v>0</v>
      </c>
      <c r="F58" s="5">
        <f t="shared" si="4"/>
        <v>0</v>
      </c>
      <c r="G58" s="5">
        <f t="shared" si="4"/>
        <v>0</v>
      </c>
      <c r="H58" s="5">
        <f t="shared" si="4"/>
        <v>0</v>
      </c>
      <c r="I58" s="5">
        <f t="shared" si="4"/>
        <v>0</v>
      </c>
      <c r="J58" s="5">
        <f t="shared" ref="J58:K60" si="5">J41-J45</f>
        <v>0</v>
      </c>
      <c r="K58" s="5">
        <f t="shared" si="5"/>
        <v>0</v>
      </c>
      <c r="L58" s="5">
        <f t="shared" si="4"/>
        <v>0</v>
      </c>
      <c r="M58" s="5">
        <f t="shared" si="4"/>
        <v>0</v>
      </c>
    </row>
    <row r="59" spans="1:13" x14ac:dyDescent="0.2">
      <c r="A59" t="s">
        <v>35</v>
      </c>
      <c r="B59" s="5">
        <f>B42-B46</f>
        <v>0</v>
      </c>
      <c r="C59" s="5">
        <f t="shared" ref="C59:M59" si="6">C42-C46</f>
        <v>0</v>
      </c>
      <c r="D59" s="5">
        <f t="shared" si="6"/>
        <v>0</v>
      </c>
      <c r="E59" s="5">
        <f t="shared" si="6"/>
        <v>0</v>
      </c>
      <c r="F59" s="5">
        <f t="shared" si="6"/>
        <v>0</v>
      </c>
      <c r="G59" s="5">
        <f t="shared" si="6"/>
        <v>0</v>
      </c>
      <c r="H59" s="5">
        <f t="shared" si="6"/>
        <v>0</v>
      </c>
      <c r="I59" s="5">
        <f t="shared" si="6"/>
        <v>0</v>
      </c>
      <c r="J59" s="5">
        <f t="shared" si="5"/>
        <v>0</v>
      </c>
      <c r="K59" s="5">
        <f t="shared" si="5"/>
        <v>0</v>
      </c>
      <c r="L59" s="5">
        <f t="shared" si="6"/>
        <v>0</v>
      </c>
      <c r="M59" s="5">
        <f t="shared" si="6"/>
        <v>0</v>
      </c>
    </row>
    <row r="60" spans="1:13" x14ac:dyDescent="0.2">
      <c r="A60" t="s">
        <v>38</v>
      </c>
      <c r="B60" s="5">
        <f t="shared" ref="B60:M60" si="7">B43-B47</f>
        <v>0</v>
      </c>
      <c r="C60" s="5">
        <f t="shared" si="7"/>
        <v>0</v>
      </c>
      <c r="D60" s="5">
        <f t="shared" si="7"/>
        <v>0</v>
      </c>
      <c r="E60" s="5">
        <f t="shared" si="7"/>
        <v>0</v>
      </c>
      <c r="F60" s="5">
        <f t="shared" si="7"/>
        <v>0</v>
      </c>
      <c r="G60" s="5">
        <f t="shared" si="7"/>
        <v>0</v>
      </c>
      <c r="H60" s="5">
        <f t="shared" si="7"/>
        <v>0</v>
      </c>
      <c r="I60" s="5">
        <f t="shared" si="7"/>
        <v>0</v>
      </c>
      <c r="J60" s="5">
        <f t="shared" si="5"/>
        <v>0</v>
      </c>
      <c r="K60" s="5">
        <f t="shared" si="5"/>
        <v>0</v>
      </c>
      <c r="L60" s="5">
        <f t="shared" si="7"/>
        <v>0</v>
      </c>
      <c r="M60" s="5">
        <f t="shared" si="7"/>
        <v>0</v>
      </c>
    </row>
    <row r="62" spans="1:13" x14ac:dyDescent="0.2">
      <c r="H62" s="31">
        <f>H15+H19+H23</f>
        <v>284932599</v>
      </c>
      <c r="I62" s="31">
        <f t="shared" ref="I62:M62" si="8">I15+I19+I23</f>
        <v>288965967</v>
      </c>
      <c r="J62" s="31">
        <f t="shared" si="8"/>
        <v>301836072</v>
      </c>
      <c r="K62" s="31">
        <f t="shared" si="8"/>
        <v>295629224.01999998</v>
      </c>
      <c r="L62" s="31">
        <f t="shared" si="8"/>
        <v>295142818.18000001</v>
      </c>
      <c r="M62" s="31">
        <f t="shared" si="8"/>
        <v>302481935.00509173</v>
      </c>
    </row>
    <row r="63" spans="1:13" ht="12.4" customHeight="1" x14ac:dyDescent="0.2">
      <c r="G63" s="31"/>
      <c r="H63" s="31"/>
      <c r="I63" s="31"/>
      <c r="J63" s="31"/>
    </row>
    <row r="64" spans="1:13" x14ac:dyDescent="0.2">
      <c r="G64" s="31"/>
      <c r="H64" s="31"/>
      <c r="I64" s="31"/>
      <c r="J64" s="31"/>
    </row>
    <row r="65" spans="3:13" x14ac:dyDescent="0.2">
      <c r="G65" s="31"/>
      <c r="H65" s="31"/>
      <c r="I65" s="31"/>
      <c r="J65" s="31"/>
    </row>
    <row r="66" spans="3:13" x14ac:dyDescent="0.2">
      <c r="C66" s="31"/>
      <c r="H66" s="31"/>
      <c r="I66" s="31"/>
      <c r="J66" s="31"/>
      <c r="K66" s="31"/>
      <c r="L66" s="31"/>
      <c r="M66" s="31"/>
    </row>
  </sheetData>
  <phoneticPr fontId="0" type="noConversion"/>
  <pageMargins left="0.38" right="0.75" top="0.73" bottom="0.74" header="0.5" footer="0.5"/>
  <pageSetup scale="74" fitToHeight="2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0242-EF32-4FE0-859B-E0C4A9DC8D14}">
  <sheetPr>
    <tabColor rgb="FF00B0F0"/>
    <pageSetUpPr fitToPage="1"/>
  </sheetPr>
  <dimension ref="A1:AD196"/>
  <sheetViews>
    <sheetView zoomScale="78" zoomScaleNormal="78" workbookViewId="0">
      <pane xSplit="1" ySplit="2" topLeftCell="B114" activePane="bottomRight" state="frozen"/>
      <selection pane="topRight" activeCell="C1" sqref="C1"/>
      <selection pane="bottomLeft" activeCell="A3" sqref="A3"/>
      <selection pane="bottomRight" activeCell="W34" sqref="W34"/>
    </sheetView>
  </sheetViews>
  <sheetFormatPr defaultRowHeight="12.75" x14ac:dyDescent="0.2"/>
  <cols>
    <col min="1" max="1" width="11.85546875" style="22" customWidth="1"/>
    <col min="2" max="2" width="16.85546875" style="5" customWidth="1"/>
    <col min="3" max="3" width="11.5703125" style="1" customWidth="1"/>
    <col min="4" max="4" width="10.140625" style="1" customWidth="1"/>
    <col min="5" max="5" width="10.28515625" style="52" customWidth="1"/>
    <col min="6" max="8" width="13" style="1" customWidth="1"/>
    <col min="9" max="9" width="15.5703125" style="1" bestFit="1" customWidth="1"/>
    <col min="10" max="10" width="16" style="1" customWidth="1"/>
    <col min="11" max="12" width="8.42578125" style="1" customWidth="1"/>
    <col min="13" max="13" width="21.140625" style="1" customWidth="1"/>
    <col min="14" max="14" width="18" style="1" customWidth="1"/>
    <col min="15" max="15" width="21.140625" style="1" customWidth="1"/>
    <col min="16" max="16" width="4.85546875" style="1" customWidth="1"/>
    <col min="17" max="17" width="44.42578125" customWidth="1"/>
    <col min="18" max="18" width="20.42578125" customWidth="1"/>
    <col min="19" max="25" width="12.5703125" customWidth="1"/>
    <col min="26" max="26" width="42.42578125" bestFit="1" customWidth="1"/>
    <col min="27" max="27" width="15.5703125" bestFit="1" customWidth="1"/>
    <col min="28" max="28" width="26.140625" bestFit="1" customWidth="1"/>
    <col min="29" max="29" width="23" bestFit="1" customWidth="1"/>
    <col min="32" max="32" width="40.5703125" bestFit="1" customWidth="1"/>
    <col min="33" max="33" width="42.85546875" bestFit="1" customWidth="1"/>
  </cols>
  <sheetData>
    <row r="1" spans="1:30" x14ac:dyDescent="0.2">
      <c r="Z1" s="108" t="s">
        <v>59</v>
      </c>
      <c r="AA1" s="108"/>
      <c r="AB1" s="108"/>
      <c r="AC1" s="108"/>
      <c r="AD1" s="108"/>
    </row>
    <row r="2" spans="1:30" ht="38.25" x14ac:dyDescent="0.2">
      <c r="A2" s="103" t="s">
        <v>68</v>
      </c>
      <c r="B2" s="104" t="s">
        <v>50</v>
      </c>
      <c r="C2" s="105" t="s">
        <v>111</v>
      </c>
      <c r="D2" s="105" t="s">
        <v>90</v>
      </c>
      <c r="E2" s="106" t="s">
        <v>11</v>
      </c>
      <c r="F2" s="129" t="s">
        <v>110</v>
      </c>
      <c r="G2" s="129" t="s">
        <v>124</v>
      </c>
      <c r="H2" s="136" t="s">
        <v>125</v>
      </c>
      <c r="I2" s="105" t="s">
        <v>6</v>
      </c>
      <c r="J2" s="107" t="s">
        <v>112</v>
      </c>
      <c r="K2" s="105" t="s">
        <v>113</v>
      </c>
      <c r="L2" s="105" t="s">
        <v>114</v>
      </c>
      <c r="M2" s="125" t="s">
        <v>115</v>
      </c>
      <c r="N2" s="125" t="s">
        <v>116</v>
      </c>
      <c r="O2" s="125" t="s">
        <v>117</v>
      </c>
      <c r="P2"/>
      <c r="Q2" t="s">
        <v>12</v>
      </c>
      <c r="Z2" s="108" t="s">
        <v>60</v>
      </c>
      <c r="AA2" s="108"/>
      <c r="AB2" s="108"/>
      <c r="AC2" s="108"/>
      <c r="AD2" s="108"/>
    </row>
    <row r="3" spans="1:30" ht="13.5" thickBot="1" x14ac:dyDescent="0.25">
      <c r="A3" s="43">
        <v>41670</v>
      </c>
      <c r="B3" s="44">
        <f>Inputs!D24</f>
        <v>35005917</v>
      </c>
      <c r="C3" s="44">
        <v>951.70000000000016</v>
      </c>
      <c r="D3" s="44">
        <v>31</v>
      </c>
      <c r="E3" s="109">
        <v>0</v>
      </c>
      <c r="F3" s="130">
        <v>0</v>
      </c>
      <c r="G3" s="137">
        <f>Inputs!G24+Inputs!I24+Inputs!L24</f>
        <v>13223</v>
      </c>
      <c r="H3" s="137">
        <v>0</v>
      </c>
      <c r="I3" s="44">
        <f>$R$18+$R$19*C3+$R$20*D3+$R$21*E3+$R$22*F3+$R$23*G3+$R$24*H3</f>
        <v>32389763.918823641</v>
      </c>
      <c r="J3" s="27">
        <f t="shared" ref="J3:J34" si="0">I3-B3</f>
        <v>-2616153.0811763592</v>
      </c>
      <c r="K3" s="36">
        <f t="shared" ref="K3:K34" si="1">J3/B3</f>
        <v>-7.473459647340075E-2</v>
      </c>
      <c r="L3" s="10">
        <f>ABS(K3)</f>
        <v>7.473459647340075E-2</v>
      </c>
      <c r="M3" s="135">
        <f>J3*J3</f>
        <v>6844256944148.5576</v>
      </c>
      <c r="N3" s="10"/>
      <c r="O3" s="10"/>
      <c r="P3" s="10"/>
      <c r="Z3" s="108" t="s">
        <v>61</v>
      </c>
      <c r="AA3" s="108"/>
      <c r="AB3" s="108"/>
      <c r="AC3" s="108"/>
      <c r="AD3" s="108"/>
    </row>
    <row r="4" spans="1:30" x14ac:dyDescent="0.2">
      <c r="A4" s="43">
        <v>41698</v>
      </c>
      <c r="B4" s="44">
        <f>Inputs!D25</f>
        <v>30863808</v>
      </c>
      <c r="C4" s="44">
        <v>855.49999999999989</v>
      </c>
      <c r="D4" s="44">
        <v>28</v>
      </c>
      <c r="E4" s="109">
        <v>0</v>
      </c>
      <c r="F4" s="130">
        <v>0</v>
      </c>
      <c r="G4" s="137">
        <f>Inputs!G25+Inputs!I25+Inputs!L25</f>
        <v>13219</v>
      </c>
      <c r="H4" s="137">
        <v>0</v>
      </c>
      <c r="I4" s="44">
        <f t="shared" ref="I4:I67" si="2">$R$18+$R$19*C4+$R$20*D4+$R$21*E4+$R$22*F4+$R$23*G4+$R$24*H4</f>
        <v>29567671.952145424</v>
      </c>
      <c r="J4" s="27">
        <f t="shared" si="0"/>
        <v>-1296136.0478545763</v>
      </c>
      <c r="K4" s="36">
        <f t="shared" si="1"/>
        <v>-4.1995337965249666E-2</v>
      </c>
      <c r="L4" s="10">
        <f t="shared" ref="L4:L66" si="3">ABS(K4)</f>
        <v>4.1995337965249666E-2</v>
      </c>
      <c r="M4" s="135">
        <f t="shared" ref="M4:M67" si="4">J4*J4</f>
        <v>1679968654548.0803</v>
      </c>
      <c r="N4" s="135">
        <f>J4-J3</f>
        <v>1320017.0333217829</v>
      </c>
      <c r="O4" s="135">
        <f>N4*N4</f>
        <v>1742444968259.6411</v>
      </c>
      <c r="P4" s="10"/>
      <c r="Q4" s="133" t="s">
        <v>13</v>
      </c>
      <c r="R4" s="133"/>
      <c r="Z4" s="108"/>
      <c r="AA4" s="108"/>
      <c r="AB4" s="108"/>
      <c r="AC4" s="108"/>
      <c r="AD4" s="108"/>
    </row>
    <row r="5" spans="1:30" x14ac:dyDescent="0.2">
      <c r="A5" s="43">
        <v>41729</v>
      </c>
      <c r="B5" s="44">
        <f>Inputs!D26</f>
        <v>32142987</v>
      </c>
      <c r="C5" s="44">
        <v>818.1999999999997</v>
      </c>
      <c r="D5" s="44">
        <v>31</v>
      </c>
      <c r="E5" s="109">
        <v>1</v>
      </c>
      <c r="F5" s="130">
        <v>0</v>
      </c>
      <c r="G5" s="137">
        <f>Inputs!G26+Inputs!I26+Inputs!L26</f>
        <v>13219</v>
      </c>
      <c r="H5" s="137">
        <v>0</v>
      </c>
      <c r="I5" s="44">
        <f t="shared" si="2"/>
        <v>29702431.463078961</v>
      </c>
      <c r="J5" s="27">
        <f t="shared" si="0"/>
        <v>-2440555.5369210392</v>
      </c>
      <c r="K5" s="36">
        <f t="shared" si="1"/>
        <v>-7.5928087732513444E-2</v>
      </c>
      <c r="L5" s="10">
        <f t="shared" si="3"/>
        <v>7.5928087732513444E-2</v>
      </c>
      <c r="M5" s="135">
        <f t="shared" si="4"/>
        <v>5956311328795.9424</v>
      </c>
      <c r="N5" s="135">
        <f t="shared" ref="N5:N68" si="5">J5-J4</f>
        <v>-1144419.489066463</v>
      </c>
      <c r="O5" s="135">
        <f t="shared" ref="O5:O68" si="6">N5*N5</f>
        <v>1309695966955.144</v>
      </c>
      <c r="P5" s="10"/>
      <c r="Q5" t="s">
        <v>14</v>
      </c>
      <c r="R5" s="40">
        <v>0.96046196215346324</v>
      </c>
      <c r="Z5" s="108" t="s">
        <v>58</v>
      </c>
      <c r="AA5" s="108"/>
      <c r="AB5" s="108"/>
      <c r="AC5" s="108"/>
      <c r="AD5" s="108"/>
    </row>
    <row r="6" spans="1:30" x14ac:dyDescent="0.2">
      <c r="A6" s="43">
        <v>41759</v>
      </c>
      <c r="B6" s="44">
        <f>Inputs!D27</f>
        <v>25688722</v>
      </c>
      <c r="C6" s="44">
        <v>448.19999999999993</v>
      </c>
      <c r="D6" s="44">
        <v>30</v>
      </c>
      <c r="E6" s="109">
        <v>1</v>
      </c>
      <c r="F6" s="130">
        <v>0</v>
      </c>
      <c r="G6" s="137">
        <f>Inputs!G27+Inputs!I27+Inputs!L27</f>
        <v>13228</v>
      </c>
      <c r="H6" s="137">
        <v>0</v>
      </c>
      <c r="I6" s="44">
        <f t="shared" si="2"/>
        <v>24666052.070272312</v>
      </c>
      <c r="J6" s="27">
        <f t="shared" si="0"/>
        <v>-1022669.9297276884</v>
      </c>
      <c r="K6" s="36">
        <f t="shared" si="1"/>
        <v>-3.9810074231317868E-2</v>
      </c>
      <c r="L6" s="10">
        <f t="shared" si="3"/>
        <v>3.9810074231317868E-2</v>
      </c>
      <c r="M6" s="135">
        <f t="shared" si="4"/>
        <v>1045853785169.2352</v>
      </c>
      <c r="N6" s="135">
        <f t="shared" si="5"/>
        <v>1417885.6071933508</v>
      </c>
      <c r="O6" s="135">
        <f t="shared" si="6"/>
        <v>2010399595086.0571</v>
      </c>
      <c r="P6" s="10"/>
      <c r="Q6" t="s">
        <v>15</v>
      </c>
      <c r="R6" s="40">
        <v>0.92248718074368075</v>
      </c>
      <c r="Z6" s="108" t="s">
        <v>62</v>
      </c>
      <c r="AA6" s="108"/>
      <c r="AB6" s="108"/>
      <c r="AC6" s="108"/>
      <c r="AD6" s="108"/>
    </row>
    <row r="7" spans="1:30" x14ac:dyDescent="0.2">
      <c r="A7" s="43">
        <v>41790</v>
      </c>
      <c r="B7" s="44">
        <f>Inputs!D28</f>
        <v>22896808</v>
      </c>
      <c r="C7" s="44">
        <v>207.99999999999994</v>
      </c>
      <c r="D7" s="44">
        <v>31</v>
      </c>
      <c r="E7" s="109">
        <v>1</v>
      </c>
      <c r="F7" s="130">
        <v>0</v>
      </c>
      <c r="G7" s="137">
        <f>Inputs!G28+Inputs!I28+Inputs!L28</f>
        <v>13222</v>
      </c>
      <c r="H7" s="137">
        <v>0</v>
      </c>
      <c r="I7" s="44">
        <f t="shared" si="2"/>
        <v>22290132.745262865</v>
      </c>
      <c r="J7" s="27">
        <f t="shared" si="0"/>
        <v>-606675.25473713502</v>
      </c>
      <c r="K7" s="36">
        <f t="shared" si="1"/>
        <v>-2.6496062452772241E-2</v>
      </c>
      <c r="L7" s="10">
        <f t="shared" si="3"/>
        <v>2.6496062452772241E-2</v>
      </c>
      <c r="M7" s="135">
        <f t="shared" si="4"/>
        <v>368054864710.36768</v>
      </c>
      <c r="N7" s="135">
        <f t="shared" si="5"/>
        <v>415994.67499055341</v>
      </c>
      <c r="O7" s="135">
        <f t="shared" si="6"/>
        <v>173051569620.49615</v>
      </c>
      <c r="P7" s="10"/>
      <c r="Q7" t="s">
        <v>16</v>
      </c>
      <c r="R7" s="40">
        <v>0.91876656541937751</v>
      </c>
      <c r="Z7" s="108"/>
      <c r="AA7" s="108"/>
      <c r="AB7" s="108"/>
      <c r="AC7" s="108"/>
      <c r="AD7" s="108"/>
    </row>
    <row r="8" spans="1:30" x14ac:dyDescent="0.2">
      <c r="A8" s="43">
        <v>41820</v>
      </c>
      <c r="B8" s="44">
        <f>Inputs!D29</f>
        <v>22467129</v>
      </c>
      <c r="C8" s="44">
        <v>42.2</v>
      </c>
      <c r="D8" s="44">
        <v>30</v>
      </c>
      <c r="E8" s="109">
        <v>0</v>
      </c>
      <c r="F8" s="130">
        <v>0</v>
      </c>
      <c r="G8" s="137">
        <f>Inputs!G29+Inputs!I29+Inputs!L29</f>
        <v>13245</v>
      </c>
      <c r="H8" s="137">
        <v>0</v>
      </c>
      <c r="I8" s="44">
        <f t="shared" si="2"/>
        <v>20811004.233346313</v>
      </c>
      <c r="J8" s="27">
        <f t="shared" si="0"/>
        <v>-1656124.7666536868</v>
      </c>
      <c r="K8" s="36">
        <f t="shared" si="1"/>
        <v>-7.3713235307176397E-2</v>
      </c>
      <c r="L8" s="10">
        <f t="shared" si="3"/>
        <v>7.3713235307176397E-2</v>
      </c>
      <c r="M8" s="135">
        <f t="shared" si="4"/>
        <v>2742749242723.7285</v>
      </c>
      <c r="N8" s="135">
        <f t="shared" si="5"/>
        <v>-1049449.5119165517</v>
      </c>
      <c r="O8" s="135">
        <f t="shared" si="6"/>
        <v>1101344278061.8887</v>
      </c>
      <c r="P8" s="10"/>
      <c r="Q8" t="s">
        <v>17</v>
      </c>
      <c r="R8">
        <v>926141.51718633494</v>
      </c>
      <c r="Z8" s="108"/>
      <c r="AA8" s="108"/>
      <c r="AB8" s="108"/>
      <c r="AC8" s="108"/>
      <c r="AD8" s="108"/>
    </row>
    <row r="9" spans="1:30" ht="13.5" thickBot="1" x14ac:dyDescent="0.25">
      <c r="A9" s="43">
        <v>41851</v>
      </c>
      <c r="B9" s="44">
        <f>Inputs!D30</f>
        <v>23174494</v>
      </c>
      <c r="C9" s="44">
        <v>48.1</v>
      </c>
      <c r="D9" s="44">
        <v>31</v>
      </c>
      <c r="E9" s="109">
        <v>0</v>
      </c>
      <c r="F9" s="130">
        <v>1</v>
      </c>
      <c r="G9" s="137">
        <f>Inputs!G30+Inputs!I30+Inputs!L30</f>
        <v>13246</v>
      </c>
      <c r="H9" s="137">
        <v>0</v>
      </c>
      <c r="I9" s="44">
        <f t="shared" si="2"/>
        <v>24358258.480223991</v>
      </c>
      <c r="J9" s="27">
        <f t="shared" si="0"/>
        <v>1183764.480223991</v>
      </c>
      <c r="K9" s="36">
        <f t="shared" si="1"/>
        <v>5.1080488757337741E-2</v>
      </c>
      <c r="L9" s="10">
        <f t="shared" si="3"/>
        <v>5.1080488757337741E-2</v>
      </c>
      <c r="M9" s="135">
        <f t="shared" si="4"/>
        <v>1401298344639.9756</v>
      </c>
      <c r="N9" s="135">
        <f t="shared" si="5"/>
        <v>2839889.2468776777</v>
      </c>
      <c r="O9" s="135">
        <f t="shared" si="6"/>
        <v>8064970934531.4639</v>
      </c>
      <c r="P9" s="10"/>
      <c r="Q9" s="131" t="s">
        <v>18</v>
      </c>
      <c r="R9" s="131">
        <v>132</v>
      </c>
      <c r="Z9" s="108"/>
      <c r="AA9" s="108"/>
      <c r="AB9" s="108"/>
      <c r="AC9" s="108"/>
      <c r="AD9" s="108"/>
    </row>
    <row r="10" spans="1:30" x14ac:dyDescent="0.2">
      <c r="A10" s="43">
        <v>41882</v>
      </c>
      <c r="B10" s="44">
        <f>Inputs!D31</f>
        <v>23391322</v>
      </c>
      <c r="C10" s="44">
        <v>55.7</v>
      </c>
      <c r="D10" s="44">
        <v>31</v>
      </c>
      <c r="E10" s="109">
        <v>0</v>
      </c>
      <c r="F10" s="130">
        <v>1</v>
      </c>
      <c r="G10" s="137">
        <f>Inputs!G31+Inputs!I31+Inputs!L31</f>
        <v>13249</v>
      </c>
      <c r="H10" s="137">
        <v>0</v>
      </c>
      <c r="I10" s="44">
        <f t="shared" si="2"/>
        <v>24453837.098502092</v>
      </c>
      <c r="J10" s="27">
        <f t="shared" si="0"/>
        <v>1062515.0985020921</v>
      </c>
      <c r="K10" s="36">
        <f t="shared" si="1"/>
        <v>4.5423473649847244E-2</v>
      </c>
      <c r="L10" s="10">
        <f t="shared" si="3"/>
        <v>4.5423473649847244E-2</v>
      </c>
      <c r="M10" s="135">
        <f t="shared" si="4"/>
        <v>1128938334544.9104</v>
      </c>
      <c r="N10" s="135">
        <f t="shared" si="5"/>
        <v>-121249.38172189891</v>
      </c>
      <c r="O10" s="135">
        <f t="shared" si="6"/>
        <v>14701412567.942755</v>
      </c>
      <c r="P10" s="10"/>
      <c r="Z10" s="108"/>
      <c r="AA10" s="108"/>
      <c r="AB10" s="108"/>
      <c r="AC10" s="108"/>
      <c r="AD10" s="108"/>
    </row>
    <row r="11" spans="1:30" ht="13.5" thickBot="1" x14ac:dyDescent="0.25">
      <c r="A11" s="43">
        <v>41912</v>
      </c>
      <c r="B11" s="44">
        <f>Inputs!D32</f>
        <v>22126761</v>
      </c>
      <c r="C11" s="44">
        <v>160.1</v>
      </c>
      <c r="D11" s="44">
        <v>30</v>
      </c>
      <c r="E11" s="109">
        <v>0</v>
      </c>
      <c r="F11" s="130">
        <v>0</v>
      </c>
      <c r="G11" s="137">
        <f>Inputs!G32+Inputs!I32+Inputs!L32</f>
        <v>13253</v>
      </c>
      <c r="H11" s="137">
        <v>0</v>
      </c>
      <c r="I11" s="44">
        <f t="shared" si="2"/>
        <v>22252379.562319919</v>
      </c>
      <c r="J11" s="27">
        <f t="shared" si="0"/>
        <v>125618.56231991947</v>
      </c>
      <c r="K11" s="36">
        <f t="shared" si="1"/>
        <v>5.67722326462149E-3</v>
      </c>
      <c r="L11" s="10">
        <f t="shared" si="3"/>
        <v>5.67722326462149E-3</v>
      </c>
      <c r="M11" s="135">
        <f t="shared" si="4"/>
        <v>15780023199.32349</v>
      </c>
      <c r="N11" s="135">
        <f t="shared" si="5"/>
        <v>-936896.5361821726</v>
      </c>
      <c r="O11" s="135">
        <f t="shared" si="6"/>
        <v>877775119510.15308</v>
      </c>
      <c r="P11" s="10"/>
      <c r="Q11" t="s">
        <v>19</v>
      </c>
    </row>
    <row r="12" spans="1:30" x14ac:dyDescent="0.2">
      <c r="A12" s="43">
        <v>41943</v>
      </c>
      <c r="B12" s="44">
        <f>Inputs!D33</f>
        <v>23838442</v>
      </c>
      <c r="C12" s="44">
        <v>313.89999999999998</v>
      </c>
      <c r="D12" s="44">
        <v>31</v>
      </c>
      <c r="E12" s="109">
        <v>1</v>
      </c>
      <c r="F12" s="130">
        <v>0</v>
      </c>
      <c r="G12" s="137">
        <f>Inputs!G33+Inputs!I33+Inputs!L33</f>
        <v>13272</v>
      </c>
      <c r="H12" s="137">
        <v>0</v>
      </c>
      <c r="I12" s="44">
        <f t="shared" si="2"/>
        <v>23630740.68773178</v>
      </c>
      <c r="J12" s="27">
        <f t="shared" si="0"/>
        <v>-207701.31226821989</v>
      </c>
      <c r="K12" s="36">
        <f t="shared" si="1"/>
        <v>-8.7128727736577698E-3</v>
      </c>
      <c r="L12" s="10">
        <f t="shared" si="3"/>
        <v>8.7128727736577698E-3</v>
      </c>
      <c r="M12" s="135">
        <f t="shared" si="4"/>
        <v>43139835117.94059</v>
      </c>
      <c r="N12" s="135">
        <f t="shared" si="5"/>
        <v>-333319.87458813936</v>
      </c>
      <c r="O12" s="135">
        <f t="shared" si="6"/>
        <v>111102138795.45294</v>
      </c>
      <c r="P12" s="10"/>
      <c r="Q12" s="132"/>
      <c r="R12" s="132" t="s">
        <v>23</v>
      </c>
      <c r="S12" s="132" t="s">
        <v>24</v>
      </c>
      <c r="T12" s="132" t="s">
        <v>25</v>
      </c>
      <c r="U12" s="132" t="s">
        <v>26</v>
      </c>
      <c r="V12" s="132" t="s">
        <v>27</v>
      </c>
    </row>
    <row r="13" spans="1:30" x14ac:dyDescent="0.2">
      <c r="A13" s="43">
        <v>41973</v>
      </c>
      <c r="B13" s="44">
        <f>Inputs!D34</f>
        <v>27733031</v>
      </c>
      <c r="C13" s="44">
        <v>541.09999999999991</v>
      </c>
      <c r="D13" s="44">
        <v>30</v>
      </c>
      <c r="E13" s="109">
        <v>1</v>
      </c>
      <c r="F13" s="130">
        <v>0</v>
      </c>
      <c r="G13" s="137">
        <f>Inputs!G34+Inputs!I34+Inputs!L34</f>
        <v>13265</v>
      </c>
      <c r="H13" s="137">
        <v>0</v>
      </c>
      <c r="I13" s="44">
        <f t="shared" si="2"/>
        <v>25834727.86094436</v>
      </c>
      <c r="J13" s="27">
        <f t="shared" si="0"/>
        <v>-1898303.1390556395</v>
      </c>
      <c r="K13" s="36">
        <f t="shared" si="1"/>
        <v>-6.844917668954538E-2</v>
      </c>
      <c r="L13" s="10">
        <f t="shared" si="3"/>
        <v>6.844917668954538E-2</v>
      </c>
      <c r="M13" s="135">
        <f t="shared" si="4"/>
        <v>3603554807748.4946</v>
      </c>
      <c r="N13" s="135">
        <f t="shared" si="5"/>
        <v>-1690601.8267874196</v>
      </c>
      <c r="O13" s="135">
        <f t="shared" si="6"/>
        <v>2858134536736.9604</v>
      </c>
      <c r="P13" s="10"/>
      <c r="Q13" t="s">
        <v>20</v>
      </c>
      <c r="R13">
        <v>6</v>
      </c>
      <c r="S13">
        <v>1276002502504058</v>
      </c>
      <c r="T13">
        <v>212667083750676.34</v>
      </c>
      <c r="U13">
        <v>247.93941333250126</v>
      </c>
      <c r="V13">
        <v>6.7331652328461838E-67</v>
      </c>
    </row>
    <row r="14" spans="1:30" x14ac:dyDescent="0.2">
      <c r="A14" s="43">
        <v>42004</v>
      </c>
      <c r="B14" s="44">
        <f>Inputs!D35</f>
        <v>29820236</v>
      </c>
      <c r="C14" s="44">
        <v>677.1</v>
      </c>
      <c r="D14" s="44">
        <v>31</v>
      </c>
      <c r="E14" s="109">
        <v>0</v>
      </c>
      <c r="F14" s="130">
        <v>0</v>
      </c>
      <c r="G14" s="137">
        <f>Inputs!G35+Inputs!I35+Inputs!L35</f>
        <v>13264</v>
      </c>
      <c r="H14" s="137">
        <v>0</v>
      </c>
      <c r="I14" s="44">
        <f t="shared" si="2"/>
        <v>29096650.374990307</v>
      </c>
      <c r="J14" s="27">
        <f t="shared" si="0"/>
        <v>-723585.62500969321</v>
      </c>
      <c r="K14" s="36">
        <f t="shared" si="1"/>
        <v>-2.4264919466421835E-2</v>
      </c>
      <c r="L14" s="10">
        <f t="shared" si="3"/>
        <v>2.4264919466421835E-2</v>
      </c>
      <c r="M14" s="135">
        <f t="shared" si="4"/>
        <v>523576156720.66833</v>
      </c>
      <c r="N14" s="135">
        <f t="shared" si="5"/>
        <v>1174717.5140459463</v>
      </c>
      <c r="O14" s="135">
        <f t="shared" si="6"/>
        <v>1379961237806.2881</v>
      </c>
      <c r="P14" s="10"/>
      <c r="Q14" t="s">
        <v>21</v>
      </c>
      <c r="R14">
        <v>125</v>
      </c>
      <c r="S14">
        <v>107217263732025.8</v>
      </c>
      <c r="T14">
        <v>857738109856.20642</v>
      </c>
    </row>
    <row r="15" spans="1:30" ht="13.5" thickBot="1" x14ac:dyDescent="0.25">
      <c r="A15" s="43">
        <v>42035</v>
      </c>
      <c r="B15" s="44">
        <f>Inputs!D36</f>
        <v>33934616</v>
      </c>
      <c r="C15" s="44">
        <v>951.40000000000009</v>
      </c>
      <c r="D15" s="44">
        <v>31</v>
      </c>
      <c r="E15" s="109">
        <v>0</v>
      </c>
      <c r="F15" s="130">
        <v>0</v>
      </c>
      <c r="G15" s="137">
        <f>Inputs!G36+Inputs!I36+Inputs!L36</f>
        <v>13303</v>
      </c>
      <c r="H15" s="137">
        <v>0</v>
      </c>
      <c r="I15" s="44">
        <f t="shared" si="2"/>
        <v>32471954.012612961</v>
      </c>
      <c r="J15" s="27">
        <f t="shared" si="0"/>
        <v>-1462661.9873870388</v>
      </c>
      <c r="K15" s="36">
        <f t="shared" si="1"/>
        <v>-4.3102358588263938E-2</v>
      </c>
      <c r="L15" s="10">
        <f t="shared" si="3"/>
        <v>4.3102358588263938E-2</v>
      </c>
      <c r="M15" s="135">
        <f t="shared" si="4"/>
        <v>2139380089347.002</v>
      </c>
      <c r="N15" s="135">
        <f t="shared" si="5"/>
        <v>-739076.36237734556</v>
      </c>
      <c r="O15" s="135">
        <f t="shared" si="6"/>
        <v>546233869424.92944</v>
      </c>
      <c r="P15" s="10"/>
      <c r="Q15" s="131" t="s">
        <v>5</v>
      </c>
      <c r="R15" s="131">
        <v>131</v>
      </c>
      <c r="S15" s="131">
        <v>1383219766236083.8</v>
      </c>
      <c r="T15" s="131"/>
      <c r="U15" s="131"/>
      <c r="V15" s="131"/>
    </row>
    <row r="16" spans="1:30" ht="13.5" thickBot="1" x14ac:dyDescent="0.25">
      <c r="A16" s="43">
        <v>42063</v>
      </c>
      <c r="B16" s="44">
        <f>Inputs!D37</f>
        <v>32617573</v>
      </c>
      <c r="C16" s="44">
        <v>1004.8</v>
      </c>
      <c r="D16" s="44">
        <v>28</v>
      </c>
      <c r="E16" s="109">
        <v>0</v>
      </c>
      <c r="F16" s="130">
        <v>0</v>
      </c>
      <c r="G16" s="137">
        <f>Inputs!G37+Inputs!I37+Inputs!L37</f>
        <v>13295</v>
      </c>
      <c r="H16" s="137">
        <v>0</v>
      </c>
      <c r="I16" s="44">
        <f t="shared" si="2"/>
        <v>31463599.467952389</v>
      </c>
      <c r="J16" s="27">
        <f t="shared" si="0"/>
        <v>-1153973.5320476107</v>
      </c>
      <c r="K16" s="36">
        <f t="shared" si="1"/>
        <v>-3.537889014757814E-2</v>
      </c>
      <c r="L16" s="10">
        <f t="shared" si="3"/>
        <v>3.537889014757814E-2</v>
      </c>
      <c r="M16" s="135">
        <f t="shared" si="4"/>
        <v>1331654912666.438</v>
      </c>
      <c r="N16" s="135">
        <f t="shared" si="5"/>
        <v>308688.45533942804</v>
      </c>
      <c r="O16" s="135">
        <f t="shared" si="6"/>
        <v>95288562459.842056</v>
      </c>
      <c r="P16" s="10"/>
    </row>
    <row r="17" spans="1:25" x14ac:dyDescent="0.2">
      <c r="A17" s="43">
        <v>42094</v>
      </c>
      <c r="B17" s="44">
        <f>Inputs!D38</f>
        <v>30305598</v>
      </c>
      <c r="C17" s="44">
        <v>749.6</v>
      </c>
      <c r="D17" s="44">
        <v>31</v>
      </c>
      <c r="E17" s="109">
        <v>1</v>
      </c>
      <c r="F17" s="130">
        <v>0</v>
      </c>
      <c r="G17" s="137">
        <f>Inputs!G38+Inputs!I38+Inputs!L38</f>
        <v>13290</v>
      </c>
      <c r="H17" s="137">
        <v>0</v>
      </c>
      <c r="I17" s="44">
        <f t="shared" si="2"/>
        <v>28944942.324254304</v>
      </c>
      <c r="J17" s="27">
        <f t="shared" si="0"/>
        <v>-1360655.6757456958</v>
      </c>
      <c r="K17" s="36">
        <f t="shared" si="1"/>
        <v>-4.4897832926632755E-2</v>
      </c>
      <c r="L17" s="10">
        <f t="shared" si="3"/>
        <v>4.4897832926632755E-2</v>
      </c>
      <c r="M17" s="135">
        <f t="shared" si="4"/>
        <v>1851383867938.9761</v>
      </c>
      <c r="N17" s="135">
        <f t="shared" si="5"/>
        <v>-206682.1436980851</v>
      </c>
      <c r="O17" s="135">
        <f t="shared" si="6"/>
        <v>42717508523.635895</v>
      </c>
      <c r="P17" s="10"/>
      <c r="Q17" s="132"/>
      <c r="R17" s="132" t="s">
        <v>101</v>
      </c>
      <c r="S17" s="132" t="s">
        <v>17</v>
      </c>
      <c r="T17" s="132" t="s">
        <v>102</v>
      </c>
      <c r="U17" s="132" t="s">
        <v>103</v>
      </c>
      <c r="V17" s="132" t="s">
        <v>104</v>
      </c>
      <c r="W17" s="132" t="s">
        <v>105</v>
      </c>
      <c r="X17" s="132" t="s">
        <v>106</v>
      </c>
      <c r="Y17" s="132" t="s">
        <v>107</v>
      </c>
    </row>
    <row r="18" spans="1:25" x14ac:dyDescent="0.2">
      <c r="A18" s="43">
        <v>42124</v>
      </c>
      <c r="B18" s="44">
        <f>Inputs!D39</f>
        <v>24419034</v>
      </c>
      <c r="C18" s="44">
        <v>411.6</v>
      </c>
      <c r="D18" s="44">
        <v>30</v>
      </c>
      <c r="E18" s="109">
        <v>1</v>
      </c>
      <c r="F18" s="130">
        <v>0</v>
      </c>
      <c r="G18" s="137">
        <f>Inputs!G39+Inputs!I39+Inputs!L39</f>
        <v>13284</v>
      </c>
      <c r="H18" s="137">
        <v>0</v>
      </c>
      <c r="I18" s="44">
        <f t="shared" si="2"/>
        <v>24281351.95971819</v>
      </c>
      <c r="J18" s="27">
        <f t="shared" si="0"/>
        <v>-137682.04028180987</v>
      </c>
      <c r="K18" s="36">
        <f t="shared" si="1"/>
        <v>-5.6383082263536657E-3</v>
      </c>
      <c r="L18" s="10">
        <f t="shared" si="3"/>
        <v>5.6383082263536657E-3</v>
      </c>
      <c r="M18" s="135">
        <f t="shared" si="4"/>
        <v>18956344216.161915</v>
      </c>
      <c r="N18" s="135">
        <f t="shared" si="5"/>
        <v>1222973.635463886</v>
      </c>
      <c r="O18" s="135">
        <f t="shared" si="6"/>
        <v>1495664513039.7539</v>
      </c>
      <c r="P18" s="10"/>
      <c r="Q18" t="s">
        <v>22</v>
      </c>
      <c r="R18" s="31">
        <v>-10400236.383089241</v>
      </c>
      <c r="S18">
        <v>4059614.2502390519</v>
      </c>
      <c r="T18">
        <v>-2.5618779869237129</v>
      </c>
      <c r="U18">
        <v>1.1598109809280865E-2</v>
      </c>
      <c r="V18">
        <v>-18434716.82069777</v>
      </c>
      <c r="W18">
        <v>-2365755.9454807127</v>
      </c>
      <c r="X18">
        <v>-18434716.82069777</v>
      </c>
      <c r="Y18">
        <v>-2365755.9454807127</v>
      </c>
    </row>
    <row r="19" spans="1:25" x14ac:dyDescent="0.2">
      <c r="A19" s="43">
        <v>42155</v>
      </c>
      <c r="B19" s="44">
        <f>Inputs!D40</f>
        <v>22122315</v>
      </c>
      <c r="C19" s="44">
        <v>178.8</v>
      </c>
      <c r="D19" s="44">
        <v>31</v>
      </c>
      <c r="E19" s="109">
        <v>1</v>
      </c>
      <c r="F19" s="130">
        <v>0</v>
      </c>
      <c r="G19" s="137">
        <f>Inputs!G40+Inputs!I40+Inputs!L40</f>
        <v>13286</v>
      </c>
      <c r="H19" s="137">
        <v>0</v>
      </c>
      <c r="I19" s="44">
        <f t="shared" si="2"/>
        <v>22003945.474788841</v>
      </c>
      <c r="J19" s="27">
        <f t="shared" si="0"/>
        <v>-118369.52521115914</v>
      </c>
      <c r="K19" s="36">
        <f t="shared" si="1"/>
        <v>-5.3506843750827674E-3</v>
      </c>
      <c r="L19" s="10">
        <f t="shared" si="3"/>
        <v>5.3506843750827674E-3</v>
      </c>
      <c r="M19" s="135">
        <f t="shared" si="4"/>
        <v>14011344498.715239</v>
      </c>
      <c r="N19" s="135">
        <f t="shared" si="5"/>
        <v>19312.515070650727</v>
      </c>
      <c r="O19" s="135">
        <f t="shared" si="6"/>
        <v>372973238.35411143</v>
      </c>
      <c r="P19" s="10"/>
      <c r="Q19" t="s">
        <v>111</v>
      </c>
      <c r="R19" s="31">
        <v>12152.601709443508</v>
      </c>
      <c r="S19">
        <v>335.88090209030179</v>
      </c>
      <c r="T19">
        <v>36.181282215850054</v>
      </c>
      <c r="U19">
        <v>4.3957763753676092E-68</v>
      </c>
      <c r="V19">
        <v>11487.851718221578</v>
      </c>
      <c r="W19">
        <v>12817.351700665438</v>
      </c>
      <c r="X19">
        <v>11487.851718221578</v>
      </c>
      <c r="Y19">
        <v>12817.351700665438</v>
      </c>
    </row>
    <row r="20" spans="1:25" x14ac:dyDescent="0.2">
      <c r="A20" s="43">
        <v>42185</v>
      </c>
      <c r="B20" s="44">
        <f>Inputs!D41</f>
        <v>21687054</v>
      </c>
      <c r="C20" s="44">
        <v>96.09999999999998</v>
      </c>
      <c r="D20" s="44">
        <v>30</v>
      </c>
      <c r="E20" s="109">
        <v>0</v>
      </c>
      <c r="F20" s="130">
        <v>0</v>
      </c>
      <c r="G20" s="137">
        <f>Inputs!G41+Inputs!I41+Inputs!L41</f>
        <v>13286</v>
      </c>
      <c r="H20" s="137">
        <v>0</v>
      </c>
      <c r="I20" s="44">
        <f t="shared" si="2"/>
        <v>21510020.351065174</v>
      </c>
      <c r="J20" s="27">
        <f t="shared" si="0"/>
        <v>-177033.64893482625</v>
      </c>
      <c r="K20" s="36">
        <f t="shared" si="1"/>
        <v>-8.1631026941154042E-3</v>
      </c>
      <c r="L20" s="10">
        <f t="shared" si="3"/>
        <v>8.1631026941154042E-3</v>
      </c>
      <c r="M20" s="135">
        <f t="shared" si="4"/>
        <v>31340912855.17931</v>
      </c>
      <c r="N20" s="135">
        <f t="shared" si="5"/>
        <v>-58664.123723667115</v>
      </c>
      <c r="O20" s="135">
        <f t="shared" si="6"/>
        <v>3441479412.2657228</v>
      </c>
      <c r="P20" s="10"/>
      <c r="Q20" t="s">
        <v>90</v>
      </c>
      <c r="R20" s="31">
        <v>549573.29617154668</v>
      </c>
      <c r="S20">
        <v>110709.62311132</v>
      </c>
      <c r="T20">
        <v>4.9640968935369187</v>
      </c>
      <c r="U20">
        <v>2.2099599489046274E-6</v>
      </c>
      <c r="V20">
        <v>330465.21192671102</v>
      </c>
      <c r="W20">
        <v>768681.38041638234</v>
      </c>
      <c r="X20">
        <v>330465.21192671102</v>
      </c>
      <c r="Y20">
        <v>768681.38041638234</v>
      </c>
    </row>
    <row r="21" spans="1:25" x14ac:dyDescent="0.2">
      <c r="A21" s="43">
        <v>42216</v>
      </c>
      <c r="B21" s="44">
        <f>Inputs!D42</f>
        <v>23793533</v>
      </c>
      <c r="C21" s="44">
        <v>43.000000000000007</v>
      </c>
      <c r="D21" s="44">
        <v>31</v>
      </c>
      <c r="E21" s="109">
        <v>0</v>
      </c>
      <c r="F21" s="130">
        <v>1</v>
      </c>
      <c r="G21" s="137">
        <f>Inputs!G42+Inputs!I42+Inputs!L42</f>
        <v>13337</v>
      </c>
      <c r="H21" s="137">
        <v>0</v>
      </c>
      <c r="I21" s="44">
        <f t="shared" si="2"/>
        <v>24393918.518524531</v>
      </c>
      <c r="J21" s="27">
        <f t="shared" si="0"/>
        <v>600385.51852453128</v>
      </c>
      <c r="K21" s="36">
        <f t="shared" si="1"/>
        <v>2.5233138707250045E-2</v>
      </c>
      <c r="L21" s="10">
        <f t="shared" si="3"/>
        <v>2.5233138707250045E-2</v>
      </c>
      <c r="M21" s="135">
        <f t="shared" si="4"/>
        <v>360462770853.97028</v>
      </c>
      <c r="N21" s="135">
        <f t="shared" si="5"/>
        <v>777419.16745935753</v>
      </c>
      <c r="O21" s="135">
        <f t="shared" si="6"/>
        <v>604380561933.20056</v>
      </c>
      <c r="P21" s="10"/>
      <c r="Q21" t="s">
        <v>11</v>
      </c>
      <c r="R21" s="31">
        <v>-1060668.333818859</v>
      </c>
      <c r="S21">
        <v>189337.58907796154</v>
      </c>
      <c r="T21">
        <v>-5.6019955624454409</v>
      </c>
      <c r="U21">
        <v>1.2847135450161905E-7</v>
      </c>
      <c r="V21">
        <v>-1435390.921183229</v>
      </c>
      <c r="W21">
        <v>-685945.74645448907</v>
      </c>
      <c r="X21">
        <v>-1435390.921183229</v>
      </c>
      <c r="Y21">
        <v>-685945.74645448907</v>
      </c>
    </row>
    <row r="22" spans="1:25" x14ac:dyDescent="0.2">
      <c r="A22" s="43">
        <v>42247</v>
      </c>
      <c r="B22" s="44">
        <f>Inputs!D43</f>
        <v>23664046</v>
      </c>
      <c r="C22" s="44">
        <v>50.399999999999991</v>
      </c>
      <c r="D22" s="44">
        <v>31</v>
      </c>
      <c r="E22" s="109">
        <v>0</v>
      </c>
      <c r="F22" s="130">
        <v>1</v>
      </c>
      <c r="G22" s="137">
        <f>Inputs!G43+Inputs!I43+Inputs!L43</f>
        <v>13308</v>
      </c>
      <c r="H22" s="137">
        <v>0</v>
      </c>
      <c r="I22" s="44">
        <f t="shared" si="2"/>
        <v>24452732.266739883</v>
      </c>
      <c r="J22" s="27">
        <f t="shared" si="0"/>
        <v>788686.26673988253</v>
      </c>
      <c r="K22" s="36">
        <f t="shared" si="1"/>
        <v>3.3328462374518815E-2</v>
      </c>
      <c r="L22" s="10">
        <f t="shared" si="3"/>
        <v>3.3328462374518815E-2</v>
      </c>
      <c r="M22" s="135">
        <f t="shared" si="4"/>
        <v>622026027344.09314</v>
      </c>
      <c r="N22" s="135">
        <f t="shared" si="5"/>
        <v>188300.74821535125</v>
      </c>
      <c r="O22" s="135">
        <f t="shared" si="6"/>
        <v>35457171778.461105</v>
      </c>
      <c r="P22" s="10"/>
      <c r="Q22" t="s">
        <v>110</v>
      </c>
      <c r="R22" s="31">
        <v>2924907.6521916362</v>
      </c>
      <c r="S22">
        <v>298890.42697218165</v>
      </c>
      <c r="T22">
        <v>9.785886024592763</v>
      </c>
      <c r="U22">
        <v>3.8997532706075582E-17</v>
      </c>
      <c r="V22">
        <v>2333366.402095018</v>
      </c>
      <c r="W22">
        <v>3516448.9022882544</v>
      </c>
      <c r="X22">
        <v>2333366.402095018</v>
      </c>
      <c r="Y22">
        <v>3516448.9022882544</v>
      </c>
    </row>
    <row r="23" spans="1:25" x14ac:dyDescent="0.2">
      <c r="A23" s="43">
        <v>42277</v>
      </c>
      <c r="B23" s="44">
        <f>Inputs!D44</f>
        <v>21503656</v>
      </c>
      <c r="C23" s="44">
        <v>84.300000000000011</v>
      </c>
      <c r="D23" s="44">
        <v>30</v>
      </c>
      <c r="E23" s="109">
        <v>0</v>
      </c>
      <c r="F23" s="130">
        <v>0</v>
      </c>
      <c r="G23" s="137">
        <f>Inputs!G44+Inputs!I44+Inputs!L44</f>
        <v>13313</v>
      </c>
      <c r="H23" s="137">
        <v>0</v>
      </c>
      <c r="I23" s="44">
        <f t="shared" si="2"/>
        <v>21395589.258470718</v>
      </c>
      <c r="J23" s="27">
        <f t="shared" si="0"/>
        <v>-108066.74152928218</v>
      </c>
      <c r="K23" s="36">
        <f t="shared" si="1"/>
        <v>-5.0255055014497155E-3</v>
      </c>
      <c r="L23" s="10">
        <f t="shared" si="3"/>
        <v>5.0255055014497155E-3</v>
      </c>
      <c r="M23" s="135">
        <f t="shared" si="4"/>
        <v>11678420624.756681</v>
      </c>
      <c r="N23" s="135">
        <f t="shared" si="5"/>
        <v>-896753.00826916471</v>
      </c>
      <c r="O23" s="135">
        <f t="shared" si="6"/>
        <v>804165957839.79663</v>
      </c>
      <c r="P23" s="10"/>
      <c r="Q23" t="s">
        <v>124</v>
      </c>
      <c r="R23" s="31">
        <v>1072.9484287769451</v>
      </c>
      <c r="S23">
        <v>172.30535684096671</v>
      </c>
      <c r="T23">
        <v>6.2270172468709033</v>
      </c>
      <c r="U23">
        <v>6.627195141149766E-9</v>
      </c>
      <c r="V23">
        <v>731.93474287011691</v>
      </c>
      <c r="W23">
        <v>1413.9621146837733</v>
      </c>
      <c r="X23">
        <v>731.93474287011691</v>
      </c>
      <c r="Y23">
        <v>1413.9621146837733</v>
      </c>
    </row>
    <row r="24" spans="1:25" ht="13.5" thickBot="1" x14ac:dyDescent="0.25">
      <c r="A24" s="43">
        <v>42308</v>
      </c>
      <c r="B24" s="44">
        <f>Inputs!D45</f>
        <v>24025252</v>
      </c>
      <c r="C24" s="44">
        <v>351.09999999999991</v>
      </c>
      <c r="D24" s="44">
        <v>31</v>
      </c>
      <c r="E24" s="109">
        <v>1</v>
      </c>
      <c r="F24" s="130">
        <v>0</v>
      </c>
      <c r="G24" s="137">
        <f>Inputs!G45+Inputs!I45+Inputs!L45</f>
        <v>13322</v>
      </c>
      <c r="H24" s="137">
        <v>0</v>
      </c>
      <c r="I24" s="44">
        <f t="shared" si="2"/>
        <v>24136464.892761923</v>
      </c>
      <c r="J24" s="27">
        <f t="shared" si="0"/>
        <v>111212.89276192337</v>
      </c>
      <c r="K24" s="36">
        <f t="shared" si="1"/>
        <v>4.6290000521918926E-3</v>
      </c>
      <c r="L24" s="10">
        <f t="shared" si="3"/>
        <v>4.6290000521918926E-3</v>
      </c>
      <c r="M24" s="135">
        <f t="shared" si="4"/>
        <v>12368307516.475069</v>
      </c>
      <c r="N24" s="135">
        <f t="shared" si="5"/>
        <v>219279.63429120556</v>
      </c>
      <c r="O24" s="135">
        <f t="shared" si="6"/>
        <v>48083558014.88485</v>
      </c>
      <c r="P24" s="10"/>
      <c r="Q24" s="131" t="s">
        <v>125</v>
      </c>
      <c r="R24" s="134">
        <v>-1359463.7771541732</v>
      </c>
      <c r="S24" s="131">
        <v>601115.13790883147</v>
      </c>
      <c r="T24" s="131">
        <v>-2.2615696917623747</v>
      </c>
      <c r="U24" s="131">
        <v>2.545177707801129E-2</v>
      </c>
      <c r="V24" s="131">
        <v>-2549145.2391291535</v>
      </c>
      <c r="W24" s="131">
        <v>-169782.31517919293</v>
      </c>
      <c r="X24" s="131">
        <v>-2549145.2391291535</v>
      </c>
      <c r="Y24" s="131">
        <v>-169782.31517919293</v>
      </c>
    </row>
    <row r="25" spans="1:25" x14ac:dyDescent="0.2">
      <c r="A25" s="43">
        <v>42338</v>
      </c>
      <c r="B25" s="44">
        <f>Inputs!D46</f>
        <v>24608541</v>
      </c>
      <c r="C25" s="44">
        <v>433.89999999999992</v>
      </c>
      <c r="D25" s="44">
        <v>30</v>
      </c>
      <c r="E25" s="109">
        <v>1</v>
      </c>
      <c r="F25" s="130">
        <v>0</v>
      </c>
      <c r="G25" s="137">
        <f>Inputs!G46+Inputs!I46+Inputs!L46</f>
        <v>13343</v>
      </c>
      <c r="H25" s="137">
        <v>0</v>
      </c>
      <c r="I25" s="44">
        <f t="shared" si="2"/>
        <v>24615658.935136616</v>
      </c>
      <c r="J25" s="27">
        <f t="shared" si="0"/>
        <v>7117.93513661623</v>
      </c>
      <c r="K25" s="36">
        <f t="shared" si="1"/>
        <v>2.8924653178813935E-4</v>
      </c>
      <c r="L25" s="10">
        <f t="shared" si="3"/>
        <v>2.8924653178813935E-4</v>
      </c>
      <c r="M25" s="135">
        <f t="shared" si="4"/>
        <v>50665000.609075911</v>
      </c>
      <c r="N25" s="135">
        <f t="shared" si="5"/>
        <v>-104094.95762530714</v>
      </c>
      <c r="O25" s="135">
        <f t="shared" si="6"/>
        <v>10835760203.01449</v>
      </c>
      <c r="P25" s="10"/>
    </row>
    <row r="26" spans="1:25" x14ac:dyDescent="0.2">
      <c r="A26" s="43">
        <v>42369</v>
      </c>
      <c r="B26" s="44">
        <f>Inputs!D47</f>
        <v>26280236</v>
      </c>
      <c r="C26" s="44">
        <v>514.79999999999995</v>
      </c>
      <c r="D26" s="44">
        <v>31</v>
      </c>
      <c r="E26" s="109">
        <v>0</v>
      </c>
      <c r="F26" s="130">
        <v>0</v>
      </c>
      <c r="G26" s="137">
        <f>Inputs!G47+Inputs!I47+Inputs!L47</f>
        <v>13345</v>
      </c>
      <c r="H26" s="137">
        <v>0</v>
      </c>
      <c r="I26" s="44">
        <f t="shared" si="2"/>
        <v>27211191.940278556</v>
      </c>
      <c r="J26" s="27">
        <f t="shared" si="0"/>
        <v>930955.9402785562</v>
      </c>
      <c r="K26" s="36">
        <f t="shared" si="1"/>
        <v>3.5424184938010306E-2</v>
      </c>
      <c r="L26" s="10">
        <f t="shared" si="3"/>
        <v>3.5424184938010306E-2</v>
      </c>
      <c r="M26" s="135">
        <f t="shared" si="4"/>
        <v>866678962739.93066</v>
      </c>
      <c r="N26" s="135">
        <f t="shared" si="5"/>
        <v>923838.00514193997</v>
      </c>
      <c r="O26" s="135">
        <f t="shared" si="6"/>
        <v>853476659744.63904</v>
      </c>
      <c r="P26" s="10"/>
      <c r="Q26" s="38" t="s">
        <v>51</v>
      </c>
      <c r="R26" s="147">
        <f>L135</f>
        <v>2.7707161497747126E-2</v>
      </c>
    </row>
    <row r="27" spans="1:25" x14ac:dyDescent="0.2">
      <c r="A27" s="43">
        <v>42400</v>
      </c>
      <c r="B27" s="44">
        <f>Inputs!D48</f>
        <v>30495180</v>
      </c>
      <c r="C27" s="44">
        <v>767.49999999999989</v>
      </c>
      <c r="D27" s="44">
        <v>31</v>
      </c>
      <c r="E27" s="109">
        <v>0</v>
      </c>
      <c r="F27" s="130">
        <v>0</v>
      </c>
      <c r="G27" s="137">
        <f>Inputs!G48+Inputs!I48+Inputs!L48</f>
        <v>13350</v>
      </c>
      <c r="H27" s="137">
        <v>0</v>
      </c>
      <c r="I27" s="44">
        <f t="shared" si="2"/>
        <v>30287519.134398814</v>
      </c>
      <c r="J27" s="27">
        <f t="shared" si="0"/>
        <v>-207660.86560118571</v>
      </c>
      <c r="K27" s="36">
        <f t="shared" si="1"/>
        <v>-6.8096291151974082E-3</v>
      </c>
      <c r="L27" s="10">
        <f t="shared" si="3"/>
        <v>6.8096291151974082E-3</v>
      </c>
      <c r="M27" s="135">
        <f t="shared" si="4"/>
        <v>43123035102.233711</v>
      </c>
      <c r="N27" s="135">
        <f t="shared" si="5"/>
        <v>-1138616.8058797419</v>
      </c>
      <c r="O27" s="135">
        <f t="shared" si="6"/>
        <v>1296448230631.7859</v>
      </c>
    </row>
    <row r="28" spans="1:25" x14ac:dyDescent="0.2">
      <c r="A28" s="43">
        <v>42429</v>
      </c>
      <c r="B28" s="44">
        <f>Inputs!D49</f>
        <v>29063252</v>
      </c>
      <c r="C28" s="44">
        <v>767.6999999999997</v>
      </c>
      <c r="D28" s="44">
        <v>29</v>
      </c>
      <c r="E28" s="109">
        <v>0</v>
      </c>
      <c r="F28" s="130">
        <v>0</v>
      </c>
      <c r="G28" s="137">
        <f>Inputs!G49+Inputs!I49+Inputs!L49</f>
        <v>13354</v>
      </c>
      <c r="H28" s="137">
        <v>0</v>
      </c>
      <c r="I28" s="44">
        <f t="shared" si="2"/>
        <v>29195094.856112719</v>
      </c>
      <c r="J28" s="27">
        <f t="shared" si="0"/>
        <v>131842.85611271858</v>
      </c>
      <c r="K28" s="36">
        <f t="shared" si="1"/>
        <v>4.5364110015189826E-3</v>
      </c>
      <c r="L28" s="10">
        <f t="shared" si="3"/>
        <v>4.5364110015189826E-3</v>
      </c>
      <c r="M28" s="135">
        <f t="shared" si="4"/>
        <v>17382538707.959015</v>
      </c>
      <c r="N28" s="135">
        <f t="shared" si="5"/>
        <v>339503.72171390429</v>
      </c>
      <c r="O28" s="135">
        <f t="shared" si="6"/>
        <v>115262777057.59216</v>
      </c>
      <c r="Q28" t="s">
        <v>118</v>
      </c>
      <c r="R28" s="31">
        <f>O135</f>
        <v>154271045859113.41</v>
      </c>
    </row>
    <row r="29" spans="1:25" x14ac:dyDescent="0.2">
      <c r="A29" s="43">
        <v>42460</v>
      </c>
      <c r="B29" s="44">
        <f>Inputs!D50</f>
        <v>27667287</v>
      </c>
      <c r="C29" s="44">
        <v>605.29999999999984</v>
      </c>
      <c r="D29" s="44">
        <v>31</v>
      </c>
      <c r="E29" s="109">
        <v>1</v>
      </c>
      <c r="F29" s="130">
        <v>0</v>
      </c>
      <c r="G29" s="137">
        <f>Inputs!G50+Inputs!I50+Inputs!L50</f>
        <v>13356</v>
      </c>
      <c r="H29" s="137">
        <v>0</v>
      </c>
      <c r="I29" s="44">
        <f t="shared" si="2"/>
        <v>27262136.493880883</v>
      </c>
      <c r="J29" s="27">
        <f t="shared" si="0"/>
        <v>-405150.50611911714</v>
      </c>
      <c r="K29" s="36">
        <f t="shared" si="1"/>
        <v>-1.4643665861387751E-2</v>
      </c>
      <c r="L29" s="10">
        <f t="shared" si="3"/>
        <v>1.4643665861387751E-2</v>
      </c>
      <c r="M29" s="135">
        <f t="shared" si="4"/>
        <v>164146932608.57678</v>
      </c>
      <c r="N29" s="135">
        <f t="shared" si="5"/>
        <v>-536993.36223183572</v>
      </c>
      <c r="O29" s="135">
        <f t="shared" si="6"/>
        <v>288361871081.05151</v>
      </c>
      <c r="Q29" t="s">
        <v>119</v>
      </c>
      <c r="R29" s="31">
        <f>M135</f>
        <v>107217263732025.86</v>
      </c>
    </row>
    <row r="30" spans="1:25" x14ac:dyDescent="0.2">
      <c r="A30" s="43">
        <v>42490</v>
      </c>
      <c r="B30" s="44">
        <f>Inputs!D51</f>
        <v>24587318</v>
      </c>
      <c r="C30" s="44">
        <v>476.99999999999983</v>
      </c>
      <c r="D30" s="44">
        <v>30</v>
      </c>
      <c r="E30" s="109">
        <v>1</v>
      </c>
      <c r="F30" s="130">
        <v>0</v>
      </c>
      <c r="G30" s="137">
        <f>Inputs!G51+Inputs!I51+Inputs!L51</f>
        <v>13358</v>
      </c>
      <c r="H30" s="137">
        <v>0</v>
      </c>
      <c r="I30" s="44">
        <f t="shared" si="2"/>
        <v>25155530.295245282</v>
      </c>
      <c r="J30" s="27">
        <f t="shared" si="0"/>
        <v>568212.29524528235</v>
      </c>
      <c r="K30" s="36">
        <f t="shared" si="1"/>
        <v>2.3109974631852173E-2</v>
      </c>
      <c r="L30" s="10">
        <f t="shared" si="3"/>
        <v>2.3109974631852173E-2</v>
      </c>
      <c r="M30" s="135">
        <f t="shared" si="4"/>
        <v>322865212467.91193</v>
      </c>
      <c r="N30" s="135">
        <f t="shared" si="5"/>
        <v>973362.80136439949</v>
      </c>
      <c r="O30" s="135">
        <f t="shared" si="6"/>
        <v>947435143079.95142</v>
      </c>
    </row>
    <row r="31" spans="1:25" x14ac:dyDescent="0.2">
      <c r="A31" s="43">
        <v>42521</v>
      </c>
      <c r="B31" s="44">
        <f>Inputs!D52</f>
        <v>21916797</v>
      </c>
      <c r="C31" s="44">
        <v>227.1</v>
      </c>
      <c r="D31" s="44">
        <v>31</v>
      </c>
      <c r="E31" s="109">
        <v>1</v>
      </c>
      <c r="F31" s="130">
        <v>0</v>
      </c>
      <c r="G31" s="137">
        <f>Inputs!G52+Inputs!I52+Inputs!L52</f>
        <v>13356</v>
      </c>
      <c r="H31" s="137">
        <v>0</v>
      </c>
      <c r="I31" s="44">
        <f t="shared" si="2"/>
        <v>22666022.52736935</v>
      </c>
      <c r="J31" s="27">
        <f t="shared" si="0"/>
        <v>749225.52736935019</v>
      </c>
      <c r="K31" s="36">
        <f t="shared" si="1"/>
        <v>3.4184991874923611E-2</v>
      </c>
      <c r="L31" s="10">
        <f t="shared" si="3"/>
        <v>3.4184991874923611E-2</v>
      </c>
      <c r="M31" s="135">
        <f t="shared" si="4"/>
        <v>561338890861.88086</v>
      </c>
      <c r="N31" s="135">
        <f t="shared" si="5"/>
        <v>181013.23212406784</v>
      </c>
      <c r="O31" s="135">
        <f t="shared" si="6"/>
        <v>32765790204.001667</v>
      </c>
      <c r="Q31" t="s">
        <v>120</v>
      </c>
      <c r="R31">
        <f>R28/R29</f>
        <v>1.4388638591327205</v>
      </c>
    </row>
    <row r="32" spans="1:25" x14ac:dyDescent="0.2">
      <c r="A32" s="43">
        <v>42551</v>
      </c>
      <c r="B32" s="44">
        <f>Inputs!D53</f>
        <v>22063036</v>
      </c>
      <c r="C32" s="44">
        <v>79.7</v>
      </c>
      <c r="D32" s="44">
        <v>30</v>
      </c>
      <c r="E32" s="109">
        <v>0</v>
      </c>
      <c r="F32" s="130">
        <v>0</v>
      </c>
      <c r="G32" s="137">
        <f>Inputs!G53+Inputs!I53+Inputs!L53</f>
        <v>13361</v>
      </c>
      <c r="H32" s="137">
        <v>0</v>
      </c>
      <c r="I32" s="44">
        <f t="shared" si="2"/>
        <v>21391188.815188572</v>
      </c>
      <c r="J32" s="27">
        <f t="shared" si="0"/>
        <v>-671847.18481142819</v>
      </c>
      <c r="K32" s="36">
        <f t="shared" si="1"/>
        <v>-3.045125724362813E-2</v>
      </c>
      <c r="L32" s="10">
        <f t="shared" si="3"/>
        <v>3.045125724362813E-2</v>
      </c>
      <c r="M32" s="135">
        <f t="shared" si="4"/>
        <v>451378639739.04132</v>
      </c>
      <c r="N32" s="135">
        <f t="shared" si="5"/>
        <v>-1421072.7121807784</v>
      </c>
      <c r="O32" s="135">
        <f t="shared" si="6"/>
        <v>2019447653304.8335</v>
      </c>
    </row>
    <row r="33" spans="1:18" x14ac:dyDescent="0.2">
      <c r="A33" s="43">
        <v>42582</v>
      </c>
      <c r="B33" s="44">
        <f>Inputs!D54</f>
        <v>24449967</v>
      </c>
      <c r="C33" s="44">
        <v>29.499999999999996</v>
      </c>
      <c r="D33" s="44">
        <v>31</v>
      </c>
      <c r="E33" s="109">
        <v>0</v>
      </c>
      <c r="F33" s="130">
        <v>1</v>
      </c>
      <c r="G33" s="137">
        <f>Inputs!G54+Inputs!I54+Inputs!L54</f>
        <v>13361</v>
      </c>
      <c r="H33" s="137">
        <v>0</v>
      </c>
      <c r="I33" s="44">
        <f t="shared" si="2"/>
        <v>24255609.157737687</v>
      </c>
      <c r="J33" s="27">
        <f t="shared" si="0"/>
        <v>-194357.84226231277</v>
      </c>
      <c r="K33" s="36">
        <f t="shared" si="1"/>
        <v>-7.9492067315392601E-3</v>
      </c>
      <c r="L33" s="10">
        <f t="shared" si="3"/>
        <v>7.9492067315392601E-3</v>
      </c>
      <c r="M33" s="135">
        <f t="shared" si="4"/>
        <v>37774970848.862053</v>
      </c>
      <c r="N33" s="135">
        <f t="shared" si="5"/>
        <v>477489.34254911542</v>
      </c>
      <c r="O33" s="135">
        <f t="shared" si="6"/>
        <v>227996072247.98648</v>
      </c>
      <c r="P33"/>
      <c r="R33" s="40"/>
    </row>
    <row r="34" spans="1:18" x14ac:dyDescent="0.2">
      <c r="A34" s="43">
        <v>42613</v>
      </c>
      <c r="B34" s="44">
        <f>Inputs!D55</f>
        <v>25086525</v>
      </c>
      <c r="C34" s="44">
        <v>14.100000000000001</v>
      </c>
      <c r="D34" s="44">
        <v>31</v>
      </c>
      <c r="E34" s="109">
        <v>0</v>
      </c>
      <c r="F34" s="130">
        <v>1</v>
      </c>
      <c r="G34" s="137">
        <f>Inputs!G55+Inputs!I55+Inputs!L55</f>
        <v>13361</v>
      </c>
      <c r="H34" s="137">
        <v>0</v>
      </c>
      <c r="I34" s="44">
        <f t="shared" si="2"/>
        <v>24068459.091412261</v>
      </c>
      <c r="J34" s="27">
        <f t="shared" si="0"/>
        <v>-1018065.9085877389</v>
      </c>
      <c r="K34" s="36">
        <f t="shared" si="1"/>
        <v>-4.058218141363696E-2</v>
      </c>
      <c r="L34" s="10">
        <f t="shared" si="3"/>
        <v>4.058218141363696E-2</v>
      </c>
      <c r="M34" s="135">
        <f t="shared" si="4"/>
        <v>1036458194228.5782</v>
      </c>
      <c r="N34" s="135">
        <f t="shared" si="5"/>
        <v>-823708.0663254261</v>
      </c>
      <c r="O34" s="135">
        <f t="shared" si="6"/>
        <v>678494978529.57251</v>
      </c>
      <c r="P34"/>
    </row>
    <row r="35" spans="1:18" x14ac:dyDescent="0.2">
      <c r="A35" s="43">
        <v>42643</v>
      </c>
      <c r="B35" s="44">
        <f>Inputs!D56</f>
        <v>21516383</v>
      </c>
      <c r="C35" s="44">
        <v>80.500000000000014</v>
      </c>
      <c r="D35" s="44">
        <v>30</v>
      </c>
      <c r="E35" s="109">
        <v>0</v>
      </c>
      <c r="F35" s="130">
        <v>0</v>
      </c>
      <c r="G35" s="137">
        <f>Inputs!G56+Inputs!I56+Inputs!L56</f>
        <v>13366</v>
      </c>
      <c r="H35" s="137">
        <v>0</v>
      </c>
      <c r="I35" s="44">
        <f t="shared" si="2"/>
        <v>21406275.638700008</v>
      </c>
      <c r="J35" s="27">
        <f t="shared" ref="J35:J66" si="7">I35-B35</f>
        <v>-110107.36129999161</v>
      </c>
      <c r="K35" s="36">
        <f t="shared" ref="K35:K66" si="8">J35/B35</f>
        <v>-5.1173731802409174E-3</v>
      </c>
      <c r="L35" s="10">
        <f t="shared" si="3"/>
        <v>5.1173731802409174E-3</v>
      </c>
      <c r="M35" s="135">
        <f t="shared" si="4"/>
        <v>12123631012.44689</v>
      </c>
      <c r="N35" s="135">
        <f t="shared" si="5"/>
        <v>907958.54728774726</v>
      </c>
      <c r="O35" s="135">
        <f t="shared" si="6"/>
        <v>824388723592.87634</v>
      </c>
      <c r="P35"/>
    </row>
    <row r="36" spans="1:18" x14ac:dyDescent="0.2">
      <c r="A36" s="43">
        <v>42674</v>
      </c>
      <c r="B36" s="44">
        <f>Inputs!D57</f>
        <v>22851618</v>
      </c>
      <c r="C36" s="44">
        <v>302.10000000000008</v>
      </c>
      <c r="D36" s="44">
        <v>31</v>
      </c>
      <c r="E36" s="109">
        <v>1</v>
      </c>
      <c r="F36" s="130">
        <v>0</v>
      </c>
      <c r="G36" s="137">
        <f>Inputs!G57+Inputs!I57+Inputs!L57</f>
        <v>13364</v>
      </c>
      <c r="H36" s="137">
        <v>0</v>
      </c>
      <c r="I36" s="44">
        <f t="shared" si="2"/>
        <v>23586051.243007828</v>
      </c>
      <c r="J36" s="27">
        <f t="shared" si="7"/>
        <v>734433.24300782755</v>
      </c>
      <c r="K36" s="36">
        <f t="shared" si="8"/>
        <v>3.2139222833491597E-2</v>
      </c>
      <c r="L36" s="10">
        <f t="shared" si="3"/>
        <v>3.2139222833491597E-2</v>
      </c>
      <c r="M36" s="135">
        <f t="shared" si="4"/>
        <v>539392188434.99469</v>
      </c>
      <c r="N36" s="135">
        <f t="shared" si="5"/>
        <v>844540.60430781916</v>
      </c>
      <c r="O36" s="135">
        <f t="shared" si="6"/>
        <v>713248832324.61633</v>
      </c>
      <c r="P36"/>
    </row>
    <row r="37" spans="1:18" x14ac:dyDescent="0.2">
      <c r="A37" s="43">
        <v>42704</v>
      </c>
      <c r="B37" s="44">
        <f>Inputs!D58</f>
        <v>24193372</v>
      </c>
      <c r="C37" s="44">
        <v>435.2000000000001</v>
      </c>
      <c r="D37" s="44">
        <v>30</v>
      </c>
      <c r="E37" s="109">
        <v>1</v>
      </c>
      <c r="F37" s="130">
        <v>0</v>
      </c>
      <c r="G37" s="137">
        <f>Inputs!G58+Inputs!I58+Inputs!L58</f>
        <v>13392</v>
      </c>
      <c r="H37" s="137">
        <v>0</v>
      </c>
      <c r="I37" s="44">
        <f t="shared" si="2"/>
        <v>24684031.790368967</v>
      </c>
      <c r="J37" s="27">
        <f t="shared" si="7"/>
        <v>490659.79036896676</v>
      </c>
      <c r="K37" s="36">
        <f t="shared" si="8"/>
        <v>2.0280752528790396E-2</v>
      </c>
      <c r="L37" s="10">
        <f t="shared" si="3"/>
        <v>2.0280752528790396E-2</v>
      </c>
      <c r="M37" s="135">
        <f t="shared" si="4"/>
        <v>240747029884.9184</v>
      </c>
      <c r="N37" s="135">
        <f t="shared" si="5"/>
        <v>-243773.45263886079</v>
      </c>
      <c r="O37" s="135">
        <f t="shared" si="6"/>
        <v>59425496211.470909</v>
      </c>
      <c r="P37"/>
    </row>
    <row r="38" spans="1:18" x14ac:dyDescent="0.2">
      <c r="A38" s="43">
        <v>42735</v>
      </c>
      <c r="B38" s="44">
        <f>Inputs!D59</f>
        <v>28341333</v>
      </c>
      <c r="C38" s="44">
        <v>713.7</v>
      </c>
      <c r="D38" s="44">
        <v>31</v>
      </c>
      <c r="E38" s="109">
        <v>0</v>
      </c>
      <c r="F38" s="130">
        <v>0</v>
      </c>
      <c r="G38" s="137">
        <f>Inputs!G59+Inputs!I59+Inputs!L59</f>
        <v>13406</v>
      </c>
      <c r="H38" s="137">
        <v>0</v>
      </c>
      <c r="I38" s="44">
        <f t="shared" si="2"/>
        <v>29693794.274442263</v>
      </c>
      <c r="J38" s="27">
        <f t="shared" si="7"/>
        <v>1352461.2744422629</v>
      </c>
      <c r="K38" s="36">
        <f t="shared" si="8"/>
        <v>4.7720453884164973E-2</v>
      </c>
      <c r="L38" s="10">
        <f t="shared" si="3"/>
        <v>4.7720453884164973E-2</v>
      </c>
      <c r="M38" s="135">
        <f t="shared" si="4"/>
        <v>1829151498865.99</v>
      </c>
      <c r="N38" s="135">
        <f t="shared" si="5"/>
        <v>861801.48407329619</v>
      </c>
      <c r="O38" s="135">
        <f t="shared" si="6"/>
        <v>742701797950.93579</v>
      </c>
      <c r="P38"/>
    </row>
    <row r="39" spans="1:18" x14ac:dyDescent="0.2">
      <c r="A39" s="43">
        <v>42766</v>
      </c>
      <c r="B39" s="44">
        <f>Inputs!D60</f>
        <v>29369246</v>
      </c>
      <c r="C39" s="44">
        <v>744</v>
      </c>
      <c r="D39" s="44">
        <v>31</v>
      </c>
      <c r="E39" s="109">
        <v>0</v>
      </c>
      <c r="F39" s="130">
        <v>0</v>
      </c>
      <c r="G39" s="137">
        <f>Inputs!G60+Inputs!I60+Inputs!L60</f>
        <v>13414</v>
      </c>
      <c r="H39" s="137">
        <v>0</v>
      </c>
      <c r="I39" s="44">
        <f t="shared" si="2"/>
        <v>30070601.693668619</v>
      </c>
      <c r="J39" s="27">
        <f t="shared" si="7"/>
        <v>701355.6936686188</v>
      </c>
      <c r="K39" s="36">
        <f t="shared" si="8"/>
        <v>2.3880616263305458E-2</v>
      </c>
      <c r="L39" s="10">
        <f t="shared" si="3"/>
        <v>2.3880616263305458E-2</v>
      </c>
      <c r="M39" s="135">
        <f t="shared" si="4"/>
        <v>491899809041.38947</v>
      </c>
      <c r="N39" s="135">
        <f t="shared" si="5"/>
        <v>-651105.58077364415</v>
      </c>
      <c r="O39" s="135">
        <f t="shared" si="6"/>
        <v>423938477314.58447</v>
      </c>
      <c r="P39"/>
    </row>
    <row r="40" spans="1:18" x14ac:dyDescent="0.2">
      <c r="A40" s="43">
        <v>42794</v>
      </c>
      <c r="B40" s="44">
        <f>Inputs!D61</f>
        <v>26144559</v>
      </c>
      <c r="C40" s="44">
        <v>648</v>
      </c>
      <c r="D40" s="44">
        <v>28</v>
      </c>
      <c r="E40" s="109">
        <v>0</v>
      </c>
      <c r="F40" s="130">
        <v>0</v>
      </c>
      <c r="G40" s="137">
        <f>Inputs!G61+Inputs!I61+Inputs!L61</f>
        <v>13414</v>
      </c>
      <c r="H40" s="137">
        <v>0</v>
      </c>
      <c r="I40" s="44">
        <f t="shared" si="2"/>
        <v>27255232.041047402</v>
      </c>
      <c r="J40" s="27">
        <f t="shared" si="7"/>
        <v>1110673.0410474017</v>
      </c>
      <c r="K40" s="36">
        <f t="shared" si="8"/>
        <v>4.2481995624688171E-2</v>
      </c>
      <c r="L40" s="10">
        <f t="shared" si="3"/>
        <v>4.2481995624688171E-2</v>
      </c>
      <c r="M40" s="135">
        <f t="shared" si="4"/>
        <v>1233594604109.4834</v>
      </c>
      <c r="N40" s="135">
        <f t="shared" si="5"/>
        <v>409317.34737878293</v>
      </c>
      <c r="O40" s="135">
        <f t="shared" si="6"/>
        <v>167540690865.20325</v>
      </c>
      <c r="P40"/>
    </row>
    <row r="41" spans="1:18" x14ac:dyDescent="0.2">
      <c r="A41" s="43">
        <v>42825</v>
      </c>
      <c r="B41" s="44">
        <f>Inputs!D62</f>
        <v>28985084</v>
      </c>
      <c r="C41" s="44">
        <v>715.59999999999991</v>
      </c>
      <c r="D41" s="44">
        <v>31</v>
      </c>
      <c r="E41" s="109">
        <v>1</v>
      </c>
      <c r="F41" s="130">
        <v>0</v>
      </c>
      <c r="G41" s="137">
        <f>Inputs!G62+Inputs!I62+Inputs!L62</f>
        <v>13412</v>
      </c>
      <c r="H41" s="137">
        <v>0</v>
      </c>
      <c r="I41" s="44">
        <f t="shared" si="2"/>
        <v>28662653.574444011</v>
      </c>
      <c r="J41" s="27">
        <f t="shared" si="7"/>
        <v>-322430.42555598915</v>
      </c>
      <c r="K41" s="36">
        <f t="shared" si="8"/>
        <v>-1.1124012114506521E-2</v>
      </c>
      <c r="L41" s="10">
        <f t="shared" si="3"/>
        <v>1.1124012114506521E-2</v>
      </c>
      <c r="M41" s="135">
        <f t="shared" si="4"/>
        <v>103961379324.21626</v>
      </c>
      <c r="N41" s="135">
        <f t="shared" si="5"/>
        <v>-1433103.4666033909</v>
      </c>
      <c r="O41" s="135">
        <f t="shared" si="6"/>
        <v>2053785545990.6563</v>
      </c>
      <c r="P41"/>
    </row>
    <row r="42" spans="1:18" x14ac:dyDescent="0.2">
      <c r="A42" s="43">
        <v>42855</v>
      </c>
      <c r="B42" s="44">
        <f>Inputs!D63</f>
        <v>22823269</v>
      </c>
      <c r="C42" s="44">
        <v>352.49999999999994</v>
      </c>
      <c r="D42" s="44">
        <v>30</v>
      </c>
      <c r="E42" s="109">
        <v>1</v>
      </c>
      <c r="F42" s="130">
        <v>0</v>
      </c>
      <c r="G42" s="137">
        <f>Inputs!G63+Inputs!I63+Inputs!L63</f>
        <v>13422</v>
      </c>
      <c r="H42" s="137">
        <v>0</v>
      </c>
      <c r="I42" s="44">
        <f t="shared" si="2"/>
        <v>23711200.081861295</v>
      </c>
      <c r="J42" s="27">
        <f t="shared" si="7"/>
        <v>887931.08186129481</v>
      </c>
      <c r="K42" s="36">
        <f t="shared" si="8"/>
        <v>3.890464077960501E-2</v>
      </c>
      <c r="L42" s="10">
        <f t="shared" si="3"/>
        <v>3.890464077960501E-2</v>
      </c>
      <c r="M42" s="135">
        <f t="shared" si="4"/>
        <v>788421606135.36938</v>
      </c>
      <c r="N42" s="135">
        <f t="shared" si="5"/>
        <v>1210361.507417284</v>
      </c>
      <c r="O42" s="135">
        <f t="shared" si="6"/>
        <v>1464974978637.4399</v>
      </c>
      <c r="P42"/>
    </row>
    <row r="43" spans="1:18" x14ac:dyDescent="0.2">
      <c r="A43" s="43">
        <v>42886</v>
      </c>
      <c r="B43" s="44">
        <f>Inputs!D64</f>
        <v>22196746</v>
      </c>
      <c r="C43" s="44">
        <v>238.09999999999994</v>
      </c>
      <c r="D43" s="44">
        <v>31</v>
      </c>
      <c r="E43" s="109">
        <v>1</v>
      </c>
      <c r="F43" s="130">
        <v>0</v>
      </c>
      <c r="G43" s="137">
        <f>Inputs!G64+Inputs!I64+Inputs!L64</f>
        <v>13437</v>
      </c>
      <c r="H43" s="137">
        <v>0</v>
      </c>
      <c r="I43" s="44">
        <f t="shared" si="2"/>
        <v>22886609.96890416</v>
      </c>
      <c r="J43" s="27">
        <f t="shared" si="7"/>
        <v>689863.96890415996</v>
      </c>
      <c r="K43" s="36">
        <f t="shared" si="8"/>
        <v>3.1079509082284403E-2</v>
      </c>
      <c r="L43" s="10">
        <f t="shared" si="3"/>
        <v>3.1079509082284403E-2</v>
      </c>
      <c r="M43" s="135">
        <f t="shared" si="4"/>
        <v>475912295592.19977</v>
      </c>
      <c r="N43" s="135">
        <f t="shared" si="5"/>
        <v>-198067.11295713484</v>
      </c>
      <c r="O43" s="135">
        <f t="shared" si="6"/>
        <v>39230581235.174416</v>
      </c>
      <c r="P43"/>
    </row>
    <row r="44" spans="1:18" x14ac:dyDescent="0.2">
      <c r="A44" s="43">
        <v>42916</v>
      </c>
      <c r="B44" s="44">
        <f>Inputs!D65</f>
        <v>21339393</v>
      </c>
      <c r="C44" s="44">
        <v>88.800000000000011</v>
      </c>
      <c r="D44" s="44">
        <v>30</v>
      </c>
      <c r="E44" s="109">
        <v>0</v>
      </c>
      <c r="F44" s="130">
        <v>0</v>
      </c>
      <c r="G44" s="137">
        <f>Inputs!G65+Inputs!I65+Inputs!L65</f>
        <v>13468</v>
      </c>
      <c r="H44" s="137">
        <v>0</v>
      </c>
      <c r="I44" s="44">
        <f t="shared" si="2"/>
        <v>21616582.972623639</v>
      </c>
      <c r="J44" s="27">
        <f t="shared" si="7"/>
        <v>277189.97262363881</v>
      </c>
      <c r="K44" s="36">
        <f t="shared" si="8"/>
        <v>1.2989590314196791E-2</v>
      </c>
      <c r="L44" s="10">
        <f t="shared" si="3"/>
        <v>1.2989590314196791E-2</v>
      </c>
      <c r="M44" s="135">
        <f t="shared" si="4"/>
        <v>76834280923.093628</v>
      </c>
      <c r="N44" s="135">
        <f t="shared" si="5"/>
        <v>-412673.99628052115</v>
      </c>
      <c r="O44" s="135">
        <f t="shared" si="6"/>
        <v>170299827206.13559</v>
      </c>
      <c r="P44"/>
    </row>
    <row r="45" spans="1:18" x14ac:dyDescent="0.2">
      <c r="A45" s="43">
        <v>42947</v>
      </c>
      <c r="B45" s="44">
        <f>Inputs!D66</f>
        <v>22953227</v>
      </c>
      <c r="C45" s="44">
        <v>21.899999999999995</v>
      </c>
      <c r="D45" s="44">
        <v>31</v>
      </c>
      <c r="E45" s="109">
        <v>0</v>
      </c>
      <c r="F45" s="130">
        <v>1</v>
      </c>
      <c r="G45" s="137">
        <f>Inputs!G66+Inputs!I66+Inputs!L66</f>
        <v>13466</v>
      </c>
      <c r="H45" s="137">
        <v>0</v>
      </c>
      <c r="I45" s="44">
        <f t="shared" si="2"/>
        <v>24275908.9697675</v>
      </c>
      <c r="J45" s="27">
        <f t="shared" si="7"/>
        <v>1322681.9697674997</v>
      </c>
      <c r="K45" s="36">
        <f t="shared" si="8"/>
        <v>5.76250986306849E-2</v>
      </c>
      <c r="L45" s="10">
        <f t="shared" si="3"/>
        <v>5.76250986306849E-2</v>
      </c>
      <c r="M45" s="135">
        <f t="shared" si="4"/>
        <v>1749487593148.033</v>
      </c>
      <c r="N45" s="135">
        <f t="shared" si="5"/>
        <v>1045491.9971438609</v>
      </c>
      <c r="O45" s="135">
        <f t="shared" si="6"/>
        <v>1093053516091.8589</v>
      </c>
      <c r="P45"/>
    </row>
    <row r="46" spans="1:18" x14ac:dyDescent="0.2">
      <c r="A46" s="43">
        <v>42978</v>
      </c>
      <c r="B46" s="44">
        <f>Inputs!D67</f>
        <v>22947367</v>
      </c>
      <c r="C46" s="44">
        <v>62.599999999999994</v>
      </c>
      <c r="D46" s="44">
        <v>31</v>
      </c>
      <c r="E46" s="109">
        <v>0</v>
      </c>
      <c r="F46" s="130">
        <v>1</v>
      </c>
      <c r="G46" s="137">
        <f>Inputs!G67+Inputs!I67+Inputs!L67</f>
        <v>13469</v>
      </c>
      <c r="H46" s="137">
        <v>0</v>
      </c>
      <c r="I46" s="44">
        <f t="shared" si="2"/>
        <v>24773738.704628177</v>
      </c>
      <c r="J46" s="27">
        <f t="shared" si="7"/>
        <v>1826371.704628177</v>
      </c>
      <c r="K46" s="36">
        <f t="shared" si="8"/>
        <v>7.9589597561592881E-2</v>
      </c>
      <c r="L46" s="10">
        <f t="shared" si="3"/>
        <v>7.9589597561592881E-2</v>
      </c>
      <c r="M46" s="135">
        <f t="shared" si="4"/>
        <v>3335633603466.4331</v>
      </c>
      <c r="N46" s="135">
        <f t="shared" si="5"/>
        <v>503689.73486067727</v>
      </c>
      <c r="O46" s="135">
        <f t="shared" si="6"/>
        <v>253703349004.01938</v>
      </c>
      <c r="P46"/>
    </row>
    <row r="47" spans="1:18" x14ac:dyDescent="0.2">
      <c r="A47" s="43">
        <v>43008</v>
      </c>
      <c r="B47" s="44">
        <f>Inputs!D68</f>
        <v>21826159</v>
      </c>
      <c r="C47" s="44">
        <v>121.9</v>
      </c>
      <c r="D47" s="44">
        <v>30</v>
      </c>
      <c r="E47" s="109">
        <v>0</v>
      </c>
      <c r="F47" s="130">
        <v>0</v>
      </c>
      <c r="G47" s="137">
        <f>Inputs!G68+Inputs!I68+Inputs!L68</f>
        <v>13463</v>
      </c>
      <c r="H47" s="137">
        <v>0</v>
      </c>
      <c r="I47" s="44">
        <f t="shared" si="2"/>
        <v>22013469.347062334</v>
      </c>
      <c r="J47" s="27">
        <f t="shared" si="7"/>
        <v>187310.34706233442</v>
      </c>
      <c r="K47" s="36">
        <f t="shared" si="8"/>
        <v>8.5819198450049969E-3</v>
      </c>
      <c r="L47" s="10">
        <f t="shared" si="3"/>
        <v>8.5819198450049969E-3</v>
      </c>
      <c r="M47" s="135">
        <f t="shared" si="4"/>
        <v>35085166116.612175</v>
      </c>
      <c r="N47" s="135">
        <f t="shared" si="5"/>
        <v>-1639061.3575658426</v>
      </c>
      <c r="O47" s="135">
        <f t="shared" si="6"/>
        <v>2686522133865.583</v>
      </c>
      <c r="P47"/>
    </row>
    <row r="48" spans="1:18" x14ac:dyDescent="0.2">
      <c r="A48" s="43">
        <v>43039</v>
      </c>
      <c r="B48" s="44">
        <f>Inputs!D69</f>
        <v>22377976</v>
      </c>
      <c r="C48" s="44">
        <v>243.79999999999998</v>
      </c>
      <c r="D48" s="44">
        <v>31</v>
      </c>
      <c r="E48" s="109">
        <v>1</v>
      </c>
      <c r="F48" s="130">
        <v>0</v>
      </c>
      <c r="G48" s="137">
        <f>Inputs!G69+Inputs!I69+Inputs!L69</f>
        <v>13474</v>
      </c>
      <c r="H48" s="137">
        <v>0</v>
      </c>
      <c r="I48" s="44">
        <f t="shared" si="2"/>
        <v>22995578.890512735</v>
      </c>
      <c r="J48" s="27">
        <f t="shared" si="7"/>
        <v>617602.89051273465</v>
      </c>
      <c r="K48" s="36">
        <f t="shared" si="8"/>
        <v>2.7598693041441042E-2</v>
      </c>
      <c r="L48" s="10">
        <f t="shared" si="3"/>
        <v>2.7598693041441042E-2</v>
      </c>
      <c r="M48" s="135">
        <f t="shared" si="4"/>
        <v>381433330369.68488</v>
      </c>
      <c r="N48" s="135">
        <f t="shared" si="5"/>
        <v>430292.54345040023</v>
      </c>
      <c r="O48" s="135">
        <f t="shared" si="6"/>
        <v>185151672949.01459</v>
      </c>
      <c r="P48"/>
    </row>
    <row r="49" spans="1:16" x14ac:dyDescent="0.2">
      <c r="A49" s="43">
        <v>43069</v>
      </c>
      <c r="B49" s="44">
        <f>Inputs!D70</f>
        <v>25903115</v>
      </c>
      <c r="C49" s="44">
        <v>421.5</v>
      </c>
      <c r="D49" s="44">
        <v>30</v>
      </c>
      <c r="E49" s="109">
        <v>1</v>
      </c>
      <c r="F49" s="130">
        <v>0</v>
      </c>
      <c r="G49" s="137">
        <f>Inputs!G70+Inputs!I70+Inputs!L70</f>
        <v>13483</v>
      </c>
      <c r="H49" s="137">
        <v>0</v>
      </c>
      <c r="I49" s="44">
        <f t="shared" si="2"/>
        <v>24615179.45396829</v>
      </c>
      <c r="J49" s="27">
        <f t="shared" si="7"/>
        <v>-1287935.5460317098</v>
      </c>
      <c r="K49" s="36">
        <f t="shared" si="8"/>
        <v>-4.972126117000638E-2</v>
      </c>
      <c r="L49" s="10">
        <f t="shared" si="3"/>
        <v>4.972126117000638E-2</v>
      </c>
      <c r="M49" s="135">
        <f t="shared" si="4"/>
        <v>1658777970731.9983</v>
      </c>
      <c r="N49" s="135">
        <f t="shared" si="5"/>
        <v>-1905538.4365444444</v>
      </c>
      <c r="O49" s="135">
        <f t="shared" si="6"/>
        <v>3631076733148.2456</v>
      </c>
      <c r="P49"/>
    </row>
    <row r="50" spans="1:16" x14ac:dyDescent="0.2">
      <c r="A50" s="43">
        <v>43100</v>
      </c>
      <c r="B50" s="44">
        <f>Inputs!D71</f>
        <v>30421258</v>
      </c>
      <c r="C50" s="44">
        <v>885.19999999999993</v>
      </c>
      <c r="D50" s="44">
        <v>31</v>
      </c>
      <c r="E50" s="109">
        <v>0</v>
      </c>
      <c r="F50" s="130">
        <v>0</v>
      </c>
      <c r="G50" s="137">
        <f>Inputs!G71+Inputs!I71+Inputs!L71</f>
        <v>13491</v>
      </c>
      <c r="H50" s="137">
        <v>0</v>
      </c>
      <c r="I50" s="44">
        <f t="shared" si="2"/>
        <v>31869166.084057868</v>
      </c>
      <c r="J50" s="27">
        <f t="shared" si="7"/>
        <v>1447908.0840578675</v>
      </c>
      <c r="K50" s="36">
        <f t="shared" si="8"/>
        <v>4.7595273149383485E-2</v>
      </c>
      <c r="L50" s="10">
        <f t="shared" si="3"/>
        <v>4.7595273149383485E-2</v>
      </c>
      <c r="M50" s="135">
        <f t="shared" si="4"/>
        <v>2096437819880.1248</v>
      </c>
      <c r="N50" s="135">
        <f t="shared" si="5"/>
        <v>2735843.6300895773</v>
      </c>
      <c r="O50" s="135">
        <f t="shared" si="6"/>
        <v>7484840368301.7158</v>
      </c>
      <c r="P50"/>
    </row>
    <row r="51" spans="1:16" x14ac:dyDescent="0.2">
      <c r="A51" s="43">
        <v>43131</v>
      </c>
      <c r="B51" s="44">
        <f>Inputs!D72</f>
        <v>32733608</v>
      </c>
      <c r="C51" s="44">
        <v>873.09999999999991</v>
      </c>
      <c r="D51" s="44">
        <v>31</v>
      </c>
      <c r="E51" s="109">
        <v>0</v>
      </c>
      <c r="F51" s="130">
        <v>0</v>
      </c>
      <c r="G51" s="137">
        <f>Inputs!G72+Inputs!I72+Inputs!L72</f>
        <v>13479</v>
      </c>
      <c r="H51" s="137">
        <v>0</v>
      </c>
      <c r="I51" s="44">
        <f t="shared" si="2"/>
        <v>31709244.222228277</v>
      </c>
      <c r="J51" s="27">
        <f t="shared" si="7"/>
        <v>-1024363.7777717225</v>
      </c>
      <c r="K51" s="36">
        <f t="shared" si="8"/>
        <v>-3.1293946508179682E-2</v>
      </c>
      <c r="L51" s="10">
        <f t="shared" si="3"/>
        <v>3.1293946508179682E-2</v>
      </c>
      <c r="M51" s="135">
        <f t="shared" si="4"/>
        <v>1049321149210.7549</v>
      </c>
      <c r="N51" s="135">
        <f t="shared" si="5"/>
        <v>-2472271.8618295901</v>
      </c>
      <c r="O51" s="135">
        <f t="shared" si="6"/>
        <v>6112128158794.3477</v>
      </c>
      <c r="P51"/>
    </row>
    <row r="52" spans="1:16" x14ac:dyDescent="0.2">
      <c r="A52" s="43">
        <v>43159</v>
      </c>
      <c r="B52" s="44">
        <f>Inputs!D73</f>
        <v>27371745</v>
      </c>
      <c r="C52" s="44">
        <v>701.30000000000007</v>
      </c>
      <c r="D52" s="44">
        <v>28</v>
      </c>
      <c r="E52" s="109">
        <v>0</v>
      </c>
      <c r="F52" s="130">
        <v>0</v>
      </c>
      <c r="G52" s="137">
        <f>Inputs!G73+Inputs!I73+Inputs!L73</f>
        <v>13547</v>
      </c>
      <c r="H52" s="137">
        <v>0</v>
      </c>
      <c r="I52" s="44">
        <f t="shared" si="2"/>
        <v>28045667.853188075</v>
      </c>
      <c r="J52" s="27">
        <f t="shared" si="7"/>
        <v>673922.85318807513</v>
      </c>
      <c r="K52" s="36">
        <f t="shared" si="8"/>
        <v>2.4621113969462857E-2</v>
      </c>
      <c r="L52" s="10">
        <f t="shared" si="3"/>
        <v>2.4621113969462857E-2</v>
      </c>
      <c r="M52" s="135">
        <f t="shared" si="4"/>
        <v>454172012049.15588</v>
      </c>
      <c r="N52" s="135">
        <f t="shared" si="5"/>
        <v>1698286.6309597977</v>
      </c>
      <c r="O52" s="135">
        <f t="shared" si="6"/>
        <v>2884177480896.7798</v>
      </c>
      <c r="P52"/>
    </row>
    <row r="53" spans="1:16" x14ac:dyDescent="0.2">
      <c r="A53" s="43">
        <v>43190</v>
      </c>
      <c r="B53" s="44">
        <f>Inputs!D74</f>
        <v>27619983</v>
      </c>
      <c r="C53" s="44">
        <v>658.80000000000007</v>
      </c>
      <c r="D53" s="44">
        <v>31</v>
      </c>
      <c r="E53" s="109">
        <v>1</v>
      </c>
      <c r="F53" s="130">
        <v>0</v>
      </c>
      <c r="G53" s="137">
        <f>Inputs!G74+Inputs!I74+Inputs!L74</f>
        <v>13545</v>
      </c>
      <c r="H53" s="137">
        <v>0</v>
      </c>
      <c r="I53" s="44">
        <f t="shared" si="2"/>
        <v>28115087.938374955</v>
      </c>
      <c r="J53" s="27">
        <f t="shared" si="7"/>
        <v>495104.93837495521</v>
      </c>
      <c r="K53" s="36">
        <f t="shared" si="8"/>
        <v>1.7925606195157876E-2</v>
      </c>
      <c r="L53" s="10">
        <f t="shared" si="3"/>
        <v>1.7925606195157876E-2</v>
      </c>
      <c r="M53" s="135">
        <f t="shared" si="4"/>
        <v>245128900003.26819</v>
      </c>
      <c r="N53" s="135">
        <f t="shared" si="5"/>
        <v>-178817.91481311992</v>
      </c>
      <c r="O53" s="135">
        <f t="shared" si="6"/>
        <v>31975846658.112213</v>
      </c>
      <c r="P53"/>
    </row>
    <row r="54" spans="1:16" x14ac:dyDescent="0.2">
      <c r="A54" s="43">
        <v>43220</v>
      </c>
      <c r="B54" s="44">
        <f>Inputs!D75</f>
        <v>25333746</v>
      </c>
      <c r="C54" s="44">
        <v>545.29999999999995</v>
      </c>
      <c r="D54" s="44">
        <v>30</v>
      </c>
      <c r="E54" s="109">
        <v>1</v>
      </c>
      <c r="F54" s="130">
        <v>0</v>
      </c>
      <c r="G54" s="137">
        <f>Inputs!G75+Inputs!I75+Inputs!L75</f>
        <v>13570</v>
      </c>
      <c r="H54" s="137">
        <v>0</v>
      </c>
      <c r="I54" s="44">
        <f t="shared" si="2"/>
        <v>26213018.05890099</v>
      </c>
      <c r="J54" s="27">
        <f t="shared" si="7"/>
        <v>879272.05890098959</v>
      </c>
      <c r="K54" s="36">
        <f t="shared" si="8"/>
        <v>3.4707542220601309E-2</v>
      </c>
      <c r="L54" s="10">
        <f t="shared" si="3"/>
        <v>3.4707542220601309E-2</v>
      </c>
      <c r="M54" s="135">
        <f t="shared" si="4"/>
        <v>773119353563.98535</v>
      </c>
      <c r="N54" s="135">
        <f t="shared" si="5"/>
        <v>384167.12052603438</v>
      </c>
      <c r="O54" s="135">
        <f t="shared" si="6"/>
        <v>147584376493.26462</v>
      </c>
      <c r="P54"/>
    </row>
    <row r="55" spans="1:16" x14ac:dyDescent="0.2">
      <c r="A55" s="43">
        <v>43251</v>
      </c>
      <c r="B55" s="44">
        <f>Inputs!D76</f>
        <v>21970207</v>
      </c>
      <c r="C55" s="44">
        <v>149.80000000000001</v>
      </c>
      <c r="D55" s="44">
        <v>31</v>
      </c>
      <c r="E55" s="109">
        <v>1</v>
      </c>
      <c r="F55" s="130">
        <v>0</v>
      </c>
      <c r="G55" s="137">
        <f>Inputs!G76+Inputs!I76+Inputs!L76</f>
        <v>13573</v>
      </c>
      <c r="H55" s="137">
        <v>0</v>
      </c>
      <c r="I55" s="44">
        <f t="shared" si="2"/>
        <v>21959456.224273965</v>
      </c>
      <c r="J55" s="27">
        <f t="shared" si="7"/>
        <v>-10750.775726035237</v>
      </c>
      <c r="K55" s="36">
        <f t="shared" si="8"/>
        <v>-4.8933429375677879E-4</v>
      </c>
      <c r="L55" s="10">
        <f t="shared" si="3"/>
        <v>4.8933429375677879E-4</v>
      </c>
      <c r="M55" s="135">
        <f t="shared" si="4"/>
        <v>115579178.71150848</v>
      </c>
      <c r="N55" s="135">
        <f t="shared" si="5"/>
        <v>-890022.83462702483</v>
      </c>
      <c r="O55" s="135">
        <f t="shared" si="6"/>
        <v>792140646157.52441</v>
      </c>
      <c r="P55"/>
    </row>
    <row r="56" spans="1:16" x14ac:dyDescent="0.2">
      <c r="A56" s="43">
        <v>43281</v>
      </c>
      <c r="B56" s="44">
        <f>Inputs!D77</f>
        <v>22053298</v>
      </c>
      <c r="C56" s="44">
        <v>86.499999999999986</v>
      </c>
      <c r="D56" s="44">
        <v>30</v>
      </c>
      <c r="E56" s="109">
        <v>0</v>
      </c>
      <c r="F56" s="130">
        <v>0</v>
      </c>
      <c r="G56" s="137">
        <f>Inputs!G77+Inputs!I77+Inputs!L77</f>
        <v>13581</v>
      </c>
      <c r="H56" s="137">
        <v>0</v>
      </c>
      <c r="I56" s="44">
        <f t="shared" si="2"/>
        <v>21709875.161143713</v>
      </c>
      <c r="J56" s="27">
        <f t="shared" si="7"/>
        <v>-343422.8388562873</v>
      </c>
      <c r="K56" s="36">
        <f t="shared" si="8"/>
        <v>-1.5572402769703076E-2</v>
      </c>
      <c r="L56" s="10">
        <f t="shared" si="3"/>
        <v>1.5572402769703076E-2</v>
      </c>
      <c r="M56" s="135">
        <f t="shared" si="4"/>
        <v>117939246248.11148</v>
      </c>
      <c r="N56" s="135">
        <f t="shared" si="5"/>
        <v>-332672.06313025206</v>
      </c>
      <c r="O56" s="135">
        <f t="shared" si="6"/>
        <v>110670701587.33841</v>
      </c>
      <c r="P56"/>
    </row>
    <row r="57" spans="1:16" x14ac:dyDescent="0.2">
      <c r="A57" s="43">
        <v>43312</v>
      </c>
      <c r="B57" s="44">
        <f>Inputs!D78</f>
        <v>25386186</v>
      </c>
      <c r="C57" s="44">
        <v>15.6</v>
      </c>
      <c r="D57" s="44">
        <v>31</v>
      </c>
      <c r="E57" s="109">
        <v>0</v>
      </c>
      <c r="F57" s="130">
        <v>1</v>
      </c>
      <c r="G57" s="137">
        <f>Inputs!G78+Inputs!I78+Inputs!L78</f>
        <v>13593</v>
      </c>
      <c r="H57" s="137">
        <v>0</v>
      </c>
      <c r="I57" s="44">
        <f t="shared" si="2"/>
        <v>24335612.029452674</v>
      </c>
      <c r="J57" s="27">
        <f t="shared" si="7"/>
        <v>-1050573.9705473259</v>
      </c>
      <c r="K57" s="36">
        <f t="shared" si="8"/>
        <v>-4.1383686803024525E-2</v>
      </c>
      <c r="L57" s="10">
        <f t="shared" si="3"/>
        <v>4.1383686803024525E-2</v>
      </c>
      <c r="M57" s="135">
        <f t="shared" si="4"/>
        <v>1103705667591.5735</v>
      </c>
      <c r="N57" s="135">
        <f t="shared" si="5"/>
        <v>-707151.13169103861</v>
      </c>
      <c r="O57" s="135">
        <f t="shared" si="6"/>
        <v>500062723051.91663</v>
      </c>
      <c r="P57"/>
    </row>
    <row r="58" spans="1:16" x14ac:dyDescent="0.2">
      <c r="A58" s="43">
        <v>43343</v>
      </c>
      <c r="B58" s="44">
        <f>Inputs!D79</f>
        <v>24965359</v>
      </c>
      <c r="C58" s="44">
        <v>13.7</v>
      </c>
      <c r="D58" s="44">
        <v>31</v>
      </c>
      <c r="E58" s="109">
        <v>0</v>
      </c>
      <c r="F58" s="130">
        <v>1</v>
      </c>
      <c r="G58" s="137">
        <f>Inputs!G79+Inputs!I79+Inputs!L79</f>
        <v>13615</v>
      </c>
      <c r="H58" s="137">
        <v>0</v>
      </c>
      <c r="I58" s="44">
        <f t="shared" si="2"/>
        <v>24336126.951637827</v>
      </c>
      <c r="J58" s="27">
        <f t="shared" si="7"/>
        <v>-629232.04836217314</v>
      </c>
      <c r="K58" s="36">
        <f t="shared" si="8"/>
        <v>-2.5204205890336812E-2</v>
      </c>
      <c r="L58" s="10">
        <f t="shared" si="3"/>
        <v>2.5204205890336812E-2</v>
      </c>
      <c r="M58" s="135">
        <f t="shared" si="4"/>
        <v>395932970686.05621</v>
      </c>
      <c r="N58" s="135">
        <f t="shared" si="5"/>
        <v>421341.92218515277</v>
      </c>
      <c r="O58" s="135">
        <f t="shared" si="6"/>
        <v>177529015390.67932</v>
      </c>
      <c r="P58"/>
    </row>
    <row r="59" spans="1:16" x14ac:dyDescent="0.2">
      <c r="A59" s="43">
        <v>43373</v>
      </c>
      <c r="B59" s="44">
        <f>Inputs!D80</f>
        <v>22184261</v>
      </c>
      <c r="C59" s="44">
        <v>128.5</v>
      </c>
      <c r="D59" s="44">
        <v>30</v>
      </c>
      <c r="E59" s="109">
        <v>0</v>
      </c>
      <c r="F59" s="130">
        <v>0</v>
      </c>
      <c r="G59" s="137">
        <f>Inputs!G80+Inputs!I80+Inputs!L80</f>
        <v>13615</v>
      </c>
      <c r="H59" s="137">
        <v>0</v>
      </c>
      <c r="I59" s="44">
        <f t="shared" si="2"/>
        <v>22256764.679518759</v>
      </c>
      <c r="J59" s="27">
        <f t="shared" si="7"/>
        <v>72503.679518759251</v>
      </c>
      <c r="K59" s="36">
        <f t="shared" si="8"/>
        <v>3.2682485803227457E-3</v>
      </c>
      <c r="L59" s="10">
        <f t="shared" si="3"/>
        <v>3.2682485803227457E-3</v>
      </c>
      <c r="M59" s="135">
        <f t="shared" si="4"/>
        <v>5256783543.7589493</v>
      </c>
      <c r="N59" s="135">
        <f t="shared" si="5"/>
        <v>701735.72788093239</v>
      </c>
      <c r="O59" s="135">
        <f t="shared" si="6"/>
        <v>492433031784.58197</v>
      </c>
      <c r="P59"/>
    </row>
    <row r="60" spans="1:16" x14ac:dyDescent="0.2">
      <c r="A60" s="43">
        <v>43404</v>
      </c>
      <c r="B60" s="44">
        <f>Inputs!D81</f>
        <v>24204812</v>
      </c>
      <c r="C60" s="44">
        <v>380.4</v>
      </c>
      <c r="D60" s="44">
        <v>31</v>
      </c>
      <c r="E60" s="109">
        <v>1</v>
      </c>
      <c r="F60" s="130">
        <v>0</v>
      </c>
      <c r="G60" s="137">
        <f>Inputs!G81+Inputs!I81+Inputs!L81</f>
        <v>13624</v>
      </c>
      <c r="H60" s="137">
        <v>0</v>
      </c>
      <c r="I60" s="44">
        <f t="shared" si="2"/>
        <v>24816566.548339255</v>
      </c>
      <c r="J60" s="27">
        <f t="shared" si="7"/>
        <v>611754.54833925515</v>
      </c>
      <c r="K60" s="36">
        <f t="shared" si="8"/>
        <v>2.5274087992885677E-2</v>
      </c>
      <c r="L60" s="10">
        <f t="shared" si="3"/>
        <v>2.5274087992885677E-2</v>
      </c>
      <c r="M60" s="135">
        <f t="shared" si="4"/>
        <v>374243627413.76605</v>
      </c>
      <c r="N60" s="135">
        <f t="shared" si="5"/>
        <v>539250.8688204959</v>
      </c>
      <c r="O60" s="135">
        <f t="shared" si="6"/>
        <v>290791499523.65967</v>
      </c>
      <c r="P60"/>
    </row>
    <row r="61" spans="1:16" x14ac:dyDescent="0.2">
      <c r="A61" s="43">
        <v>43434</v>
      </c>
      <c r="B61" s="44">
        <f>Inputs!D82</f>
        <v>26802618</v>
      </c>
      <c r="C61" s="44">
        <v>599.29999999999995</v>
      </c>
      <c r="D61" s="44">
        <v>30</v>
      </c>
      <c r="E61" s="109">
        <v>1</v>
      </c>
      <c r="F61" s="130">
        <v>0</v>
      </c>
      <c r="G61" s="137">
        <f>Inputs!G82+Inputs!I82+Inputs!L82</f>
        <v>13634</v>
      </c>
      <c r="H61" s="137">
        <v>0</v>
      </c>
      <c r="I61" s="44">
        <f t="shared" si="2"/>
        <v>26937927.250652663</v>
      </c>
      <c r="J61" s="27">
        <f t="shared" si="7"/>
        <v>135309.25065266341</v>
      </c>
      <c r="K61" s="36">
        <f t="shared" si="8"/>
        <v>5.0483594793860592E-3</v>
      </c>
      <c r="L61" s="10">
        <f t="shared" si="3"/>
        <v>5.0483594793860592E-3</v>
      </c>
      <c r="M61" s="135">
        <f t="shared" si="4"/>
        <v>18308593312.185295</v>
      </c>
      <c r="N61" s="135">
        <f t="shared" si="5"/>
        <v>-476445.29768659174</v>
      </c>
      <c r="O61" s="135">
        <f t="shared" si="6"/>
        <v>227000121687.66504</v>
      </c>
      <c r="P61"/>
    </row>
    <row r="62" spans="1:16" x14ac:dyDescent="0.2">
      <c r="A62" s="43">
        <v>43465</v>
      </c>
      <c r="B62" s="44">
        <f>Inputs!D83</f>
        <v>28621650</v>
      </c>
      <c r="C62" s="44">
        <v>720.80000000000007</v>
      </c>
      <c r="D62" s="44">
        <v>31</v>
      </c>
      <c r="E62" s="109">
        <v>0</v>
      </c>
      <c r="F62" s="130">
        <v>0</v>
      </c>
      <c r="G62" s="137">
        <f>Inputs!G83+Inputs!I83+Inputs!L83</f>
        <v>13644</v>
      </c>
      <c r="H62" s="137">
        <v>0</v>
      </c>
      <c r="I62" s="44">
        <f t="shared" si="2"/>
        <v>30035439.472628228</v>
      </c>
      <c r="J62" s="27">
        <f t="shared" si="7"/>
        <v>1413789.4726282284</v>
      </c>
      <c r="K62" s="36">
        <f t="shared" si="8"/>
        <v>4.9395806063879208E-2</v>
      </c>
      <c r="L62" s="10">
        <f t="shared" si="3"/>
        <v>4.9395806063879208E-2</v>
      </c>
      <c r="M62" s="135">
        <f t="shared" si="4"/>
        <v>1998800672914.4041</v>
      </c>
      <c r="N62" s="135">
        <f t="shared" si="5"/>
        <v>1278480.221975565</v>
      </c>
      <c r="O62" s="135">
        <f t="shared" si="6"/>
        <v>1634511677982.6899</v>
      </c>
      <c r="P62"/>
    </row>
    <row r="63" spans="1:16" x14ac:dyDescent="0.2">
      <c r="A63" s="43">
        <v>43496</v>
      </c>
      <c r="B63" s="44">
        <f>Inputs!D84</f>
        <v>32743936.59</v>
      </c>
      <c r="C63" s="44">
        <v>909.60000000000014</v>
      </c>
      <c r="D63" s="44">
        <v>31</v>
      </c>
      <c r="E63" s="109">
        <v>0</v>
      </c>
      <c r="F63" s="130">
        <v>0</v>
      </c>
      <c r="G63" s="137">
        <f>Inputs!G84+Inputs!I84+Inputs!L84</f>
        <v>13661</v>
      </c>
      <c r="H63" s="137">
        <v>0</v>
      </c>
      <c r="I63" s="44">
        <f t="shared" si="2"/>
        <v>32348090.798660368</v>
      </c>
      <c r="J63" s="27">
        <f t="shared" si="7"/>
        <v>-395845.79133963212</v>
      </c>
      <c r="K63" s="36">
        <f t="shared" si="8"/>
        <v>-1.2089132601744759E-2</v>
      </c>
      <c r="L63" s="10">
        <f t="shared" si="3"/>
        <v>1.2089132601744759E-2</v>
      </c>
      <c r="M63" s="135">
        <f t="shared" si="4"/>
        <v>156693890521.29956</v>
      </c>
      <c r="N63" s="135">
        <f t="shared" si="5"/>
        <v>-1809635.2639678605</v>
      </c>
      <c r="O63" s="135">
        <f t="shared" si="6"/>
        <v>3274779788596.0283</v>
      </c>
      <c r="P63"/>
    </row>
    <row r="64" spans="1:16" x14ac:dyDescent="0.2">
      <c r="A64" s="43">
        <v>43524</v>
      </c>
      <c r="B64" s="44">
        <f>Inputs!D85</f>
        <v>28440395.719999999</v>
      </c>
      <c r="C64" s="44">
        <v>767.20000000000016</v>
      </c>
      <c r="D64" s="44">
        <v>28</v>
      </c>
      <c r="E64" s="109">
        <v>0</v>
      </c>
      <c r="F64" s="130">
        <v>0</v>
      </c>
      <c r="G64" s="137">
        <f>Inputs!G85+Inputs!I85+Inputs!L85</f>
        <v>13667</v>
      </c>
      <c r="H64" s="137">
        <v>0</v>
      </c>
      <c r="I64" s="44">
        <f t="shared" si="2"/>
        <v>28975278.117293634</v>
      </c>
      <c r="J64" s="27">
        <f t="shared" si="7"/>
        <v>534882.39729363471</v>
      </c>
      <c r="K64" s="36">
        <f t="shared" si="8"/>
        <v>1.8807136249426093E-2</v>
      </c>
      <c r="L64" s="10">
        <f t="shared" si="3"/>
        <v>1.8807136249426093E-2</v>
      </c>
      <c r="M64" s="135">
        <f t="shared" si="4"/>
        <v>286099178934.58569</v>
      </c>
      <c r="N64" s="135">
        <f t="shared" si="5"/>
        <v>930728.18863326684</v>
      </c>
      <c r="O64" s="135">
        <f t="shared" si="6"/>
        <v>866254961116.56189</v>
      </c>
      <c r="P64"/>
    </row>
    <row r="65" spans="1:16" x14ac:dyDescent="0.2">
      <c r="A65" s="43">
        <v>43555</v>
      </c>
      <c r="B65" s="44">
        <f>Inputs!D86</f>
        <v>29353455.600000001</v>
      </c>
      <c r="C65" s="44">
        <v>749.70000000000016</v>
      </c>
      <c r="D65" s="44">
        <v>31</v>
      </c>
      <c r="E65" s="109">
        <v>1</v>
      </c>
      <c r="F65" s="130">
        <v>0</v>
      </c>
      <c r="G65" s="137">
        <f>Inputs!G86+Inputs!I86+Inputs!L86</f>
        <v>13695</v>
      </c>
      <c r="H65" s="137">
        <v>0</v>
      </c>
      <c r="I65" s="44">
        <f t="shared" si="2"/>
        <v>29380701.698079914</v>
      </c>
      <c r="J65" s="27">
        <f t="shared" si="7"/>
        <v>27246.098079912364</v>
      </c>
      <c r="K65" s="36">
        <f t="shared" si="8"/>
        <v>9.282075150263522E-4</v>
      </c>
      <c r="L65" s="10">
        <f t="shared" si="3"/>
        <v>9.282075150263522E-4</v>
      </c>
      <c r="M65" s="135">
        <f t="shared" si="4"/>
        <v>742349860.58020425</v>
      </c>
      <c r="N65" s="135">
        <f t="shared" si="5"/>
        <v>-507636.29921372235</v>
      </c>
      <c r="O65" s="135">
        <f t="shared" si="6"/>
        <v>257694612279.40384</v>
      </c>
    </row>
    <row r="66" spans="1:16" x14ac:dyDescent="0.2">
      <c r="A66" s="43">
        <v>43585</v>
      </c>
      <c r="B66" s="44">
        <f>Inputs!D87</f>
        <v>24614385.100000001</v>
      </c>
      <c r="C66" s="44">
        <v>427.29999999999984</v>
      </c>
      <c r="D66" s="44">
        <v>30</v>
      </c>
      <c r="E66" s="109">
        <v>1</v>
      </c>
      <c r="F66" s="130">
        <v>0</v>
      </c>
      <c r="G66" s="137">
        <f>Inputs!G87+Inputs!I87+Inputs!L87</f>
        <v>13703</v>
      </c>
      <c r="H66" s="137">
        <v>0</v>
      </c>
      <c r="I66" s="44">
        <f t="shared" si="2"/>
        <v>24921713.198213987</v>
      </c>
      <c r="J66" s="27">
        <f t="shared" si="7"/>
        <v>307328.09821398556</v>
      </c>
      <c r="K66" s="36">
        <f t="shared" si="8"/>
        <v>1.2485710976139134E-2</v>
      </c>
      <c r="L66" s="10">
        <f t="shared" si="3"/>
        <v>1.2485710976139134E-2</v>
      </c>
      <c r="M66" s="135">
        <f t="shared" si="4"/>
        <v>94450559951.82515</v>
      </c>
      <c r="N66" s="135">
        <f t="shared" si="5"/>
        <v>280082.0001340732</v>
      </c>
      <c r="O66" s="135">
        <f t="shared" si="6"/>
        <v>78445926799.102982</v>
      </c>
    </row>
    <row r="67" spans="1:16" x14ac:dyDescent="0.2">
      <c r="A67" s="43">
        <v>43616</v>
      </c>
      <c r="B67" s="44">
        <f>Inputs!D88</f>
        <v>22757878</v>
      </c>
      <c r="C67" s="44">
        <v>275.60000000000014</v>
      </c>
      <c r="D67" s="44">
        <v>31</v>
      </c>
      <c r="E67" s="109">
        <v>1</v>
      </c>
      <c r="F67" s="130">
        <v>0</v>
      </c>
      <c r="G67" s="137">
        <f>Inputs!G88+Inputs!I88+Inputs!L88</f>
        <v>13708</v>
      </c>
      <c r="H67" s="137">
        <v>0</v>
      </c>
      <c r="I67" s="44">
        <f t="shared" si="2"/>
        <v>23633101.557206847</v>
      </c>
      <c r="J67" s="27">
        <f t="shared" ref="J67:J98" si="9">I67-B67</f>
        <v>875223.55720684677</v>
      </c>
      <c r="K67" s="36">
        <f t="shared" ref="K67:K98" si="10">J67/B67</f>
        <v>3.8458047679438598E-2</v>
      </c>
      <c r="L67" s="10">
        <f t="shared" ref="L67:L130" si="11">ABS(K67)</f>
        <v>3.8458047679438598E-2</v>
      </c>
      <c r="M67" s="135">
        <f t="shared" si="4"/>
        <v>766016275089.80664</v>
      </c>
      <c r="N67" s="135">
        <f t="shared" si="5"/>
        <v>567895.45899286121</v>
      </c>
      <c r="O67" s="135">
        <f t="shared" si="6"/>
        <v>322505252344.71252</v>
      </c>
    </row>
    <row r="68" spans="1:16" x14ac:dyDescent="0.2">
      <c r="A68" s="43">
        <v>43646</v>
      </c>
      <c r="B68" s="44">
        <f>Inputs!D89</f>
        <v>21375937</v>
      </c>
      <c r="C68" s="44">
        <v>116.70000000000002</v>
      </c>
      <c r="D68" s="44">
        <v>30</v>
      </c>
      <c r="E68" s="109">
        <v>0</v>
      </c>
      <c r="F68" s="130">
        <v>0</v>
      </c>
      <c r="G68" s="137">
        <f>Inputs!G89+Inputs!I89+Inputs!L89</f>
        <v>13714</v>
      </c>
      <c r="H68" s="137">
        <v>0</v>
      </c>
      <c r="I68" s="44">
        <f t="shared" ref="I68:I131" si="12">$R$18+$R$19*C68+$R$20*D68+$R$21*E68+$R$22*F68+$R$23*G68+$R$24*H68</f>
        <v>22219585.873796239</v>
      </c>
      <c r="J68" s="27">
        <f t="shared" si="9"/>
        <v>843648.8737962395</v>
      </c>
      <c r="K68" s="36">
        <f t="shared" si="10"/>
        <v>3.9467223064712412E-2</v>
      </c>
      <c r="L68" s="10">
        <f t="shared" si="11"/>
        <v>3.9467223064712412E-2</v>
      </c>
      <c r="M68" s="135">
        <f t="shared" ref="M68:M131" si="13">J68*J68</f>
        <v>711743422257.66321</v>
      </c>
      <c r="N68" s="135">
        <f t="shared" si="5"/>
        <v>-31574.683410607278</v>
      </c>
      <c r="O68" s="135">
        <f t="shared" si="6"/>
        <v>996960632.48007846</v>
      </c>
    </row>
    <row r="69" spans="1:16" x14ac:dyDescent="0.2">
      <c r="A69" s="43">
        <v>43677</v>
      </c>
      <c r="B69" s="44">
        <f>Inputs!D90</f>
        <v>25496655.219999999</v>
      </c>
      <c r="C69" s="44">
        <v>13.700000000000001</v>
      </c>
      <c r="D69" s="44">
        <v>31</v>
      </c>
      <c r="E69" s="109">
        <v>0</v>
      </c>
      <c r="F69" s="130">
        <v>1</v>
      </c>
      <c r="G69" s="137">
        <f>Inputs!G90+Inputs!I90+Inputs!L90</f>
        <v>13721</v>
      </c>
      <c r="H69" s="137">
        <v>0</v>
      </c>
      <c r="I69" s="44">
        <f t="shared" si="12"/>
        <v>24449859.485088184</v>
      </c>
      <c r="J69" s="27">
        <f t="shared" si="9"/>
        <v>-1046795.7349118143</v>
      </c>
      <c r="K69" s="36">
        <f t="shared" si="10"/>
        <v>-4.1056198386786452E-2</v>
      </c>
      <c r="L69" s="10">
        <f t="shared" si="11"/>
        <v>4.1056198386786452E-2</v>
      </c>
      <c r="M69" s="135">
        <f t="shared" si="13"/>
        <v>1095781310629.5654</v>
      </c>
      <c r="N69" s="135">
        <f t="shared" ref="N69:N132" si="14">J69-J68</f>
        <v>-1890444.6087080538</v>
      </c>
      <c r="O69" s="135">
        <f t="shared" ref="O69:O132" si="15">N69*N69</f>
        <v>3573780818593.3467</v>
      </c>
    </row>
    <row r="70" spans="1:16" x14ac:dyDescent="0.2">
      <c r="A70" s="43">
        <v>43708</v>
      </c>
      <c r="B70" s="44">
        <f>Inputs!D91</f>
        <v>23892941.600000001</v>
      </c>
      <c r="C70" s="44">
        <v>53.599999999999994</v>
      </c>
      <c r="D70" s="44">
        <v>31</v>
      </c>
      <c r="E70" s="109">
        <v>0</v>
      </c>
      <c r="F70" s="130">
        <v>1</v>
      </c>
      <c r="G70" s="137">
        <f>Inputs!G91+Inputs!I91+Inputs!L91</f>
        <v>13733</v>
      </c>
      <c r="H70" s="137">
        <v>0</v>
      </c>
      <c r="I70" s="44">
        <f t="shared" si="12"/>
        <v>24947623.674440302</v>
      </c>
      <c r="J70" s="27">
        <f t="shared" si="9"/>
        <v>1054682.0744403005</v>
      </c>
      <c r="K70" s="36">
        <f t="shared" si="10"/>
        <v>4.4141993568523198E-2</v>
      </c>
      <c r="L70" s="10">
        <f t="shared" si="11"/>
        <v>4.4141993568523198E-2</v>
      </c>
      <c r="M70" s="135">
        <f t="shared" si="13"/>
        <v>1112354278145.6956</v>
      </c>
      <c r="N70" s="135">
        <f t="shared" si="14"/>
        <v>2101477.8093521148</v>
      </c>
      <c r="O70" s="135">
        <f t="shared" si="15"/>
        <v>4416208983199.3633</v>
      </c>
    </row>
    <row r="71" spans="1:16" x14ac:dyDescent="0.2">
      <c r="A71" s="43">
        <v>43738</v>
      </c>
      <c r="B71" s="44">
        <f>Inputs!D92</f>
        <v>21583546.969999999</v>
      </c>
      <c r="C71" s="44">
        <v>148.49999999999997</v>
      </c>
      <c r="D71" s="44">
        <v>30</v>
      </c>
      <c r="E71" s="109">
        <v>0</v>
      </c>
      <c r="F71" s="130">
        <v>0</v>
      </c>
      <c r="G71" s="137">
        <f>Inputs!G92+Inputs!I92+Inputs!L92</f>
        <v>13762</v>
      </c>
      <c r="H71" s="137">
        <v>0</v>
      </c>
      <c r="I71" s="44">
        <f t="shared" si="12"/>
        <v>22657540.132737838</v>
      </c>
      <c r="J71" s="27">
        <f t="shared" si="9"/>
        <v>1073993.1627378389</v>
      </c>
      <c r="K71" s="36">
        <f t="shared" si="10"/>
        <v>4.9759808442543442E-2</v>
      </c>
      <c r="L71" s="10">
        <f t="shared" si="11"/>
        <v>4.9759808442543442E-2</v>
      </c>
      <c r="M71" s="135">
        <f t="shared" si="13"/>
        <v>1153461313607.6262</v>
      </c>
      <c r="N71" s="135">
        <f t="shared" si="14"/>
        <v>19311.088297538459</v>
      </c>
      <c r="O71" s="135">
        <f t="shared" si="15"/>
        <v>372918131.23532683</v>
      </c>
    </row>
    <row r="72" spans="1:16" x14ac:dyDescent="0.2">
      <c r="A72" s="43">
        <v>43769</v>
      </c>
      <c r="B72" s="44">
        <f>Inputs!D93</f>
        <v>23416882.789999999</v>
      </c>
      <c r="C72" s="44">
        <v>328.6</v>
      </c>
      <c r="D72" s="44">
        <v>31</v>
      </c>
      <c r="E72" s="109">
        <v>1</v>
      </c>
      <c r="F72" s="130">
        <v>0</v>
      </c>
      <c r="G72" s="137">
        <f>Inputs!G93+Inputs!I93+Inputs!L93</f>
        <v>13762</v>
      </c>
      <c r="H72" s="137">
        <v>0</v>
      </c>
      <c r="I72" s="44">
        <f t="shared" si="12"/>
        <v>24335128.662961304</v>
      </c>
      <c r="J72" s="27">
        <f t="shared" si="9"/>
        <v>918245.87296130508</v>
      </c>
      <c r="K72" s="36">
        <f t="shared" si="10"/>
        <v>3.9212984973108163E-2</v>
      </c>
      <c r="L72" s="10">
        <f t="shared" si="11"/>
        <v>3.9212984973108163E-2</v>
      </c>
      <c r="M72" s="135">
        <f t="shared" si="13"/>
        <v>843175483210.46924</v>
      </c>
      <c r="N72" s="135">
        <f t="shared" si="14"/>
        <v>-155747.28977653384</v>
      </c>
      <c r="O72" s="135">
        <f t="shared" si="15"/>
        <v>24257218272.735603</v>
      </c>
    </row>
    <row r="73" spans="1:16" x14ac:dyDescent="0.2">
      <c r="A73" s="43">
        <v>43799</v>
      </c>
      <c r="B73" s="44">
        <f>Inputs!D94</f>
        <v>27163548.379999999</v>
      </c>
      <c r="C73" s="44">
        <v>617.80000000000007</v>
      </c>
      <c r="D73" s="44">
        <v>30</v>
      </c>
      <c r="E73" s="109">
        <v>1</v>
      </c>
      <c r="F73" s="130">
        <v>0</v>
      </c>
      <c r="G73" s="137">
        <f>Inputs!G94+Inputs!I94+Inputs!L94</f>
        <v>13761</v>
      </c>
      <c r="H73" s="137">
        <v>0</v>
      </c>
      <c r="I73" s="44">
        <f t="shared" si="12"/>
        <v>27299014.832732044</v>
      </c>
      <c r="J73" s="27">
        <f t="shared" si="9"/>
        <v>135466.4527320452</v>
      </c>
      <c r="K73" s="36">
        <f t="shared" si="10"/>
        <v>4.9870676259581226E-3</v>
      </c>
      <c r="L73" s="10">
        <f t="shared" si="11"/>
        <v>4.9870676259581226E-3</v>
      </c>
      <c r="M73" s="135">
        <f t="shared" si="13"/>
        <v>18351159815.803436</v>
      </c>
      <c r="N73" s="135">
        <f t="shared" si="14"/>
        <v>-782779.42022925988</v>
      </c>
      <c r="O73" s="135">
        <f t="shared" si="15"/>
        <v>612743620734.45618</v>
      </c>
    </row>
    <row r="74" spans="1:16" x14ac:dyDescent="0.2">
      <c r="A74" s="43">
        <v>43830</v>
      </c>
      <c r="B74" s="44">
        <f>Inputs!D95</f>
        <v>29112532.5</v>
      </c>
      <c r="C74" s="44">
        <v>717.2</v>
      </c>
      <c r="D74" s="44">
        <v>31</v>
      </c>
      <c r="E74" s="109">
        <v>0</v>
      </c>
      <c r="F74" s="130">
        <v>0</v>
      </c>
      <c r="G74" s="137">
        <f>Inputs!G95+Inputs!I95+Inputs!L95</f>
        <v>13762</v>
      </c>
      <c r="H74" s="137">
        <v>0</v>
      </c>
      <c r="I74" s="44">
        <f t="shared" si="12"/>
        <v>30118298.02106991</v>
      </c>
      <c r="J74" s="27">
        <f t="shared" si="9"/>
        <v>1005765.5210699104</v>
      </c>
      <c r="K74" s="36">
        <f t="shared" si="10"/>
        <v>3.4547510460311563E-2</v>
      </c>
      <c r="L74" s="10">
        <f t="shared" si="11"/>
        <v>3.4547510460311563E-2</v>
      </c>
      <c r="M74" s="135">
        <f t="shared" si="13"/>
        <v>1011564283373.0283</v>
      </c>
      <c r="N74" s="135">
        <f t="shared" si="14"/>
        <v>870299.06833786517</v>
      </c>
      <c r="O74" s="135">
        <f t="shared" si="15"/>
        <v>757420468349.7561</v>
      </c>
    </row>
    <row r="75" spans="1:16" x14ac:dyDescent="0.2">
      <c r="A75" s="43">
        <v>43861</v>
      </c>
      <c r="B75" s="44">
        <f>Inputs!D96</f>
        <v>30452078</v>
      </c>
      <c r="C75" s="44">
        <v>772.10000000000014</v>
      </c>
      <c r="D75" s="44">
        <v>31</v>
      </c>
      <c r="E75" s="109">
        <v>0</v>
      </c>
      <c r="F75" s="130">
        <v>0</v>
      </c>
      <c r="G75" s="137">
        <f>Inputs!G96+Inputs!I96+Inputs!L96</f>
        <v>13799</v>
      </c>
      <c r="H75" s="137">
        <v>0</v>
      </c>
      <c r="I75" s="44">
        <f t="shared" si="12"/>
        <v>30825174.946783107</v>
      </c>
      <c r="J75" s="27">
        <f t="shared" si="9"/>
        <v>373096.94678310677</v>
      </c>
      <c r="K75" s="36">
        <f t="shared" si="10"/>
        <v>1.2251937184158887E-2</v>
      </c>
      <c r="L75" s="10">
        <f t="shared" si="11"/>
        <v>1.2251937184158887E-2</v>
      </c>
      <c r="M75" s="135">
        <f t="shared" si="13"/>
        <v>139201331698.8764</v>
      </c>
      <c r="N75" s="135">
        <f t="shared" si="14"/>
        <v>-632668.5742868036</v>
      </c>
      <c r="O75" s="135">
        <f t="shared" si="15"/>
        <v>400269524890.09674</v>
      </c>
      <c r="P75" s="37"/>
    </row>
    <row r="76" spans="1:16" x14ac:dyDescent="0.2">
      <c r="A76" s="43">
        <v>43890</v>
      </c>
      <c r="B76" s="44">
        <f>Inputs!D97</f>
        <v>28729836</v>
      </c>
      <c r="C76" s="44">
        <v>757.9</v>
      </c>
      <c r="D76" s="44">
        <v>29</v>
      </c>
      <c r="E76" s="109">
        <v>0</v>
      </c>
      <c r="F76" s="130">
        <v>0</v>
      </c>
      <c r="G76" s="137">
        <f>Inputs!G97+Inputs!I97+Inputs!L97</f>
        <v>13808</v>
      </c>
      <c r="H76" s="137">
        <v>0</v>
      </c>
      <c r="I76" s="44">
        <f t="shared" si="12"/>
        <v>29563117.946024906</v>
      </c>
      <c r="J76" s="27">
        <f t="shared" si="9"/>
        <v>833281.94602490589</v>
      </c>
      <c r="K76" s="36">
        <f t="shared" si="10"/>
        <v>2.9004062049811419E-2</v>
      </c>
      <c r="L76" s="10">
        <f t="shared" si="11"/>
        <v>2.9004062049811419E-2</v>
      </c>
      <c r="M76" s="135">
        <f t="shared" si="13"/>
        <v>694358801571.0542</v>
      </c>
      <c r="N76" s="135">
        <f t="shared" si="14"/>
        <v>460184.99924179912</v>
      </c>
      <c r="O76" s="135">
        <f t="shared" si="15"/>
        <v>211770233527.17465</v>
      </c>
    </row>
    <row r="77" spans="1:16" x14ac:dyDescent="0.2">
      <c r="A77" s="43">
        <v>43921</v>
      </c>
      <c r="B77" s="44">
        <f>Inputs!D98</f>
        <v>26931054</v>
      </c>
      <c r="C77" s="44">
        <v>586.5</v>
      </c>
      <c r="D77" s="44">
        <v>31</v>
      </c>
      <c r="E77" s="109">
        <v>1</v>
      </c>
      <c r="F77" s="130">
        <v>0</v>
      </c>
      <c r="G77" s="137">
        <f>Inputs!G98+Inputs!I98+Inputs!L98</f>
        <v>13819</v>
      </c>
      <c r="H77" s="145">
        <v>0.5</v>
      </c>
      <c r="I77" s="44">
        <f t="shared" si="12"/>
        <v>26850710.815689985</v>
      </c>
      <c r="J77" s="27">
        <f t="shared" si="9"/>
        <v>-80343.184310015291</v>
      </c>
      <c r="K77" s="36">
        <f t="shared" si="10"/>
        <v>-2.9832914935306763E-3</v>
      </c>
      <c r="L77" s="10">
        <f t="shared" si="11"/>
        <v>2.9832914935306763E-3</v>
      </c>
      <c r="M77" s="135">
        <f t="shared" si="13"/>
        <v>6455027265.0730877</v>
      </c>
      <c r="N77" s="135">
        <f t="shared" si="14"/>
        <v>-913625.13033492118</v>
      </c>
      <c r="O77" s="135">
        <f t="shared" si="15"/>
        <v>834710878779.50171</v>
      </c>
    </row>
    <row r="78" spans="1:16" x14ac:dyDescent="0.2">
      <c r="A78" s="43">
        <v>43951</v>
      </c>
      <c r="B78" s="44">
        <f>Inputs!D99</f>
        <v>23177143</v>
      </c>
      <c r="C78" s="44">
        <v>458.3</v>
      </c>
      <c r="D78" s="44">
        <v>30</v>
      </c>
      <c r="E78" s="109">
        <v>1</v>
      </c>
      <c r="F78" s="130">
        <v>0</v>
      </c>
      <c r="G78" s="137">
        <f>Inputs!G99+Inputs!I99+Inputs!L99</f>
        <v>13837</v>
      </c>
      <c r="H78" s="145">
        <v>1</v>
      </c>
      <c r="I78" s="44">
        <f t="shared" si="12"/>
        <v>24082755.163508676</v>
      </c>
      <c r="J78" s="27">
        <f t="shared" si="9"/>
        <v>905612.16350867599</v>
      </c>
      <c r="K78" s="36">
        <f t="shared" si="10"/>
        <v>3.9073502869127398E-2</v>
      </c>
      <c r="L78" s="10">
        <f t="shared" si="11"/>
        <v>3.9073502869127398E-2</v>
      </c>
      <c r="M78" s="135">
        <f t="shared" si="13"/>
        <v>820133390694.86487</v>
      </c>
      <c r="N78" s="135">
        <f t="shared" si="14"/>
        <v>985955.34781869128</v>
      </c>
      <c r="O78" s="135">
        <f t="shared" si="15"/>
        <v>972107947892.27649</v>
      </c>
    </row>
    <row r="79" spans="1:16" x14ac:dyDescent="0.2">
      <c r="A79" s="43">
        <v>43982</v>
      </c>
      <c r="B79" s="44">
        <f>Inputs!D100</f>
        <v>22565297</v>
      </c>
      <c r="C79" s="44">
        <v>264.60000000000002</v>
      </c>
      <c r="D79" s="44">
        <v>31</v>
      </c>
      <c r="E79" s="109">
        <v>1</v>
      </c>
      <c r="F79" s="130">
        <v>0</v>
      </c>
      <c r="G79" s="137">
        <f>Inputs!G100+Inputs!I100+Inputs!L100</f>
        <v>13842</v>
      </c>
      <c r="H79" s="145">
        <v>1</v>
      </c>
      <c r="I79" s="44">
        <f t="shared" si="12"/>
        <v>22283734.250704903</v>
      </c>
      <c r="J79" s="27">
        <f t="shared" si="9"/>
        <v>-281562.74929509684</v>
      </c>
      <c r="K79" s="36">
        <f t="shared" si="10"/>
        <v>-1.2477688607204987E-2</v>
      </c>
      <c r="L79" s="10">
        <f t="shared" si="11"/>
        <v>1.2477688607204987E-2</v>
      </c>
      <c r="M79" s="135">
        <f t="shared" si="13"/>
        <v>79277581790.613556</v>
      </c>
      <c r="N79" s="135">
        <f t="shared" si="14"/>
        <v>-1187174.9128037728</v>
      </c>
      <c r="O79" s="135">
        <f t="shared" si="15"/>
        <v>1409384273590.6458</v>
      </c>
    </row>
    <row r="80" spans="1:16" x14ac:dyDescent="0.2">
      <c r="A80" s="43">
        <v>44012</v>
      </c>
      <c r="B80" s="44">
        <f>Inputs!D101</f>
        <v>22325604</v>
      </c>
      <c r="C80" s="44">
        <v>73.7</v>
      </c>
      <c r="D80" s="44">
        <v>30</v>
      </c>
      <c r="E80" s="109">
        <v>0</v>
      </c>
      <c r="F80" s="130">
        <v>0</v>
      </c>
      <c r="G80" s="137">
        <f>Inputs!G101+Inputs!I101+Inputs!L101</f>
        <v>13845</v>
      </c>
      <c r="H80" s="145">
        <v>0.5</v>
      </c>
      <c r="I80" s="44">
        <f t="shared" si="12"/>
        <v>21157848.355882864</v>
      </c>
      <c r="J80" s="27">
        <f t="shared" si="9"/>
        <v>-1167755.6441171356</v>
      </c>
      <c r="K80" s="36">
        <f t="shared" si="10"/>
        <v>-5.2305668599923909E-2</v>
      </c>
      <c r="L80" s="10">
        <f t="shared" si="11"/>
        <v>5.2305668599923909E-2</v>
      </c>
      <c r="M80" s="135">
        <f t="shared" si="13"/>
        <v>1363653244367.426</v>
      </c>
      <c r="N80" s="135">
        <f t="shared" si="14"/>
        <v>-886192.89482203871</v>
      </c>
      <c r="O80" s="135">
        <f t="shared" si="15"/>
        <v>785337846833.06494</v>
      </c>
    </row>
    <row r="81" spans="1:16" x14ac:dyDescent="0.2">
      <c r="A81" s="43">
        <v>44043</v>
      </c>
      <c r="B81" s="44">
        <f>Inputs!D102</f>
        <v>26178908</v>
      </c>
      <c r="C81" s="44">
        <v>1.9</v>
      </c>
      <c r="D81" s="44">
        <v>31</v>
      </c>
      <c r="E81" s="109">
        <v>0</v>
      </c>
      <c r="F81" s="130">
        <v>1</v>
      </c>
      <c r="G81" s="137">
        <f>Inputs!G102+Inputs!I102+Inputs!L102</f>
        <v>13860</v>
      </c>
      <c r="H81" s="137">
        <v>0</v>
      </c>
      <c r="I81" s="44">
        <f t="shared" si="12"/>
        <v>24455598.616516747</v>
      </c>
      <c r="J81" s="27">
        <f t="shared" si="9"/>
        <v>-1723309.3834832534</v>
      </c>
      <c r="K81" s="36">
        <f t="shared" si="10"/>
        <v>-6.5828161491046658E-2</v>
      </c>
      <c r="L81" s="10">
        <f t="shared" si="11"/>
        <v>6.5828161491046658E-2</v>
      </c>
      <c r="M81" s="135">
        <f t="shared" si="13"/>
        <v>2969795231201.4312</v>
      </c>
      <c r="N81" s="135">
        <f t="shared" si="14"/>
        <v>-555553.73936611786</v>
      </c>
      <c r="O81" s="135">
        <f t="shared" si="15"/>
        <v>308639957323.67639</v>
      </c>
      <c r="P81"/>
    </row>
    <row r="82" spans="1:16" x14ac:dyDescent="0.2">
      <c r="A82" s="43">
        <v>44074</v>
      </c>
      <c r="B82" s="44">
        <f>Inputs!D103</f>
        <v>24180956</v>
      </c>
      <c r="C82" s="44">
        <v>44.4</v>
      </c>
      <c r="D82" s="44">
        <v>31</v>
      </c>
      <c r="E82" s="109">
        <v>0</v>
      </c>
      <c r="F82" s="130">
        <v>1</v>
      </c>
      <c r="G82" s="137">
        <f>Inputs!G103+Inputs!I103+Inputs!L103</f>
        <v>13862</v>
      </c>
      <c r="H82" s="137">
        <v>0</v>
      </c>
      <c r="I82" s="44">
        <f t="shared" si="12"/>
        <v>24974230.086025648</v>
      </c>
      <c r="J82" s="27">
        <f t="shared" si="9"/>
        <v>793274.08602564782</v>
      </c>
      <c r="K82" s="36">
        <f t="shared" si="10"/>
        <v>3.2805737127417453E-2</v>
      </c>
      <c r="L82" s="10">
        <f t="shared" si="11"/>
        <v>3.2805737127417453E-2</v>
      </c>
      <c r="M82" s="135">
        <f t="shared" si="13"/>
        <v>629283775559.8269</v>
      </c>
      <c r="N82" s="135">
        <f t="shared" si="14"/>
        <v>2516583.4695089012</v>
      </c>
      <c r="O82" s="135">
        <f t="shared" si="15"/>
        <v>6333192359005.459</v>
      </c>
      <c r="P82"/>
    </row>
    <row r="83" spans="1:16" x14ac:dyDescent="0.2">
      <c r="A83" s="43">
        <v>44104</v>
      </c>
      <c r="B83" s="44">
        <f>Inputs!D104</f>
        <v>21706905</v>
      </c>
      <c r="C83" s="44">
        <v>169.79999999999995</v>
      </c>
      <c r="D83" s="44">
        <v>30</v>
      </c>
      <c r="E83" s="109">
        <v>0</v>
      </c>
      <c r="F83" s="130">
        <v>0</v>
      </c>
      <c r="G83" s="137">
        <f>Inputs!G104+Inputs!I104+Inputs!L104</f>
        <v>13883</v>
      </c>
      <c r="H83" s="137">
        <v>0</v>
      </c>
      <c r="I83" s="44">
        <f t="shared" si="12"/>
        <v>23046217.309030995</v>
      </c>
      <c r="J83" s="27">
        <f t="shared" si="9"/>
        <v>1339312.3090309948</v>
      </c>
      <c r="K83" s="36">
        <f t="shared" si="10"/>
        <v>6.1699828189739382E-2</v>
      </c>
      <c r="L83" s="10">
        <f t="shared" si="11"/>
        <v>6.1699828189739382E-2</v>
      </c>
      <c r="M83" s="135">
        <f t="shared" si="13"/>
        <v>1793757461121.9348</v>
      </c>
      <c r="N83" s="135">
        <f t="shared" si="14"/>
        <v>546038.22300534695</v>
      </c>
      <c r="O83" s="135">
        <f t="shared" si="15"/>
        <v>298157740982.83704</v>
      </c>
      <c r="P83"/>
    </row>
    <row r="84" spans="1:16" x14ac:dyDescent="0.2">
      <c r="A84" s="43">
        <v>44135</v>
      </c>
      <c r="B84" s="44">
        <f>Inputs!D105</f>
        <v>24121204</v>
      </c>
      <c r="C84" s="44">
        <v>395.70000000000005</v>
      </c>
      <c r="D84" s="44">
        <v>31</v>
      </c>
      <c r="E84" s="109">
        <v>1</v>
      </c>
      <c r="F84" s="130">
        <v>0</v>
      </c>
      <c r="G84" s="137">
        <f>Inputs!G105+Inputs!I105+Inputs!L105</f>
        <v>13884</v>
      </c>
      <c r="H84" s="137">
        <v>0</v>
      </c>
      <c r="I84" s="44">
        <f t="shared" si="12"/>
        <v>25281467.945975751</v>
      </c>
      <c r="J84" s="27">
        <f t="shared" si="9"/>
        <v>1160263.9459757507</v>
      </c>
      <c r="K84" s="36">
        <f t="shared" si="10"/>
        <v>4.8101410940173249E-2</v>
      </c>
      <c r="L84" s="10">
        <f t="shared" si="11"/>
        <v>4.8101410940173249E-2</v>
      </c>
      <c r="M84" s="135">
        <f t="shared" si="13"/>
        <v>1346212424331.2197</v>
      </c>
      <c r="N84" s="135">
        <f t="shared" si="14"/>
        <v>-179048.36305524409</v>
      </c>
      <c r="O84" s="135">
        <f t="shared" si="15"/>
        <v>32058316312.762497</v>
      </c>
      <c r="P84"/>
    </row>
    <row r="85" spans="1:16" x14ac:dyDescent="0.2">
      <c r="A85" s="43">
        <v>44165</v>
      </c>
      <c r="B85" s="44">
        <f>Inputs!D106</f>
        <v>25126449</v>
      </c>
      <c r="C85" s="44">
        <v>434.49999999999994</v>
      </c>
      <c r="D85" s="44">
        <v>30</v>
      </c>
      <c r="E85" s="109">
        <v>1</v>
      </c>
      <c r="F85" s="130">
        <v>0</v>
      </c>
      <c r="G85" s="137">
        <f>Inputs!G106+Inputs!I106+Inputs!L106</f>
        <v>13911</v>
      </c>
      <c r="H85" s="137">
        <v>0</v>
      </c>
      <c r="I85" s="44">
        <f t="shared" si="12"/>
        <v>25232385.203707587</v>
      </c>
      <c r="J85" s="27">
        <f t="shared" si="9"/>
        <v>105936.20370758697</v>
      </c>
      <c r="K85" s="36">
        <f t="shared" si="10"/>
        <v>4.2161231659749044E-3</v>
      </c>
      <c r="L85" s="10">
        <f t="shared" si="11"/>
        <v>4.2161231659749044E-3</v>
      </c>
      <c r="M85" s="135">
        <f t="shared" si="13"/>
        <v>11222479255.975365</v>
      </c>
      <c r="N85" s="135">
        <f t="shared" si="14"/>
        <v>-1054327.7422681637</v>
      </c>
      <c r="O85" s="135">
        <f t="shared" si="15"/>
        <v>1111606988116.2834</v>
      </c>
      <c r="P85"/>
    </row>
    <row r="86" spans="1:16" x14ac:dyDescent="0.2">
      <c r="A86" s="43">
        <v>44196</v>
      </c>
      <c r="B86" s="44">
        <f>Inputs!D107</f>
        <v>28892268</v>
      </c>
      <c r="C86" s="44">
        <v>674.50000000000011</v>
      </c>
      <c r="D86" s="44">
        <v>31</v>
      </c>
      <c r="E86" s="109">
        <v>0</v>
      </c>
      <c r="F86" s="130">
        <v>0</v>
      </c>
      <c r="G86" s="137">
        <f>Inputs!G107+Inputs!I107+Inputs!L107</f>
        <v>13936</v>
      </c>
      <c r="H86" s="137">
        <v>0</v>
      </c>
      <c r="I86" s="44">
        <f t="shared" si="12"/>
        <v>29786074.954683863</v>
      </c>
      <c r="J86" s="27">
        <f t="shared" si="9"/>
        <v>893806.95468386263</v>
      </c>
      <c r="K86" s="36">
        <f t="shared" si="10"/>
        <v>3.0935852965363005E-2</v>
      </c>
      <c r="L86" s="10">
        <f t="shared" si="11"/>
        <v>3.0935852965363005E-2</v>
      </c>
      <c r="M86" s="135">
        <f t="shared" si="13"/>
        <v>798890872241.24048</v>
      </c>
      <c r="N86" s="135">
        <f t="shared" si="14"/>
        <v>787870.75097627565</v>
      </c>
      <c r="O86" s="135">
        <f t="shared" si="15"/>
        <v>620740320243.92053</v>
      </c>
      <c r="P86"/>
    </row>
    <row r="87" spans="1:16" x14ac:dyDescent="0.2">
      <c r="A87" s="43">
        <v>44227</v>
      </c>
      <c r="B87" s="44">
        <f>Inputs!D108</f>
        <v>29919109</v>
      </c>
      <c r="C87" s="44">
        <v>793.9</v>
      </c>
      <c r="D87" s="44">
        <v>31</v>
      </c>
      <c r="E87" s="109">
        <v>0</v>
      </c>
      <c r="F87" s="130">
        <v>0</v>
      </c>
      <c r="G87" s="137">
        <f>Inputs!G108+Inputs!I108+Inputs!L108</f>
        <v>13940</v>
      </c>
      <c r="H87" s="137">
        <v>0</v>
      </c>
      <c r="I87" s="44">
        <f t="shared" si="12"/>
        <v>31241387.392506525</v>
      </c>
      <c r="J87" s="27">
        <f t="shared" si="9"/>
        <v>1322278.3925065249</v>
      </c>
      <c r="K87" s="36">
        <f t="shared" si="10"/>
        <v>4.4195112645450937E-2</v>
      </c>
      <c r="L87" s="10">
        <f t="shared" si="11"/>
        <v>4.4195112645450937E-2</v>
      </c>
      <c r="M87" s="135">
        <f t="shared" si="13"/>
        <v>1748420147289.6396</v>
      </c>
      <c r="N87" s="135">
        <f t="shared" si="14"/>
        <v>428471.43782266229</v>
      </c>
      <c r="O87" s="135">
        <f t="shared" si="15"/>
        <v>183587773029.81955</v>
      </c>
      <c r="P87"/>
    </row>
    <row r="88" spans="1:16" x14ac:dyDescent="0.2">
      <c r="A88" s="43">
        <v>44255</v>
      </c>
      <c r="B88" s="44">
        <f>Inputs!D109</f>
        <v>28503891</v>
      </c>
      <c r="C88" s="44">
        <v>768.49999999999989</v>
      </c>
      <c r="D88" s="44">
        <v>28</v>
      </c>
      <c r="E88" s="109">
        <v>0</v>
      </c>
      <c r="F88" s="130">
        <v>0</v>
      </c>
      <c r="G88" s="137">
        <f>Inputs!G109+Inputs!I109+Inputs!L109</f>
        <v>13979</v>
      </c>
      <c r="H88" s="137">
        <v>0</v>
      </c>
      <c r="I88" s="44">
        <f t="shared" si="12"/>
        <v>29325836.409294315</v>
      </c>
      <c r="J88" s="27">
        <f t="shared" si="9"/>
        <v>821945.40929431468</v>
      </c>
      <c r="K88" s="36">
        <f t="shared" si="10"/>
        <v>2.8836252892431937E-2</v>
      </c>
      <c r="L88" s="10">
        <f t="shared" si="11"/>
        <v>2.8836252892431937E-2</v>
      </c>
      <c r="M88" s="135">
        <f t="shared" si="13"/>
        <v>675594255859.99854</v>
      </c>
      <c r="N88" s="135">
        <f t="shared" si="14"/>
        <v>-500332.98321221024</v>
      </c>
      <c r="O88" s="135">
        <f t="shared" si="15"/>
        <v>250333094090.02985</v>
      </c>
      <c r="P88"/>
    </row>
    <row r="89" spans="1:16" x14ac:dyDescent="0.2">
      <c r="A89" s="43">
        <v>44286</v>
      </c>
      <c r="B89" s="44">
        <f>Inputs!D110</f>
        <v>27991373</v>
      </c>
      <c r="C89" s="44">
        <v>598.70000000000005</v>
      </c>
      <c r="D89" s="44">
        <v>31</v>
      </c>
      <c r="E89" s="109">
        <v>1</v>
      </c>
      <c r="F89" s="130">
        <v>0</v>
      </c>
      <c r="G89" s="137">
        <f>Inputs!G110+Inputs!I110+Inputs!L110</f>
        <v>13988</v>
      </c>
      <c r="H89" s="137">
        <v>0</v>
      </c>
      <c r="I89" s="44">
        <f t="shared" si="12"/>
        <v>27860032.729585588</v>
      </c>
      <c r="J89" s="27">
        <f t="shared" si="9"/>
        <v>-131340.27041441202</v>
      </c>
      <c r="K89" s="36">
        <f t="shared" si="10"/>
        <v>-4.6921696343516991E-3</v>
      </c>
      <c r="L89" s="10">
        <f t="shared" si="11"/>
        <v>4.6921696343516991E-3</v>
      </c>
      <c r="M89" s="135">
        <f t="shared" si="13"/>
        <v>17250266632.530872</v>
      </c>
      <c r="N89" s="135">
        <f t="shared" si="14"/>
        <v>-953285.6797087267</v>
      </c>
      <c r="O89" s="135">
        <f t="shared" si="15"/>
        <v>908753587137.72913</v>
      </c>
      <c r="P89"/>
    </row>
    <row r="90" spans="1:16" x14ac:dyDescent="0.2">
      <c r="A90" s="43">
        <v>44316</v>
      </c>
      <c r="B90" s="44">
        <f>Inputs!D111</f>
        <v>23510679</v>
      </c>
      <c r="C90" s="44">
        <v>361.90000000000003</v>
      </c>
      <c r="D90" s="44">
        <v>30</v>
      </c>
      <c r="E90" s="109">
        <v>1</v>
      </c>
      <c r="F90" s="130">
        <v>0</v>
      </c>
      <c r="G90" s="137">
        <f>Inputs!G111+Inputs!I111+Inputs!L111</f>
        <v>13990</v>
      </c>
      <c r="H90" s="137">
        <v>0</v>
      </c>
      <c r="I90" s="44">
        <f t="shared" si="12"/>
        <v>24434869.245475367</v>
      </c>
      <c r="J90" s="27">
        <f t="shared" si="9"/>
        <v>924190.24547536671</v>
      </c>
      <c r="K90" s="36">
        <f t="shared" si="10"/>
        <v>3.9309381301806161E-2</v>
      </c>
      <c r="L90" s="10">
        <f t="shared" si="11"/>
        <v>3.9309381301806161E-2</v>
      </c>
      <c r="M90" s="135">
        <f t="shared" si="13"/>
        <v>854127609831.8186</v>
      </c>
      <c r="N90" s="135">
        <f t="shared" si="14"/>
        <v>1055530.5158897787</v>
      </c>
      <c r="O90" s="135">
        <f t="shared" si="15"/>
        <v>1114144669974.5425</v>
      </c>
      <c r="P90"/>
    </row>
    <row r="91" spans="1:16" x14ac:dyDescent="0.2">
      <c r="A91" s="43">
        <v>44347</v>
      </c>
      <c r="B91" s="44">
        <f>Inputs!D112</f>
        <v>22807571</v>
      </c>
      <c r="C91" s="44">
        <v>250.90000000000003</v>
      </c>
      <c r="D91" s="44">
        <v>31</v>
      </c>
      <c r="E91" s="109">
        <v>1</v>
      </c>
      <c r="F91" s="130">
        <v>0</v>
      </c>
      <c r="G91" s="137">
        <f>Inputs!G112+Inputs!I112+Inputs!L112</f>
        <v>14022</v>
      </c>
      <c r="H91" s="137">
        <v>0</v>
      </c>
      <c r="I91" s="44">
        <f t="shared" si="12"/>
        <v>23669838.101619549</v>
      </c>
      <c r="J91" s="27">
        <f t="shared" si="9"/>
        <v>862267.1016195491</v>
      </c>
      <c r="K91" s="36">
        <f t="shared" si="10"/>
        <v>3.7806178554461112E-2</v>
      </c>
      <c r="L91" s="10">
        <f t="shared" si="11"/>
        <v>3.7806178554461112E-2</v>
      </c>
      <c r="M91" s="135">
        <f t="shared" si="13"/>
        <v>743504554535.37781</v>
      </c>
      <c r="N91" s="135">
        <f t="shared" si="14"/>
        <v>-61923.143855817616</v>
      </c>
      <c r="O91" s="135">
        <f t="shared" si="15"/>
        <v>3834475744.9882832</v>
      </c>
      <c r="P91"/>
    </row>
    <row r="92" spans="1:16" x14ac:dyDescent="0.2">
      <c r="A92" s="43">
        <v>44377</v>
      </c>
      <c r="B92" s="44">
        <f>Inputs!D113</f>
        <v>23479543</v>
      </c>
      <c r="C92" s="44">
        <v>54.700000000000017</v>
      </c>
      <c r="D92" s="44">
        <v>30</v>
      </c>
      <c r="E92" s="109">
        <v>0</v>
      </c>
      <c r="F92" s="130">
        <v>0</v>
      </c>
      <c r="G92" s="137">
        <f>Inputs!G113+Inputs!I113+Inputs!L113</f>
        <v>14033</v>
      </c>
      <c r="H92" s="137">
        <v>0</v>
      </c>
      <c r="I92" s="44">
        <f t="shared" si="12"/>
        <v>21808395.116590589</v>
      </c>
      <c r="J92" s="27">
        <f t="shared" si="9"/>
        <v>-1671147.8834094107</v>
      </c>
      <c r="K92" s="36">
        <f t="shared" si="10"/>
        <v>-7.1174634165980605E-2</v>
      </c>
      <c r="L92" s="10">
        <f t="shared" si="11"/>
        <v>7.1174634165980605E-2</v>
      </c>
      <c r="M92" s="135">
        <f t="shared" si="13"/>
        <v>2792735248223.7534</v>
      </c>
      <c r="N92" s="135">
        <f t="shared" si="14"/>
        <v>-2533414.9850289598</v>
      </c>
      <c r="O92" s="135">
        <f t="shared" si="15"/>
        <v>6418191486369.2842</v>
      </c>
      <c r="P92"/>
    </row>
    <row r="93" spans="1:16" x14ac:dyDescent="0.2">
      <c r="A93" s="43">
        <v>44408</v>
      </c>
      <c r="B93" s="44">
        <f>Inputs!D114</f>
        <v>24849711</v>
      </c>
      <c r="C93" s="44">
        <v>39.700000000000003</v>
      </c>
      <c r="D93" s="44">
        <v>31</v>
      </c>
      <c r="E93" s="109">
        <v>0</v>
      </c>
      <c r="F93" s="130">
        <v>1</v>
      </c>
      <c r="G93" s="137">
        <f>Inputs!G114+Inputs!I114+Inputs!L114</f>
        <v>14035</v>
      </c>
      <c r="H93" s="137">
        <v>0</v>
      </c>
      <c r="I93" s="44">
        <f t="shared" si="12"/>
        <v>25102732.936169676</v>
      </c>
      <c r="J93" s="27">
        <f t="shared" si="9"/>
        <v>253021.93616967648</v>
      </c>
      <c r="K93" s="36">
        <f t="shared" si="10"/>
        <v>1.0182087677787338E-2</v>
      </c>
      <c r="L93" s="10">
        <f t="shared" si="11"/>
        <v>1.0182087677787338E-2</v>
      </c>
      <c r="M93" s="135">
        <f t="shared" si="13"/>
        <v>64020100183.051842</v>
      </c>
      <c r="N93" s="135">
        <f t="shared" si="14"/>
        <v>1924169.8195790872</v>
      </c>
      <c r="O93" s="135">
        <f t="shared" si="15"/>
        <v>3702429494579.0171</v>
      </c>
      <c r="P93"/>
    </row>
    <row r="94" spans="1:16" x14ac:dyDescent="0.2">
      <c r="A94" s="43">
        <v>44439</v>
      </c>
      <c r="B94" s="44">
        <f>Inputs!D115</f>
        <v>27059084</v>
      </c>
      <c r="C94" s="44">
        <v>22.8</v>
      </c>
      <c r="D94" s="44">
        <v>31</v>
      </c>
      <c r="E94" s="109">
        <v>0</v>
      </c>
      <c r="F94" s="130">
        <v>1</v>
      </c>
      <c r="G94" s="137">
        <f>Inputs!G115+Inputs!I115+Inputs!L115</f>
        <v>14061</v>
      </c>
      <c r="H94" s="137">
        <v>0</v>
      </c>
      <c r="I94" s="44">
        <f t="shared" si="12"/>
        <v>24925250.626428284</v>
      </c>
      <c r="J94" s="27">
        <f t="shared" si="9"/>
        <v>-2133833.3735717162</v>
      </c>
      <c r="K94" s="36">
        <f t="shared" si="10"/>
        <v>-7.885830036122865E-2</v>
      </c>
      <c r="L94" s="10">
        <f t="shared" si="11"/>
        <v>7.885830036122865E-2</v>
      </c>
      <c r="M94" s="135">
        <f t="shared" si="13"/>
        <v>4553244866168.4512</v>
      </c>
      <c r="N94" s="135">
        <f t="shared" si="14"/>
        <v>-2386855.3097413927</v>
      </c>
      <c r="O94" s="135">
        <f t="shared" si="15"/>
        <v>5697078269640.6797</v>
      </c>
      <c r="P94"/>
    </row>
    <row r="95" spans="1:16" x14ac:dyDescent="0.2">
      <c r="A95" s="43">
        <v>44469</v>
      </c>
      <c r="B95" s="44">
        <f>Inputs!D116</f>
        <v>22357163</v>
      </c>
      <c r="C95" s="44">
        <v>145.19999999999999</v>
      </c>
      <c r="D95" s="44">
        <v>30</v>
      </c>
      <c r="E95" s="109">
        <v>0</v>
      </c>
      <c r="F95" s="130">
        <v>0</v>
      </c>
      <c r="G95" s="137">
        <f>Inputs!G116+Inputs!I116+Inputs!L116</f>
        <v>14082</v>
      </c>
      <c r="H95" s="137">
        <v>0</v>
      </c>
      <c r="I95" s="44">
        <f t="shared" si="12"/>
        <v>22960780.044305295</v>
      </c>
      <c r="J95" s="27">
        <f t="shared" si="9"/>
        <v>603617.04430529475</v>
      </c>
      <c r="K95" s="36">
        <f t="shared" si="10"/>
        <v>2.6998821107369248E-2</v>
      </c>
      <c r="L95" s="10">
        <f t="shared" si="11"/>
        <v>2.6998821107369248E-2</v>
      </c>
      <c r="M95" s="135">
        <f t="shared" si="13"/>
        <v>364353536175.86017</v>
      </c>
      <c r="N95" s="135">
        <f t="shared" si="14"/>
        <v>2737450.417877011</v>
      </c>
      <c r="O95" s="135">
        <f t="shared" si="15"/>
        <v>7493634790335.0225</v>
      </c>
      <c r="P95"/>
    </row>
    <row r="96" spans="1:16" x14ac:dyDescent="0.2">
      <c r="A96" s="43">
        <v>44500</v>
      </c>
      <c r="B96" s="44">
        <f>Inputs!D117</f>
        <v>23786911</v>
      </c>
      <c r="C96" s="44">
        <v>210.90000000000003</v>
      </c>
      <c r="D96" s="44">
        <v>31</v>
      </c>
      <c r="E96" s="109">
        <v>1</v>
      </c>
      <c r="F96" s="130">
        <v>0</v>
      </c>
      <c r="G96" s="137">
        <f>Inputs!G117+Inputs!I117+Inputs!L117</f>
        <v>14103</v>
      </c>
      <c r="H96" s="137">
        <v>0</v>
      </c>
      <c r="I96" s="44">
        <f t="shared" si="12"/>
        <v>23270642.855972745</v>
      </c>
      <c r="J96" s="27">
        <f t="shared" si="9"/>
        <v>-516268.14402725548</v>
      </c>
      <c r="K96" s="36">
        <f t="shared" si="10"/>
        <v>-2.1703875044021288E-2</v>
      </c>
      <c r="L96" s="10">
        <f t="shared" si="11"/>
        <v>2.1703875044021288E-2</v>
      </c>
      <c r="M96" s="135">
        <f t="shared" si="13"/>
        <v>266532796537.34702</v>
      </c>
      <c r="N96" s="135">
        <f t="shared" si="14"/>
        <v>-1119885.1883325502</v>
      </c>
      <c r="O96" s="135">
        <f t="shared" si="15"/>
        <v>1254142835046.6316</v>
      </c>
      <c r="P96"/>
    </row>
    <row r="97" spans="1:16" x14ac:dyDescent="0.2">
      <c r="A97" s="43">
        <v>44530</v>
      </c>
      <c r="B97" s="44">
        <f>Inputs!D118</f>
        <v>26548630</v>
      </c>
      <c r="C97" s="44">
        <v>522.40000000000009</v>
      </c>
      <c r="D97" s="44">
        <v>30</v>
      </c>
      <c r="E97" s="109">
        <v>1</v>
      </c>
      <c r="F97" s="130">
        <v>0</v>
      </c>
      <c r="G97" s="137">
        <f>Inputs!G118+Inputs!I118+Inputs!L118</f>
        <v>14157</v>
      </c>
      <c r="H97" s="137">
        <v>0</v>
      </c>
      <c r="I97" s="44">
        <f t="shared" si="12"/>
        <v>26564544.207446802</v>
      </c>
      <c r="J97" s="27">
        <f t="shared" si="9"/>
        <v>15914.207446802408</v>
      </c>
      <c r="K97" s="36">
        <f t="shared" si="10"/>
        <v>5.9943610825878427E-4</v>
      </c>
      <c r="L97" s="10">
        <f t="shared" si="11"/>
        <v>5.9943610825878427E-4</v>
      </c>
      <c r="M97" s="135">
        <f t="shared" si="13"/>
        <v>253261998.65986121</v>
      </c>
      <c r="N97" s="135">
        <f t="shared" si="14"/>
        <v>532182.35147405788</v>
      </c>
      <c r="O97" s="135">
        <f t="shared" si="15"/>
        <v>283218055220.4577</v>
      </c>
      <c r="P97"/>
    </row>
    <row r="98" spans="1:16" x14ac:dyDescent="0.2">
      <c r="A98" s="43">
        <v>44561</v>
      </c>
      <c r="B98" s="44">
        <f>Inputs!D119</f>
        <v>29127757</v>
      </c>
      <c r="C98" s="44">
        <v>652.5</v>
      </c>
      <c r="D98" s="44">
        <v>31</v>
      </c>
      <c r="E98" s="109">
        <v>0</v>
      </c>
      <c r="F98" s="130">
        <v>0</v>
      </c>
      <c r="G98" s="137">
        <f>Inputs!G119+Inputs!I119+Inputs!L119</f>
        <v>14180</v>
      </c>
      <c r="H98" s="137">
        <v>0</v>
      </c>
      <c r="I98" s="44">
        <f t="shared" si="12"/>
        <v>29780517.133697677</v>
      </c>
      <c r="J98" s="27">
        <f t="shared" si="9"/>
        <v>652760.1336976774</v>
      </c>
      <c r="K98" s="36">
        <f t="shared" si="10"/>
        <v>2.241024373066822E-2</v>
      </c>
      <c r="L98" s="10">
        <f t="shared" si="11"/>
        <v>2.241024373066822E-2</v>
      </c>
      <c r="M98" s="135">
        <f t="shared" si="13"/>
        <v>426095792145.0097</v>
      </c>
      <c r="N98" s="135">
        <f t="shared" si="14"/>
        <v>636845.926250875</v>
      </c>
      <c r="O98" s="135">
        <f t="shared" si="15"/>
        <v>405572733782.3349</v>
      </c>
      <c r="P98"/>
    </row>
    <row r="99" spans="1:16" x14ac:dyDescent="0.2">
      <c r="A99" s="43">
        <v>44592</v>
      </c>
      <c r="B99" s="44">
        <f>Inputs!D120</f>
        <v>34795564</v>
      </c>
      <c r="C99" s="99">
        <v>974.5</v>
      </c>
      <c r="D99" s="44">
        <v>31</v>
      </c>
      <c r="E99" s="109">
        <v>0</v>
      </c>
      <c r="F99" s="130">
        <v>0</v>
      </c>
      <c r="G99" s="137">
        <f>Inputs!G120+Inputs!I120+Inputs!L120</f>
        <v>14191</v>
      </c>
      <c r="H99" s="137">
        <v>0</v>
      </c>
      <c r="I99" s="44">
        <f t="shared" si="12"/>
        <v>33705457.316855036</v>
      </c>
      <c r="J99" s="27">
        <f t="shared" ref="J99:J134" si="16">I99-B99</f>
        <v>-1090106.6831449643</v>
      </c>
      <c r="K99" s="36">
        <f t="shared" ref="K99:K134" si="17">J99/B99</f>
        <v>-3.1328898222341341E-2</v>
      </c>
      <c r="L99" s="10">
        <f t="shared" si="11"/>
        <v>3.1328898222341341E-2</v>
      </c>
      <c r="M99" s="135">
        <f t="shared" si="13"/>
        <v>1188332580637.3154</v>
      </c>
      <c r="N99" s="135">
        <f t="shared" si="14"/>
        <v>-1742866.8168426417</v>
      </c>
      <c r="O99" s="135">
        <f t="shared" si="15"/>
        <v>3037584741251.2021</v>
      </c>
      <c r="P99"/>
    </row>
    <row r="100" spans="1:16" x14ac:dyDescent="0.2">
      <c r="A100" s="43">
        <v>44620</v>
      </c>
      <c r="B100" s="44">
        <f>Inputs!D121</f>
        <v>30039948</v>
      </c>
      <c r="C100" s="99">
        <v>783</v>
      </c>
      <c r="D100" s="44">
        <v>28</v>
      </c>
      <c r="E100" s="109">
        <v>0</v>
      </c>
      <c r="F100" s="130">
        <v>0</v>
      </c>
      <c r="G100" s="137">
        <f>Inputs!G121+Inputs!I121+Inputs!L121</f>
        <v>14206</v>
      </c>
      <c r="H100" s="137">
        <v>0</v>
      </c>
      <c r="I100" s="44">
        <f t="shared" si="12"/>
        <v>29745608.427413613</v>
      </c>
      <c r="J100" s="27">
        <f t="shared" si="16"/>
        <v>-294339.5725863874</v>
      </c>
      <c r="K100" s="36">
        <f t="shared" si="17"/>
        <v>-9.798271707607064E-3</v>
      </c>
      <c r="L100" s="10">
        <f t="shared" si="11"/>
        <v>9.798271707607064E-3</v>
      </c>
      <c r="M100" s="135">
        <f t="shared" si="13"/>
        <v>86635783990.337219</v>
      </c>
      <c r="N100" s="135">
        <f t="shared" si="14"/>
        <v>795767.11055857688</v>
      </c>
      <c r="O100" s="135">
        <f t="shared" si="15"/>
        <v>633245294246.74634</v>
      </c>
      <c r="P100"/>
    </row>
    <row r="101" spans="1:16" x14ac:dyDescent="0.2">
      <c r="A101" s="43">
        <v>44651</v>
      </c>
      <c r="B101" s="44">
        <f>Inputs!D122</f>
        <v>29938094</v>
      </c>
      <c r="C101" s="99">
        <v>643.59999999999991</v>
      </c>
      <c r="D101" s="44">
        <v>31</v>
      </c>
      <c r="E101" s="109">
        <v>1</v>
      </c>
      <c r="F101" s="130">
        <v>0</v>
      </c>
      <c r="G101" s="137">
        <f>Inputs!G122+Inputs!I122+Inputs!L122</f>
        <v>14199</v>
      </c>
      <c r="H101" s="137">
        <v>0</v>
      </c>
      <c r="I101" s="44">
        <f t="shared" si="12"/>
        <v>28632076.664811529</v>
      </c>
      <c r="J101" s="27">
        <f t="shared" si="16"/>
        <v>-1306017.3351884708</v>
      </c>
      <c r="K101" s="36">
        <f t="shared" si="17"/>
        <v>-4.3623930607889425E-2</v>
      </c>
      <c r="L101" s="10">
        <f t="shared" si="11"/>
        <v>4.3623930607889425E-2</v>
      </c>
      <c r="M101" s="135">
        <f t="shared" si="13"/>
        <v>1705681279812.7944</v>
      </c>
      <c r="N101" s="135">
        <f t="shared" si="14"/>
        <v>-1011677.7626020834</v>
      </c>
      <c r="O101" s="135">
        <f t="shared" si="15"/>
        <v>1023491895343.5574</v>
      </c>
      <c r="P101"/>
    </row>
    <row r="102" spans="1:16" x14ac:dyDescent="0.2">
      <c r="A102" s="43">
        <v>44681</v>
      </c>
      <c r="B102" s="44">
        <f>Inputs!D123</f>
        <v>25592068</v>
      </c>
      <c r="C102" s="99">
        <v>421.8</v>
      </c>
      <c r="D102" s="44">
        <v>30</v>
      </c>
      <c r="E102" s="109">
        <v>1</v>
      </c>
      <c r="F102" s="130">
        <v>0</v>
      </c>
      <c r="G102" s="137">
        <f>Inputs!G123+Inputs!I123+Inputs!L123</f>
        <v>14215</v>
      </c>
      <c r="H102" s="137">
        <v>0</v>
      </c>
      <c r="I102" s="44">
        <f t="shared" si="12"/>
        <v>25404223.484345846</v>
      </c>
      <c r="J102" s="27">
        <f t="shared" si="16"/>
        <v>-187844.51565415412</v>
      </c>
      <c r="K102" s="36">
        <f t="shared" si="17"/>
        <v>-7.3399506305685857E-3</v>
      </c>
      <c r="L102" s="10">
        <f t="shared" si="11"/>
        <v>7.3399506305685857E-3</v>
      </c>
      <c r="M102" s="135">
        <f t="shared" si="13"/>
        <v>35285562061.34375</v>
      </c>
      <c r="N102" s="135">
        <f t="shared" si="14"/>
        <v>1118172.8195343167</v>
      </c>
      <c r="O102" s="135">
        <f t="shared" si="15"/>
        <v>1250310454345.3235</v>
      </c>
      <c r="P102"/>
    </row>
    <row r="103" spans="1:16" x14ac:dyDescent="0.2">
      <c r="A103" s="43">
        <v>44712</v>
      </c>
      <c r="B103" s="44">
        <f>Inputs!D124</f>
        <v>23761000</v>
      </c>
      <c r="C103" s="99">
        <v>148.1</v>
      </c>
      <c r="D103" s="44">
        <v>31</v>
      </c>
      <c r="E103" s="109">
        <v>1</v>
      </c>
      <c r="F103" s="130">
        <v>0</v>
      </c>
      <c r="G103" s="137">
        <f>Inputs!G124+Inputs!I124+Inputs!L124</f>
        <v>14224</v>
      </c>
      <c r="H103" s="137">
        <v>0</v>
      </c>
      <c r="I103" s="44">
        <f t="shared" si="12"/>
        <v>22637286.2285017</v>
      </c>
      <c r="J103" s="27">
        <f t="shared" si="16"/>
        <v>-1123713.7714983001</v>
      </c>
      <c r="K103" s="36">
        <f t="shared" si="17"/>
        <v>-4.7292360233083627E-2</v>
      </c>
      <c r="L103" s="10">
        <f t="shared" si="11"/>
        <v>4.7292360233083627E-2</v>
      </c>
      <c r="M103" s="135">
        <f t="shared" si="13"/>
        <v>1262732640254.9338</v>
      </c>
      <c r="N103" s="135">
        <f t="shared" si="14"/>
        <v>-935869.25584414601</v>
      </c>
      <c r="O103" s="135">
        <f t="shared" si="15"/>
        <v>875851264034.27563</v>
      </c>
      <c r="P103"/>
    </row>
    <row r="104" spans="1:16" x14ac:dyDescent="0.2">
      <c r="A104" s="43">
        <v>44742</v>
      </c>
      <c r="B104" s="44">
        <f>Inputs!D125</f>
        <v>23802150</v>
      </c>
      <c r="C104" s="99">
        <v>97.399999999999991</v>
      </c>
      <c r="D104" s="44">
        <v>30</v>
      </c>
      <c r="E104" s="109">
        <v>0</v>
      </c>
      <c r="F104" s="130">
        <v>0</v>
      </c>
      <c r="G104" s="137">
        <f>Inputs!G125+Inputs!I125+Inputs!L125</f>
        <v>14228</v>
      </c>
      <c r="H104" s="137">
        <v>0</v>
      </c>
      <c r="I104" s="44">
        <f t="shared" si="12"/>
        <v>22536536.153195329</v>
      </c>
      <c r="J104" s="27">
        <f t="shared" si="16"/>
        <v>-1265613.846804671</v>
      </c>
      <c r="K104" s="36">
        <f t="shared" si="17"/>
        <v>-5.3172249011314988E-2</v>
      </c>
      <c r="L104" s="10">
        <f t="shared" si="11"/>
        <v>5.3172249011314988E-2</v>
      </c>
      <c r="M104" s="135">
        <f t="shared" si="13"/>
        <v>1601778409223.7173</v>
      </c>
      <c r="N104" s="135">
        <f t="shared" si="14"/>
        <v>-141900.07530637085</v>
      </c>
      <c r="O104" s="135">
        <f t="shared" si="15"/>
        <v>20135631371.95372</v>
      </c>
      <c r="P104"/>
    </row>
    <row r="105" spans="1:16" x14ac:dyDescent="0.2">
      <c r="A105" s="43">
        <v>44773</v>
      </c>
      <c r="B105" s="44">
        <f>Inputs!D126</f>
        <v>25485797</v>
      </c>
      <c r="C105" s="99">
        <v>43.999999999999993</v>
      </c>
      <c r="D105" s="44">
        <v>31</v>
      </c>
      <c r="E105" s="109">
        <v>0</v>
      </c>
      <c r="F105" s="130">
        <v>1</v>
      </c>
      <c r="G105" s="137">
        <f>Inputs!G126+Inputs!I126+Inputs!L126</f>
        <v>14232</v>
      </c>
      <c r="H105" s="137">
        <v>0</v>
      </c>
      <c r="I105" s="44">
        <f t="shared" si="12"/>
        <v>25366359.96398934</v>
      </c>
      <c r="J105" s="27">
        <f t="shared" si="16"/>
        <v>-119437.03601066023</v>
      </c>
      <c r="K105" s="36">
        <f t="shared" si="17"/>
        <v>-4.6864155753363421E-3</v>
      </c>
      <c r="L105" s="10">
        <f t="shared" si="11"/>
        <v>4.6864155753363421E-3</v>
      </c>
      <c r="M105" s="135">
        <f t="shared" si="13"/>
        <v>14265205571.011749</v>
      </c>
      <c r="N105" s="135">
        <f t="shared" si="14"/>
        <v>1146176.8107940108</v>
      </c>
      <c r="O105" s="135">
        <f t="shared" si="15"/>
        <v>1313721281601.9294</v>
      </c>
      <c r="P105"/>
    </row>
    <row r="106" spans="1:16" x14ac:dyDescent="0.2">
      <c r="A106" s="43">
        <v>44804</v>
      </c>
      <c r="B106" s="44">
        <f>Inputs!D127</f>
        <v>26149673</v>
      </c>
      <c r="C106" s="99">
        <v>32.5</v>
      </c>
      <c r="D106" s="44">
        <v>31</v>
      </c>
      <c r="E106" s="109">
        <v>0</v>
      </c>
      <c r="F106" s="130">
        <v>1</v>
      </c>
      <c r="G106" s="137">
        <f>Inputs!G127+Inputs!I127+Inputs!L127</f>
        <v>14232</v>
      </c>
      <c r="H106" s="137">
        <v>0</v>
      </c>
      <c r="I106" s="44">
        <f t="shared" si="12"/>
        <v>25226605.044330738</v>
      </c>
      <c r="J106" s="27">
        <f t="shared" si="16"/>
        <v>-923067.95566926152</v>
      </c>
      <c r="K106" s="36">
        <f t="shared" si="17"/>
        <v>-3.5299407211297117E-2</v>
      </c>
      <c r="L106" s="10">
        <f t="shared" si="11"/>
        <v>3.5299407211297117E-2</v>
      </c>
      <c r="M106" s="135">
        <f t="shared" si="13"/>
        <v>852054450783.42969</v>
      </c>
      <c r="N106" s="135">
        <f t="shared" si="14"/>
        <v>-803630.91965860128</v>
      </c>
      <c r="O106" s="135">
        <f t="shared" si="15"/>
        <v>645822655031.32922</v>
      </c>
      <c r="P106"/>
    </row>
    <row r="107" spans="1:16" x14ac:dyDescent="0.2">
      <c r="A107" s="43">
        <v>44834</v>
      </c>
      <c r="B107" s="44">
        <f>Inputs!D128</f>
        <v>23192024</v>
      </c>
      <c r="C107" s="99">
        <v>131.69999999999999</v>
      </c>
      <c r="D107" s="44">
        <v>30</v>
      </c>
      <c r="E107" s="109">
        <v>0</v>
      </c>
      <c r="F107" s="130">
        <v>0</v>
      </c>
      <c r="G107" s="137">
        <f>Inputs!G128+Inputs!I128+Inputs!L128</f>
        <v>14238</v>
      </c>
      <c r="H107" s="137">
        <v>0</v>
      </c>
      <c r="I107" s="44">
        <f t="shared" si="12"/>
        <v>22964099.876117013</v>
      </c>
      <c r="J107" s="27">
        <f t="shared" si="16"/>
        <v>-227924.12388298661</v>
      </c>
      <c r="K107" s="36">
        <f t="shared" si="17"/>
        <v>-9.8276943781615018E-3</v>
      </c>
      <c r="L107" s="10">
        <f t="shared" si="11"/>
        <v>9.8276943781615018E-3</v>
      </c>
      <c r="M107" s="135">
        <f t="shared" si="13"/>
        <v>51949406247.827026</v>
      </c>
      <c r="N107" s="135">
        <f t="shared" si="14"/>
        <v>695143.83178627491</v>
      </c>
      <c r="O107" s="135">
        <f t="shared" si="15"/>
        <v>483224946870.50488</v>
      </c>
      <c r="P107"/>
    </row>
    <row r="108" spans="1:16" x14ac:dyDescent="0.2">
      <c r="A108" s="43">
        <v>44865</v>
      </c>
      <c r="B108" s="44">
        <f>Inputs!D129</f>
        <v>24211097</v>
      </c>
      <c r="C108" s="99">
        <v>329.7000000000001</v>
      </c>
      <c r="D108" s="44">
        <v>31</v>
      </c>
      <c r="E108" s="109">
        <v>1</v>
      </c>
      <c r="F108" s="130">
        <v>0</v>
      </c>
      <c r="G108" s="137">
        <f>Inputs!G129+Inputs!I129+Inputs!L129</f>
        <v>14300</v>
      </c>
      <c r="H108" s="137">
        <v>0</v>
      </c>
      <c r="I108" s="44">
        <f t="shared" si="12"/>
        <v>24925742.779523689</v>
      </c>
      <c r="J108" s="27">
        <f t="shared" si="16"/>
        <v>714645.7795236893</v>
      </c>
      <c r="K108" s="36">
        <f t="shared" si="17"/>
        <v>2.9517282076218575E-2</v>
      </c>
      <c r="L108" s="10">
        <f t="shared" si="11"/>
        <v>2.9517282076218575E-2</v>
      </c>
      <c r="M108" s="135">
        <f t="shared" si="13"/>
        <v>510718590191.02155</v>
      </c>
      <c r="N108" s="135">
        <f t="shared" si="14"/>
        <v>942569.9034066759</v>
      </c>
      <c r="O108" s="135">
        <f t="shared" si="15"/>
        <v>888438022808.07031</v>
      </c>
      <c r="P108"/>
    </row>
    <row r="109" spans="1:16" x14ac:dyDescent="0.2">
      <c r="A109" s="43">
        <v>44895</v>
      </c>
      <c r="B109" s="44">
        <f>Inputs!D130</f>
        <v>26468247</v>
      </c>
      <c r="C109" s="99">
        <v>469.00000000000006</v>
      </c>
      <c r="D109" s="44">
        <v>30</v>
      </c>
      <c r="E109" s="109">
        <v>1</v>
      </c>
      <c r="F109" s="130">
        <v>0</v>
      </c>
      <c r="G109" s="137">
        <f>Inputs!G130+Inputs!I130+Inputs!L130</f>
        <v>14338</v>
      </c>
      <c r="H109" s="137">
        <v>0</v>
      </c>
      <c r="I109" s="44">
        <f t="shared" si="12"/>
        <v>26109798.941771142</v>
      </c>
      <c r="J109" s="27">
        <f t="shared" si="16"/>
        <v>-358448.05822885782</v>
      </c>
      <c r="K109" s="36">
        <f t="shared" si="17"/>
        <v>-1.3542568883721609E-2</v>
      </c>
      <c r="L109" s="10">
        <f t="shared" si="11"/>
        <v>1.3542568883721609E-2</v>
      </c>
      <c r="M109" s="135">
        <f t="shared" si="13"/>
        <v>128485010448.03865</v>
      </c>
      <c r="N109" s="135">
        <f t="shared" si="14"/>
        <v>-1073093.8377525471</v>
      </c>
      <c r="O109" s="135">
        <f t="shared" si="15"/>
        <v>1151530384622.49</v>
      </c>
      <c r="P109"/>
    </row>
    <row r="110" spans="1:16" x14ac:dyDescent="0.2">
      <c r="A110" s="43">
        <v>44926</v>
      </c>
      <c r="B110" s="44">
        <f>Inputs!D131</f>
        <v>29238327</v>
      </c>
      <c r="C110" s="99">
        <v>637.1</v>
      </c>
      <c r="D110" s="44">
        <v>31</v>
      </c>
      <c r="E110" s="109">
        <v>0</v>
      </c>
      <c r="F110" s="130">
        <v>0</v>
      </c>
      <c r="G110" s="137">
        <f>Inputs!G131+Inputs!I131+Inputs!L131</f>
        <v>14351</v>
      </c>
      <c r="H110" s="137">
        <v>0</v>
      </c>
      <c r="I110" s="44">
        <f t="shared" si="12"/>
        <v>29776841.248693105</v>
      </c>
      <c r="J110" s="27">
        <f t="shared" si="16"/>
        <v>538514.24869310483</v>
      </c>
      <c r="K110" s="36">
        <f t="shared" si="17"/>
        <v>1.8418093781258579E-2</v>
      </c>
      <c r="L110" s="10">
        <f t="shared" si="11"/>
        <v>1.8418093781258579E-2</v>
      </c>
      <c r="M110" s="135">
        <f t="shared" si="13"/>
        <v>289997596045.49915</v>
      </c>
      <c r="N110" s="135">
        <f t="shared" si="14"/>
        <v>896962.30692196265</v>
      </c>
      <c r="O110" s="135">
        <f t="shared" si="15"/>
        <v>804541380038.76917</v>
      </c>
      <c r="P110"/>
    </row>
    <row r="111" spans="1:16" x14ac:dyDescent="0.2">
      <c r="A111" s="43">
        <v>44957</v>
      </c>
      <c r="B111" s="44">
        <f>Inputs!D132</f>
        <v>30877295</v>
      </c>
      <c r="C111" s="44">
        <v>712</v>
      </c>
      <c r="D111" s="44">
        <v>31</v>
      </c>
      <c r="E111" s="109">
        <v>0</v>
      </c>
      <c r="F111" s="130">
        <v>0</v>
      </c>
      <c r="G111" s="137">
        <f>Inputs!G132+Inputs!I132+Inputs!L132</f>
        <v>14366</v>
      </c>
      <c r="H111" s="137">
        <v>0</v>
      </c>
      <c r="I111" s="44">
        <f t="shared" si="12"/>
        <v>30703165.343162078</v>
      </c>
      <c r="J111" s="27">
        <f t="shared" si="16"/>
        <v>-174129.65683792159</v>
      </c>
      <c r="K111" s="36">
        <f t="shared" si="17"/>
        <v>-5.639407753753092E-3</v>
      </c>
      <c r="L111" s="10">
        <f t="shared" si="11"/>
        <v>5.639407753753092E-3</v>
      </c>
      <c r="M111" s="135">
        <f t="shared" si="13"/>
        <v>30321137390.492332</v>
      </c>
      <c r="N111" s="135">
        <f t="shared" si="14"/>
        <v>-712643.90553102642</v>
      </c>
      <c r="O111" s="135">
        <f t="shared" si="15"/>
        <v>507861336090.51453</v>
      </c>
      <c r="P111"/>
    </row>
    <row r="112" spans="1:16" x14ac:dyDescent="0.2">
      <c r="A112" s="43">
        <v>44985</v>
      </c>
      <c r="B112" s="44">
        <f>Inputs!D133</f>
        <v>28906608</v>
      </c>
      <c r="C112" s="44">
        <v>706.8</v>
      </c>
      <c r="D112" s="44">
        <v>28</v>
      </c>
      <c r="E112" s="109">
        <v>0</v>
      </c>
      <c r="F112" s="130">
        <v>0</v>
      </c>
      <c r="G112" s="137">
        <f>Inputs!G133+Inputs!I133+Inputs!L133</f>
        <v>14382</v>
      </c>
      <c r="H112" s="137">
        <v>0</v>
      </c>
      <c r="I112" s="44">
        <f t="shared" si="12"/>
        <v>29008419.100618761</v>
      </c>
      <c r="J112" s="27">
        <f t="shared" si="16"/>
        <v>101811.10061876103</v>
      </c>
      <c r="K112" s="36">
        <f t="shared" si="17"/>
        <v>3.5220701307729025E-3</v>
      </c>
      <c r="L112" s="10">
        <f t="shared" si="11"/>
        <v>3.5220701307729025E-3</v>
      </c>
      <c r="M112" s="135">
        <f t="shared" si="13"/>
        <v>10365500209.203484</v>
      </c>
      <c r="N112" s="135">
        <f t="shared" si="14"/>
        <v>275940.75745668262</v>
      </c>
      <c r="O112" s="135">
        <f t="shared" si="15"/>
        <v>76143301625.767746</v>
      </c>
      <c r="P112"/>
    </row>
    <row r="113" spans="1:16" x14ac:dyDescent="0.2">
      <c r="A113" s="43">
        <v>45016</v>
      </c>
      <c r="B113" s="44">
        <f>Inputs!D134</f>
        <v>29869663</v>
      </c>
      <c r="C113" s="44">
        <v>629.30000000000018</v>
      </c>
      <c r="D113" s="44">
        <v>31</v>
      </c>
      <c r="E113" s="109">
        <v>1</v>
      </c>
      <c r="F113" s="130">
        <v>0</v>
      </c>
      <c r="G113" s="137">
        <f>Inputs!G134+Inputs!I134+Inputs!L134</f>
        <v>14394</v>
      </c>
      <c r="H113" s="137">
        <v>0</v>
      </c>
      <c r="I113" s="44">
        <f t="shared" si="12"/>
        <v>28667519.403977998</v>
      </c>
      <c r="J113" s="27">
        <f t="shared" si="16"/>
        <v>-1202143.5960220024</v>
      </c>
      <c r="K113" s="36">
        <f t="shared" si="17"/>
        <v>-4.0246305960063976E-2</v>
      </c>
      <c r="L113" s="10">
        <f t="shared" si="11"/>
        <v>4.0246305960063976E-2</v>
      </c>
      <c r="M113" s="135">
        <f t="shared" si="13"/>
        <v>1445149225456.7112</v>
      </c>
      <c r="N113" s="135">
        <f t="shared" si="14"/>
        <v>-1303954.6966407634</v>
      </c>
      <c r="O113" s="135">
        <f t="shared" si="15"/>
        <v>1700297850891.5054</v>
      </c>
      <c r="P113"/>
    </row>
    <row r="114" spans="1:16" x14ac:dyDescent="0.2">
      <c r="A114" s="43">
        <v>45046</v>
      </c>
      <c r="B114" s="44">
        <f>Inputs!D135</f>
        <v>25209778</v>
      </c>
      <c r="C114" s="44">
        <v>380.5</v>
      </c>
      <c r="D114" s="44">
        <v>30</v>
      </c>
      <c r="E114" s="109">
        <v>1</v>
      </c>
      <c r="F114" s="130">
        <v>0</v>
      </c>
      <c r="G114" s="137">
        <f>Inputs!G135+Inputs!I135+Inputs!L135</f>
        <v>14392</v>
      </c>
      <c r="H114" s="137">
        <v>0</v>
      </c>
      <c r="I114" s="44">
        <f t="shared" si="12"/>
        <v>25092232.90563935</v>
      </c>
      <c r="J114" s="27">
        <f t="shared" si="16"/>
        <v>-117545.09436064959</v>
      </c>
      <c r="K114" s="36">
        <f t="shared" si="17"/>
        <v>-4.6626786781164666E-3</v>
      </c>
      <c r="L114" s="10">
        <f t="shared" si="11"/>
        <v>4.6626786781164666E-3</v>
      </c>
      <c r="M114" s="135">
        <f t="shared" si="13"/>
        <v>13816849208.254015</v>
      </c>
      <c r="N114" s="135">
        <f t="shared" si="14"/>
        <v>1084598.5016613528</v>
      </c>
      <c r="O114" s="135">
        <f t="shared" si="15"/>
        <v>1176353909806.0515</v>
      </c>
      <c r="P114"/>
    </row>
    <row r="115" spans="1:16" x14ac:dyDescent="0.2">
      <c r="A115" s="43">
        <v>45077</v>
      </c>
      <c r="B115" s="44">
        <f>Inputs!D136</f>
        <v>23723123</v>
      </c>
      <c r="C115" s="44">
        <v>237.2</v>
      </c>
      <c r="D115" s="44">
        <v>31</v>
      </c>
      <c r="E115" s="109">
        <v>1</v>
      </c>
      <c r="F115" s="130">
        <v>0</v>
      </c>
      <c r="G115" s="137">
        <f>Inputs!G136+Inputs!I136+Inputs!L136</f>
        <v>14414</v>
      </c>
      <c r="H115" s="137">
        <v>0</v>
      </c>
      <c r="I115" s="44">
        <f t="shared" si="12"/>
        <v>23923943.242280737</v>
      </c>
      <c r="J115" s="27">
        <f t="shared" si="16"/>
        <v>200820.24228073657</v>
      </c>
      <c r="K115" s="36">
        <f t="shared" si="17"/>
        <v>8.4651688683963135E-3</v>
      </c>
      <c r="L115" s="10">
        <f t="shared" si="11"/>
        <v>8.4651688683963135E-3</v>
      </c>
      <c r="M115" s="135">
        <f t="shared" si="13"/>
        <v>40328769709.693733</v>
      </c>
      <c r="N115" s="135">
        <f t="shared" si="14"/>
        <v>318365.33664138615</v>
      </c>
      <c r="O115" s="135">
        <f t="shared" si="15"/>
        <v>101356487574.78313</v>
      </c>
      <c r="P115"/>
    </row>
    <row r="116" spans="1:16" x14ac:dyDescent="0.2">
      <c r="A116" s="43">
        <v>45107</v>
      </c>
      <c r="B116" s="44">
        <f>Inputs!D137</f>
        <v>23955844</v>
      </c>
      <c r="C116" s="44">
        <v>69.000000000000014</v>
      </c>
      <c r="D116" s="44">
        <v>30</v>
      </c>
      <c r="E116" s="109">
        <v>0</v>
      </c>
      <c r="F116" s="130">
        <v>0</v>
      </c>
      <c r="G116" s="137">
        <f>Inputs!G137+Inputs!I137+Inputs!L137</f>
        <v>14450</v>
      </c>
      <c r="H116" s="137">
        <v>0</v>
      </c>
      <c r="I116" s="44">
        <f t="shared" si="12"/>
        <v>22429596.815835617</v>
      </c>
      <c r="J116" s="27">
        <f t="shared" si="16"/>
        <v>-1526247.1841643825</v>
      </c>
      <c r="K116" s="36">
        <f t="shared" si="17"/>
        <v>-6.3710850019076032E-2</v>
      </c>
      <c r="L116" s="10">
        <f t="shared" si="11"/>
        <v>6.3710850019076032E-2</v>
      </c>
      <c r="M116" s="135">
        <f t="shared" si="13"/>
        <v>2329430467169.7065</v>
      </c>
      <c r="N116" s="135">
        <f t="shared" si="14"/>
        <v>-1727067.4264451191</v>
      </c>
      <c r="O116" s="135">
        <f t="shared" si="15"/>
        <v>2982761895487.7666</v>
      </c>
      <c r="P116"/>
    </row>
    <row r="117" spans="1:16" x14ac:dyDescent="0.2">
      <c r="A117" s="43">
        <v>45138</v>
      </c>
      <c r="B117" s="44">
        <f>Inputs!D138</f>
        <v>25445214</v>
      </c>
      <c r="C117" s="44">
        <v>27.000000000000004</v>
      </c>
      <c r="D117" s="44">
        <v>31</v>
      </c>
      <c r="E117" s="109">
        <v>0</v>
      </c>
      <c r="F117" s="130">
        <v>1</v>
      </c>
      <c r="G117" s="137">
        <f>Inputs!G138+Inputs!I138+Inputs!L138</f>
        <v>14453</v>
      </c>
      <c r="H117" s="137">
        <v>0</v>
      </c>
      <c r="I117" s="44">
        <f t="shared" si="12"/>
        <v>25396887.337688506</v>
      </c>
      <c r="J117" s="27">
        <f t="shared" si="16"/>
        <v>-48326.66231149435</v>
      </c>
      <c r="K117" s="36">
        <f t="shared" si="17"/>
        <v>-1.8992436971249033E-3</v>
      </c>
      <c r="L117" s="10">
        <f t="shared" si="11"/>
        <v>1.8992436971249033E-3</v>
      </c>
      <c r="M117" s="135">
        <f t="shared" si="13"/>
        <v>2335466290.1692085</v>
      </c>
      <c r="N117" s="135">
        <f t="shared" si="14"/>
        <v>1477920.5218528882</v>
      </c>
      <c r="O117" s="135">
        <f t="shared" si="15"/>
        <v>2184249068913.9133</v>
      </c>
      <c r="P117"/>
    </row>
    <row r="118" spans="1:16" x14ac:dyDescent="0.2">
      <c r="A118" s="43">
        <v>45169</v>
      </c>
      <c r="B118" s="44">
        <f>Inputs!D139</f>
        <v>24199133</v>
      </c>
      <c r="C118" s="44">
        <v>56.2</v>
      </c>
      <c r="D118" s="44">
        <v>31</v>
      </c>
      <c r="E118" s="109">
        <v>0</v>
      </c>
      <c r="F118" s="130">
        <v>1</v>
      </c>
      <c r="G118" s="137">
        <f>Inputs!G139+Inputs!I139+Inputs!L139</f>
        <v>14476</v>
      </c>
      <c r="H118" s="137">
        <v>0</v>
      </c>
      <c r="I118" s="44">
        <f t="shared" si="12"/>
        <v>25776421.121466126</v>
      </c>
      <c r="J118" s="27">
        <f t="shared" si="16"/>
        <v>1577288.1214661263</v>
      </c>
      <c r="K118" s="36">
        <f t="shared" si="17"/>
        <v>6.5179530252845272E-2</v>
      </c>
      <c r="L118" s="10">
        <f t="shared" si="11"/>
        <v>6.5179530252845272E-2</v>
      </c>
      <c r="M118" s="135">
        <f t="shared" si="13"/>
        <v>2487837818118.1416</v>
      </c>
      <c r="N118" s="135">
        <f t="shared" si="14"/>
        <v>1625614.7837776206</v>
      </c>
      <c r="O118" s="135">
        <f t="shared" si="15"/>
        <v>2642623425236.3604</v>
      </c>
      <c r="P118"/>
    </row>
    <row r="119" spans="1:16" x14ac:dyDescent="0.2">
      <c r="A119" s="43">
        <v>45199</v>
      </c>
      <c r="B119" s="44">
        <f>Inputs!D140</f>
        <v>22957346</v>
      </c>
      <c r="C119" s="44">
        <v>116.4</v>
      </c>
      <c r="D119" s="44">
        <v>30</v>
      </c>
      <c r="E119" s="109">
        <v>0</v>
      </c>
      <c r="F119" s="130">
        <v>0</v>
      </c>
      <c r="G119" s="137">
        <f>Inputs!G140+Inputs!I140+Inputs!L140</f>
        <v>14518</v>
      </c>
      <c r="H119" s="137">
        <v>0</v>
      </c>
      <c r="I119" s="44">
        <f t="shared" si="12"/>
        <v>23078590.630020075</v>
      </c>
      <c r="J119" s="27">
        <f t="shared" si="16"/>
        <v>121244.63002007455</v>
      </c>
      <c r="K119" s="36">
        <f t="shared" si="17"/>
        <v>5.2812999385937094E-3</v>
      </c>
      <c r="L119" s="10">
        <f t="shared" si="11"/>
        <v>5.2812999385937094E-3</v>
      </c>
      <c r="M119" s="135">
        <f t="shared" si="13"/>
        <v>14700260308.704762</v>
      </c>
      <c r="N119" s="135">
        <f t="shared" si="14"/>
        <v>-1456043.4914460517</v>
      </c>
      <c r="O119" s="135">
        <f t="shared" si="15"/>
        <v>2120062648982.4084</v>
      </c>
      <c r="P119"/>
    </row>
    <row r="120" spans="1:16" x14ac:dyDescent="0.2">
      <c r="A120" s="43">
        <v>45230</v>
      </c>
      <c r="B120" s="44">
        <f>Inputs!D141</f>
        <v>24656330</v>
      </c>
      <c r="C120" s="44">
        <v>267.60000000000002</v>
      </c>
      <c r="D120" s="44">
        <v>31</v>
      </c>
      <c r="E120" s="109">
        <v>1</v>
      </c>
      <c r="F120" s="130">
        <v>0</v>
      </c>
      <c r="G120" s="137">
        <f>Inputs!G141+Inputs!I141+Inputs!L141</f>
        <v>14534</v>
      </c>
      <c r="H120" s="137">
        <v>0</v>
      </c>
      <c r="I120" s="44">
        <f t="shared" si="12"/>
        <v>24422136.145701051</v>
      </c>
      <c r="J120" s="27">
        <f t="shared" si="16"/>
        <v>-234193.85429894924</v>
      </c>
      <c r="K120" s="36">
        <f t="shared" si="17"/>
        <v>-9.4983257564669691E-3</v>
      </c>
      <c r="L120" s="10">
        <f t="shared" si="11"/>
        <v>9.4983257564669691E-3</v>
      </c>
      <c r="M120" s="135">
        <f t="shared" si="13"/>
        <v>54846761391.397469</v>
      </c>
      <c r="N120" s="135">
        <f t="shared" si="14"/>
        <v>-355438.48431902379</v>
      </c>
      <c r="O120" s="135">
        <f t="shared" si="15"/>
        <v>126336516135.00491</v>
      </c>
      <c r="P120"/>
    </row>
    <row r="121" spans="1:16" x14ac:dyDescent="0.2">
      <c r="A121" s="43">
        <v>45260</v>
      </c>
      <c r="B121" s="44">
        <f>Inputs!D142</f>
        <v>27066324</v>
      </c>
      <c r="C121" s="44">
        <v>536.40000000000009</v>
      </c>
      <c r="D121" s="44">
        <v>30</v>
      </c>
      <c r="E121" s="109">
        <v>1</v>
      </c>
      <c r="F121" s="130">
        <v>0</v>
      </c>
      <c r="G121" s="137">
        <f>Inputs!G142+Inputs!I142+Inputs!L142</f>
        <v>14568</v>
      </c>
      <c r="H121" s="137">
        <v>0</v>
      </c>
      <c r="I121" s="44">
        <f t="shared" si="12"/>
        <v>27175662.435606338</v>
      </c>
      <c r="J121" s="27">
        <f t="shared" si="16"/>
        <v>109338.43560633808</v>
      </c>
      <c r="K121" s="36">
        <f t="shared" si="17"/>
        <v>4.0396485169666221E-3</v>
      </c>
      <c r="L121" s="10">
        <f t="shared" si="11"/>
        <v>4.0396485169666221E-3</v>
      </c>
      <c r="M121" s="135">
        <f t="shared" si="13"/>
        <v>11954893500.841339</v>
      </c>
      <c r="N121" s="135">
        <f t="shared" si="14"/>
        <v>343532.28990528733</v>
      </c>
      <c r="O121" s="135">
        <f t="shared" si="15"/>
        <v>118014434207.57037</v>
      </c>
      <c r="P121"/>
    </row>
    <row r="122" spans="1:16" x14ac:dyDescent="0.2">
      <c r="A122" s="43">
        <v>45291</v>
      </c>
      <c r="B122" s="44">
        <f>Inputs!D143</f>
        <v>28270776</v>
      </c>
      <c r="C122" s="44">
        <v>589.70000000000005</v>
      </c>
      <c r="D122" s="44">
        <v>31</v>
      </c>
      <c r="E122" s="109">
        <v>0</v>
      </c>
      <c r="F122" s="130">
        <v>0</v>
      </c>
      <c r="G122" s="137">
        <f>Inputs!G143+Inputs!I143+Inputs!L143</f>
        <v>14594</v>
      </c>
      <c r="H122" s="137">
        <v>0</v>
      </c>
      <c r="I122" s="44">
        <f t="shared" si="12"/>
        <v>29461534.39585828</v>
      </c>
      <c r="J122" s="27">
        <f t="shared" si="16"/>
        <v>1190758.3958582804</v>
      </c>
      <c r="K122" s="36">
        <f t="shared" si="17"/>
        <v>4.2119763385988426E-2</v>
      </c>
      <c r="L122" s="10">
        <f t="shared" si="11"/>
        <v>4.2119763385988426E-2</v>
      </c>
      <c r="M122" s="135">
        <f t="shared" si="13"/>
        <v>1417905557306.9851</v>
      </c>
      <c r="N122" s="135">
        <f t="shared" si="14"/>
        <v>1081419.9602519423</v>
      </c>
      <c r="O122" s="135">
        <f t="shared" si="15"/>
        <v>1169469130431.3125</v>
      </c>
      <c r="P122"/>
    </row>
    <row r="123" spans="1:16" x14ac:dyDescent="0.2">
      <c r="A123" s="43">
        <v>45322</v>
      </c>
      <c r="B123" s="44">
        <f>Inputs!D144</f>
        <v>31081694</v>
      </c>
      <c r="C123" s="44">
        <v>726.9</v>
      </c>
      <c r="D123" s="99">
        <v>31</v>
      </c>
      <c r="E123" s="109">
        <v>0</v>
      </c>
      <c r="F123" s="130">
        <v>0</v>
      </c>
      <c r="G123" s="137">
        <f>Inputs!G144+Inputs!I144+Inputs!L144</f>
        <v>14622</v>
      </c>
      <c r="H123" s="137">
        <v>0</v>
      </c>
      <c r="I123" s="44">
        <f t="shared" si="12"/>
        <v>31158913.906399682</v>
      </c>
      <c r="J123" s="27">
        <f t="shared" si="16"/>
        <v>77219.906399682164</v>
      </c>
      <c r="K123" s="36">
        <f t="shared" si="17"/>
        <v>2.4844175610146011E-3</v>
      </c>
      <c r="L123" s="10">
        <f t="shared" si="11"/>
        <v>2.4844175610146011E-3</v>
      </c>
      <c r="M123" s="135">
        <f t="shared" si="13"/>
        <v>5962913944.3756742</v>
      </c>
      <c r="N123" s="135">
        <f t="shared" si="14"/>
        <v>-1113538.4894585982</v>
      </c>
      <c r="O123" s="135">
        <f t="shared" si="15"/>
        <v>1239967967505.7366</v>
      </c>
    </row>
    <row r="124" spans="1:16" x14ac:dyDescent="0.2">
      <c r="A124" s="43">
        <v>45351</v>
      </c>
      <c r="B124" s="44">
        <f>Inputs!D145</f>
        <v>28269261</v>
      </c>
      <c r="C124" s="44">
        <v>637.70000000000016</v>
      </c>
      <c r="D124" s="99">
        <v>29</v>
      </c>
      <c r="E124" s="109">
        <v>0</v>
      </c>
      <c r="F124" s="130">
        <v>0</v>
      </c>
      <c r="G124" s="137">
        <f>Inputs!G145+Inputs!I145+Inputs!L145</f>
        <v>14633</v>
      </c>
      <c r="H124" s="137">
        <v>0</v>
      </c>
      <c r="I124" s="44">
        <f t="shared" si="12"/>
        <v>28987557.674290776</v>
      </c>
      <c r="J124" s="27">
        <f t="shared" si="16"/>
        <v>718296.67429077625</v>
      </c>
      <c r="K124" s="36">
        <f t="shared" si="17"/>
        <v>2.5409106884356696E-2</v>
      </c>
      <c r="L124" s="10">
        <f t="shared" si="11"/>
        <v>2.5409106884356696E-2</v>
      </c>
      <c r="M124" s="135">
        <f t="shared" si="13"/>
        <v>515950112297.18951</v>
      </c>
      <c r="N124" s="135">
        <f t="shared" si="14"/>
        <v>641076.76789109409</v>
      </c>
      <c r="O124" s="135">
        <f t="shared" si="15"/>
        <v>410979422329.69171</v>
      </c>
      <c r="P124"/>
    </row>
    <row r="125" spans="1:16" x14ac:dyDescent="0.2">
      <c r="A125" s="43">
        <v>45382</v>
      </c>
      <c r="B125" s="44">
        <f>Inputs!D146</f>
        <v>28028742</v>
      </c>
      <c r="C125" s="44">
        <v>545.1</v>
      </c>
      <c r="D125" s="99">
        <v>31</v>
      </c>
      <c r="E125" s="109">
        <v>1</v>
      </c>
      <c r="F125" s="130">
        <v>0</v>
      </c>
      <c r="G125" s="137">
        <f>Inputs!G146+Inputs!I146+Inputs!L146</f>
        <v>14633</v>
      </c>
      <c r="H125" s="137">
        <v>0</v>
      </c>
      <c r="I125" s="44">
        <f t="shared" si="12"/>
        <v>27900705.014520541</v>
      </c>
      <c r="J125" s="27">
        <f t="shared" si="16"/>
        <v>-128036.98547945917</v>
      </c>
      <c r="K125" s="36">
        <f t="shared" si="17"/>
        <v>-4.5680603674420764E-3</v>
      </c>
      <c r="L125" s="10">
        <f t="shared" si="11"/>
        <v>4.5680603674420764E-3</v>
      </c>
      <c r="M125" s="135">
        <f t="shared" si="13"/>
        <v>16393469650.667238</v>
      </c>
      <c r="N125" s="135">
        <f t="shared" si="14"/>
        <v>-846333.65977023542</v>
      </c>
      <c r="O125" s="135">
        <f t="shared" si="15"/>
        <v>716280663660.08057</v>
      </c>
      <c r="P125"/>
    </row>
    <row r="126" spans="1:16" x14ac:dyDescent="0.2">
      <c r="A126" s="43">
        <v>45412</v>
      </c>
      <c r="B126" s="44">
        <f>Inputs!D147</f>
        <v>24581293</v>
      </c>
      <c r="C126" s="44">
        <v>371.3</v>
      </c>
      <c r="D126" s="99">
        <v>30</v>
      </c>
      <c r="E126" s="109">
        <v>1</v>
      </c>
      <c r="F126" s="130">
        <v>0</v>
      </c>
      <c r="G126" s="137">
        <f>Inputs!G147+Inputs!I147+Inputs!L147</f>
        <v>14658</v>
      </c>
      <c r="H126" s="137">
        <v>0</v>
      </c>
      <c r="I126" s="44">
        <f t="shared" si="12"/>
        <v>25265833.251967136</v>
      </c>
      <c r="J126" s="27">
        <f t="shared" si="16"/>
        <v>684540.25196713582</v>
      </c>
      <c r="K126" s="36">
        <f t="shared" si="17"/>
        <v>2.7848016455730616E-2</v>
      </c>
      <c r="L126" s="10">
        <f t="shared" si="11"/>
        <v>2.7848016455730616E-2</v>
      </c>
      <c r="M126" s="135">
        <f t="shared" si="13"/>
        <v>468595356563.2298</v>
      </c>
      <c r="N126" s="135">
        <f t="shared" si="14"/>
        <v>812577.23744659498</v>
      </c>
      <c r="O126" s="135">
        <f t="shared" si="15"/>
        <v>660281766816.33997</v>
      </c>
      <c r="P126"/>
    </row>
    <row r="127" spans="1:16" x14ac:dyDescent="0.2">
      <c r="A127" s="43">
        <v>45443</v>
      </c>
      <c r="B127" s="44">
        <f>Inputs!D148</f>
        <v>23038858</v>
      </c>
      <c r="C127" s="44">
        <v>145.59999999999997</v>
      </c>
      <c r="D127" s="99">
        <v>31</v>
      </c>
      <c r="E127" s="109">
        <v>1</v>
      </c>
      <c r="F127" s="130">
        <v>0</v>
      </c>
      <c r="G127" s="137">
        <f>Inputs!G148+Inputs!I148+Inputs!L148</f>
        <v>14670</v>
      </c>
      <c r="H127" s="137">
        <v>0</v>
      </c>
      <c r="I127" s="44">
        <f t="shared" si="12"/>
        <v>23085439.723462608</v>
      </c>
      <c r="J127" s="27">
        <f t="shared" si="16"/>
        <v>46581.723462607712</v>
      </c>
      <c r="K127" s="36">
        <f t="shared" si="17"/>
        <v>2.0218764082233463E-3</v>
      </c>
      <c r="L127" s="10">
        <f t="shared" si="11"/>
        <v>2.0218764082233463E-3</v>
      </c>
      <c r="M127" s="135">
        <f t="shared" si="13"/>
        <v>2169856960.7468576</v>
      </c>
      <c r="N127" s="135">
        <f t="shared" si="14"/>
        <v>-637958.52850452811</v>
      </c>
      <c r="O127" s="135">
        <f t="shared" si="15"/>
        <v>406991084091.66278</v>
      </c>
      <c r="P127"/>
    </row>
    <row r="128" spans="1:16" x14ac:dyDescent="0.2">
      <c r="A128" s="43">
        <v>45473</v>
      </c>
      <c r="B128" s="44">
        <f>Inputs!D149</f>
        <v>23532824</v>
      </c>
      <c r="C128" s="44">
        <v>67.2</v>
      </c>
      <c r="D128" s="99">
        <v>30</v>
      </c>
      <c r="E128" s="109">
        <v>0</v>
      </c>
      <c r="F128" s="130">
        <v>0</v>
      </c>
      <c r="G128" s="137">
        <f>Inputs!G149+Inputs!I149+Inputs!L149</f>
        <v>14675</v>
      </c>
      <c r="H128" s="137">
        <v>0</v>
      </c>
      <c r="I128" s="44">
        <f t="shared" si="12"/>
        <v>22649135.529233433</v>
      </c>
      <c r="J128" s="27">
        <f t="shared" si="16"/>
        <v>-883688.47076656669</v>
      </c>
      <c r="K128" s="36">
        <f t="shared" si="17"/>
        <v>-3.7551314315976983E-2</v>
      </c>
      <c r="L128" s="10">
        <f t="shared" si="11"/>
        <v>3.7551314315976983E-2</v>
      </c>
      <c r="M128" s="135">
        <f t="shared" si="13"/>
        <v>780905313365.75317</v>
      </c>
      <c r="N128" s="135">
        <f t="shared" si="14"/>
        <v>-930270.19422917441</v>
      </c>
      <c r="O128" s="135">
        <f t="shared" si="15"/>
        <v>865402634271.18591</v>
      </c>
      <c r="P128"/>
    </row>
    <row r="129" spans="1:16" x14ac:dyDescent="0.2">
      <c r="A129" s="43">
        <v>45504</v>
      </c>
      <c r="B129" s="44">
        <f>Inputs!D150</f>
        <v>26577704</v>
      </c>
      <c r="C129" s="44">
        <v>19.599999999999998</v>
      </c>
      <c r="D129" s="99">
        <v>31</v>
      </c>
      <c r="E129" s="109">
        <v>0</v>
      </c>
      <c r="F129" s="130">
        <v>1</v>
      </c>
      <c r="G129" s="137">
        <f>Inputs!G150+Inputs!I150+Inputs!L150</f>
        <v>14668</v>
      </c>
      <c r="H129" s="137">
        <v>0</v>
      </c>
      <c r="I129" s="44">
        <f t="shared" si="12"/>
        <v>25537641.997225665</v>
      </c>
      <c r="J129" s="27">
        <f t="shared" si="16"/>
        <v>-1040062.0027743354</v>
      </c>
      <c r="K129" s="36">
        <f t="shared" si="17"/>
        <v>-3.9132876292637446E-2</v>
      </c>
      <c r="L129" s="10">
        <f t="shared" si="11"/>
        <v>3.9132876292637446E-2</v>
      </c>
      <c r="M129" s="135">
        <f t="shared" si="13"/>
        <v>1081728969614.9618</v>
      </c>
      <c r="N129" s="135">
        <f t="shared" si="14"/>
        <v>-156373.53200776875</v>
      </c>
      <c r="O129" s="135">
        <f t="shared" si="15"/>
        <v>24452681512.584679</v>
      </c>
      <c r="P129"/>
    </row>
    <row r="130" spans="1:16" x14ac:dyDescent="0.2">
      <c r="A130" s="43">
        <v>45535</v>
      </c>
      <c r="B130" s="44">
        <f>Inputs!D151</f>
        <v>26337062</v>
      </c>
      <c r="C130" s="44">
        <v>37.600000000000009</v>
      </c>
      <c r="D130" s="99">
        <v>31</v>
      </c>
      <c r="E130" s="109">
        <v>0</v>
      </c>
      <c r="F130" s="130">
        <v>1</v>
      </c>
      <c r="G130" s="137">
        <f>Inputs!G151+Inputs!I151+Inputs!L151</f>
        <v>14710</v>
      </c>
      <c r="H130" s="137">
        <v>0</v>
      </c>
      <c r="I130" s="44">
        <f t="shared" si="12"/>
        <v>25801452.662004281</v>
      </c>
      <c r="J130" s="27">
        <f t="shared" si="16"/>
        <v>-535609.33799571916</v>
      </c>
      <c r="K130" s="36">
        <f t="shared" si="17"/>
        <v>-2.0336715537812043E-2</v>
      </c>
      <c r="L130" s="10">
        <f t="shared" si="11"/>
        <v>2.0336715537812043E-2</v>
      </c>
      <c r="M130" s="135">
        <f t="shared" si="13"/>
        <v>286877362948.21252</v>
      </c>
      <c r="N130" s="135">
        <f t="shared" si="14"/>
        <v>504452.66477861628</v>
      </c>
      <c r="O130" s="135">
        <f t="shared" si="15"/>
        <v>254472491002.24701</v>
      </c>
      <c r="P130"/>
    </row>
    <row r="131" spans="1:16" x14ac:dyDescent="0.2">
      <c r="A131" s="43">
        <v>45565</v>
      </c>
      <c r="B131" s="44">
        <f>Inputs!D152</f>
        <v>23770050</v>
      </c>
      <c r="C131" s="44">
        <v>70.000000000000014</v>
      </c>
      <c r="D131" s="99">
        <v>30</v>
      </c>
      <c r="E131" s="109">
        <v>0</v>
      </c>
      <c r="F131" s="130">
        <v>0</v>
      </c>
      <c r="G131" s="137">
        <f>Inputs!G152+Inputs!I152+Inputs!L152</f>
        <v>14736</v>
      </c>
      <c r="H131" s="137">
        <v>0</v>
      </c>
      <c r="I131" s="44">
        <f t="shared" si="12"/>
        <v>22748612.668175269</v>
      </c>
      <c r="J131" s="27">
        <f t="shared" si="16"/>
        <v>-1021437.3318247311</v>
      </c>
      <c r="K131" s="36">
        <f t="shared" si="17"/>
        <v>-4.2971610569802379E-2</v>
      </c>
      <c r="L131" s="10">
        <f t="shared" ref="L131:L134" si="18">ABS(K131)</f>
        <v>4.2971610569802379E-2</v>
      </c>
      <c r="M131" s="135">
        <f t="shared" si="13"/>
        <v>1043334222845.2258</v>
      </c>
      <c r="N131" s="135">
        <f t="shared" si="14"/>
        <v>-485827.99382901192</v>
      </c>
      <c r="O131" s="135">
        <f t="shared" si="15"/>
        <v>236028839587.92245</v>
      </c>
      <c r="P131"/>
    </row>
    <row r="132" spans="1:16" x14ac:dyDescent="0.2">
      <c r="A132" s="43">
        <v>45596</v>
      </c>
      <c r="B132" s="44">
        <f>Inputs!D153</f>
        <v>24811935</v>
      </c>
      <c r="C132" s="44">
        <v>308.99999999999989</v>
      </c>
      <c r="D132" s="99">
        <v>31</v>
      </c>
      <c r="E132" s="109">
        <v>1</v>
      </c>
      <c r="F132" s="130">
        <v>0</v>
      </c>
      <c r="G132" s="137">
        <f>Inputs!G153+Inputs!I153+Inputs!L153</f>
        <v>14744</v>
      </c>
      <c r="H132" s="137">
        <v>0</v>
      </c>
      <c r="I132" s="44">
        <f t="shared" ref="I132:I146" si="19">$R$18+$R$19*C132+$R$20*D132+$R$21*E132+$R$22*F132+$R$23*G132+$R$24*H132</f>
        <v>25150573.026515171</v>
      </c>
      <c r="J132" s="27">
        <f t="shared" si="16"/>
        <v>338638.02651517093</v>
      </c>
      <c r="K132" s="36">
        <f t="shared" si="17"/>
        <v>1.3648190941785513E-2</v>
      </c>
      <c r="L132" s="10">
        <f t="shared" si="18"/>
        <v>1.3648190941785513E-2</v>
      </c>
      <c r="M132" s="135">
        <f t="shared" ref="M132:M134" si="20">J132*J132</f>
        <v>114675713002.08961</v>
      </c>
      <c r="N132" s="135">
        <f t="shared" si="14"/>
        <v>1360075.358339902</v>
      </c>
      <c r="O132" s="135">
        <f t="shared" si="15"/>
        <v>1849804980363.4128</v>
      </c>
      <c r="P132"/>
    </row>
    <row r="133" spans="1:16" x14ac:dyDescent="0.2">
      <c r="A133" s="43">
        <v>45626</v>
      </c>
      <c r="B133" s="44">
        <f>Inputs!D154</f>
        <v>26163462</v>
      </c>
      <c r="C133" s="44">
        <v>449.7</v>
      </c>
      <c r="D133" s="99">
        <v>30</v>
      </c>
      <c r="E133" s="109">
        <v>1</v>
      </c>
      <c r="F133" s="130">
        <v>0</v>
      </c>
      <c r="G133" s="137">
        <f>Inputs!G154+Inputs!I154+Inputs!L154</f>
        <v>14771</v>
      </c>
      <c r="H133" s="137">
        <v>0</v>
      </c>
      <c r="I133" s="44">
        <f t="shared" si="19"/>
        <v>26339840.398439303</v>
      </c>
      <c r="J133" s="27">
        <f t="shared" si="16"/>
        <v>176378.39843930304</v>
      </c>
      <c r="K133" s="36">
        <f t="shared" si="17"/>
        <v>6.7414013649762039E-3</v>
      </c>
      <c r="L133" s="10">
        <f t="shared" si="18"/>
        <v>6.7414013649762039E-3</v>
      </c>
      <c r="M133" s="135">
        <f t="shared" si="20"/>
        <v>31109339436.013538</v>
      </c>
      <c r="N133" s="135">
        <f t="shared" ref="N133:N134" si="21">J133-J132</f>
        <v>-162259.62807586789</v>
      </c>
      <c r="O133" s="135">
        <f t="shared" ref="O133:O134" si="22">N133*N133</f>
        <v>26328186903.318977</v>
      </c>
      <c r="P133"/>
    </row>
    <row r="134" spans="1:16" x14ac:dyDescent="0.2">
      <c r="A134" s="43">
        <v>45657</v>
      </c>
      <c r="B134" s="44">
        <f>Inputs!D155</f>
        <v>31129577</v>
      </c>
      <c r="C134" s="44">
        <v>694.5</v>
      </c>
      <c r="D134" s="99">
        <v>31</v>
      </c>
      <c r="E134" s="109">
        <v>0</v>
      </c>
      <c r="F134" s="130">
        <v>0</v>
      </c>
      <c r="G134" s="137">
        <f>Inputs!G155+Inputs!I155+Inputs!L155</f>
        <v>14773</v>
      </c>
      <c r="H134" s="137">
        <v>0</v>
      </c>
      <c r="I134" s="44">
        <f t="shared" si="19"/>
        <v>30927184.823759034</v>
      </c>
      <c r="J134" s="27">
        <f t="shared" si="16"/>
        <v>-202392.17624096572</v>
      </c>
      <c r="K134" s="36">
        <f t="shared" si="17"/>
        <v>-6.50160380402746E-3</v>
      </c>
      <c r="L134" s="10">
        <f t="shared" si="18"/>
        <v>6.50160380402746E-3</v>
      </c>
      <c r="M134" s="135">
        <f t="shared" si="20"/>
        <v>40962593003.554131</v>
      </c>
      <c r="N134" s="135">
        <f t="shared" si="21"/>
        <v>-378770.57468026876</v>
      </c>
      <c r="O134" s="135">
        <f t="shared" si="22"/>
        <v>143467148243.62106</v>
      </c>
      <c r="P134"/>
    </row>
    <row r="135" spans="1:16" x14ac:dyDescent="0.2">
      <c r="A135" s="43">
        <v>45688</v>
      </c>
      <c r="B135" s="44"/>
      <c r="C135" s="51">
        <f>(C3+C15+C27+C39+C51+C63+C75+C87+C99+C111+C123)/11</f>
        <v>834.24545454545466</v>
      </c>
      <c r="D135" s="99">
        <v>31</v>
      </c>
      <c r="E135" s="109">
        <v>0</v>
      </c>
      <c r="F135" s="130">
        <v>0</v>
      </c>
      <c r="G135" s="137">
        <f>'Rate Class Customer Model'!O4</f>
        <v>14774.001235799718</v>
      </c>
      <c r="H135" s="137">
        <v>0</v>
      </c>
      <c r="I135" s="44">
        <f t="shared" si="19"/>
        <v>32626529.947933227</v>
      </c>
      <c r="J135" s="27"/>
      <c r="K135" s="38" t="s">
        <v>51</v>
      </c>
      <c r="L135" s="4">
        <f>AVERAGE(L3:L134)</f>
        <v>2.7707161497747126E-2</v>
      </c>
      <c r="M135" s="5">
        <f>SUM(M3:M134)</f>
        <v>107217263732025.86</v>
      </c>
      <c r="N135" s="135"/>
      <c r="O135" s="5">
        <f>SUM(O3:O134)</f>
        <v>154271045859113.41</v>
      </c>
      <c r="P135"/>
    </row>
    <row r="136" spans="1:16" x14ac:dyDescent="0.2">
      <c r="A136" s="43">
        <v>45716</v>
      </c>
      <c r="B136" s="44"/>
      <c r="C136" s="51">
        <f t="shared" ref="C136:C146" si="23">(C4+C16+C28+C40+C52+C64+C76+C88+C100+C112+C124)/11</f>
        <v>763.4909090909091</v>
      </c>
      <c r="D136" s="99">
        <v>28</v>
      </c>
      <c r="E136" s="109">
        <v>0</v>
      </c>
      <c r="F136" s="130">
        <v>0</v>
      </c>
      <c r="G136" s="137">
        <f>'Rate Class Customer Model'!O5</f>
        <v>14792.258942365021</v>
      </c>
      <c r="H136" s="137">
        <v>0</v>
      </c>
      <c r="I136" s="44">
        <f t="shared" si="19"/>
        <v>30137547.82694909</v>
      </c>
      <c r="J136" s="27"/>
      <c r="K136"/>
      <c r="L136"/>
      <c r="M136"/>
      <c r="N136" s="135"/>
      <c r="O136"/>
      <c r="P136"/>
    </row>
    <row r="137" spans="1:16" x14ac:dyDescent="0.2">
      <c r="A137" s="43">
        <v>45747</v>
      </c>
      <c r="B137" s="44"/>
      <c r="C137" s="51">
        <f t="shared" si="23"/>
        <v>663.67272727272734</v>
      </c>
      <c r="D137" s="99">
        <v>31</v>
      </c>
      <c r="E137" s="109">
        <v>1</v>
      </c>
      <c r="F137" s="130">
        <v>0</v>
      </c>
      <c r="G137" s="137">
        <f>'Rate Class Customer Model'!O6</f>
        <v>14810.539211798952</v>
      </c>
      <c r="H137" s="137">
        <v>0</v>
      </c>
      <c r="I137" s="44">
        <f t="shared" si="19"/>
        <v>29532162.561014451</v>
      </c>
      <c r="J137" s="27"/>
      <c r="K137"/>
      <c r="L137"/>
      <c r="M137"/>
      <c r="N137" s="135"/>
      <c r="O137"/>
      <c r="P137"/>
    </row>
    <row r="138" spans="1:16" x14ac:dyDescent="0.2">
      <c r="A138" s="43">
        <v>45777</v>
      </c>
      <c r="B138" s="44"/>
      <c r="C138" s="51">
        <f t="shared" si="23"/>
        <v>423.24545454545455</v>
      </c>
      <c r="D138" s="99">
        <v>30</v>
      </c>
      <c r="E138" s="109">
        <v>1</v>
      </c>
      <c r="F138" s="130">
        <v>0</v>
      </c>
      <c r="G138" s="137">
        <f>'Rate Class Customer Model'!O7</f>
        <v>14828.8420719847</v>
      </c>
      <c r="H138" s="137">
        <v>0</v>
      </c>
      <c r="I138" s="44">
        <f t="shared" si="19"/>
        <v>26080410.404379029</v>
      </c>
      <c r="J138" s="27"/>
      <c r="K138"/>
      <c r="L138"/>
      <c r="M138"/>
      <c r="N138" s="135"/>
      <c r="O138"/>
      <c r="P138"/>
    </row>
    <row r="139" spans="1:16" x14ac:dyDescent="0.2">
      <c r="A139" s="43">
        <v>45808</v>
      </c>
      <c r="B139" s="44"/>
      <c r="C139" s="51">
        <f t="shared" si="23"/>
        <v>211.25454545454542</v>
      </c>
      <c r="D139" s="99">
        <v>31</v>
      </c>
      <c r="E139" s="109">
        <v>1</v>
      </c>
      <c r="F139" s="130">
        <v>0</v>
      </c>
      <c r="G139" s="137">
        <f>'Rate Class Customer Model'!O8</f>
        <v>14847.167550839909</v>
      </c>
      <c r="H139" s="137">
        <v>0</v>
      </c>
      <c r="I139" s="44">
        <f t="shared" si="19"/>
        <v>24073404.910090193</v>
      </c>
      <c r="J139" s="27"/>
      <c r="K139"/>
      <c r="L139"/>
      <c r="M139"/>
      <c r="N139" s="135"/>
      <c r="O139"/>
      <c r="P139"/>
    </row>
    <row r="140" spans="1:16" x14ac:dyDescent="0.2">
      <c r="A140" s="43">
        <v>45838</v>
      </c>
      <c r="B140" s="44"/>
      <c r="C140" s="51">
        <f t="shared" si="23"/>
        <v>79.27272727272728</v>
      </c>
      <c r="D140" s="99">
        <v>30</v>
      </c>
      <c r="E140" s="109">
        <v>0</v>
      </c>
      <c r="F140" s="130">
        <v>0</v>
      </c>
      <c r="G140" s="137">
        <f>'Rate Class Customer Model'!O9</f>
        <v>14865.515676316727</v>
      </c>
      <c r="H140" s="137">
        <v>0</v>
      </c>
      <c r="I140" s="44">
        <f t="shared" si="19"/>
        <v>23000264.070887029</v>
      </c>
      <c r="J140" s="27"/>
      <c r="K140"/>
      <c r="L140"/>
      <c r="M140"/>
      <c r="N140" s="135"/>
      <c r="O140"/>
      <c r="P140"/>
    </row>
    <row r="141" spans="1:16" x14ac:dyDescent="0.2">
      <c r="A141" s="43">
        <v>45869</v>
      </c>
      <c r="B141" s="44"/>
      <c r="C141" s="51">
        <f t="shared" si="23"/>
        <v>27.636363636363637</v>
      </c>
      <c r="D141" s="99">
        <v>31</v>
      </c>
      <c r="E141" s="109">
        <v>0</v>
      </c>
      <c r="F141" s="130">
        <v>1</v>
      </c>
      <c r="G141" s="137">
        <f>'Rate Class Customer Model'!O10</f>
        <v>14883.88647640184</v>
      </c>
      <c r="H141" s="137">
        <v>0</v>
      </c>
      <c r="I141" s="44">
        <f t="shared" si="19"/>
        <v>25866939.779340193</v>
      </c>
      <c r="J141" s="27"/>
      <c r="K141"/>
      <c r="L141"/>
      <c r="M141"/>
      <c r="N141" s="135"/>
      <c r="O141"/>
      <c r="P141"/>
    </row>
    <row r="142" spans="1:16" x14ac:dyDescent="0.2">
      <c r="A142" s="43">
        <v>45900</v>
      </c>
      <c r="B142" s="44"/>
      <c r="C142" s="51">
        <f t="shared" si="23"/>
        <v>40.327272727272721</v>
      </c>
      <c r="D142" s="99">
        <v>31</v>
      </c>
      <c r="E142" s="109">
        <v>0</v>
      </c>
      <c r="F142" s="130">
        <v>1</v>
      </c>
      <c r="G142" s="137">
        <f>'Rate Class Customer Model'!O11</f>
        <v>14902.279979116522</v>
      </c>
      <c r="H142" s="137">
        <v>0</v>
      </c>
      <c r="I142" s="44">
        <f t="shared" si="19"/>
        <v>26040902.62269019</v>
      </c>
      <c r="J142" s="27"/>
      <c r="K142"/>
      <c r="L142"/>
      <c r="M142"/>
      <c r="N142" s="135"/>
      <c r="O142"/>
      <c r="P142"/>
    </row>
    <row r="143" spans="1:16" x14ac:dyDescent="0.2">
      <c r="A143" s="43">
        <v>45930</v>
      </c>
      <c r="B143" s="44"/>
      <c r="C143" s="51">
        <f t="shared" si="23"/>
        <v>123.35454545454546</v>
      </c>
      <c r="D143" s="99">
        <v>30</v>
      </c>
      <c r="E143" s="109">
        <v>0</v>
      </c>
      <c r="F143" s="130">
        <v>0</v>
      </c>
      <c r="G143" s="137">
        <f>'Rate Class Customer Model'!O12</f>
        <v>14920.696212516677</v>
      </c>
      <c r="H143" s="137">
        <v>0</v>
      </c>
      <c r="I143" s="44">
        <f t="shared" si="19"/>
        <v>23595178.719493579</v>
      </c>
      <c r="J143" s="27"/>
      <c r="K143"/>
      <c r="L143"/>
      <c r="M143"/>
      <c r="N143" s="135"/>
      <c r="O143"/>
      <c r="P143"/>
    </row>
    <row r="144" spans="1:16" x14ac:dyDescent="0.2">
      <c r="A144" s="43">
        <v>45961</v>
      </c>
      <c r="B144" s="44"/>
      <c r="C144" s="51">
        <f t="shared" si="23"/>
        <v>312.07272727272726</v>
      </c>
      <c r="D144" s="99">
        <v>31</v>
      </c>
      <c r="E144" s="109">
        <v>1</v>
      </c>
      <c r="F144" s="130">
        <v>0</v>
      </c>
      <c r="G144" s="137">
        <f>'Rate Class Customer Model'!O13</f>
        <v>14939.135204692881</v>
      </c>
      <c r="H144" s="137">
        <v>0</v>
      </c>
      <c r="I144" s="44">
        <f t="shared" si="19"/>
        <v>25397284.668496665</v>
      </c>
      <c r="J144" s="27"/>
      <c r="K144"/>
      <c r="L144"/>
      <c r="M144"/>
      <c r="N144" s="135"/>
      <c r="O144"/>
      <c r="P144"/>
    </row>
    <row r="145" spans="1:16" x14ac:dyDescent="0.2">
      <c r="A145" s="43">
        <v>45991</v>
      </c>
      <c r="B145" s="44"/>
      <c r="C145" s="51">
        <f t="shared" si="23"/>
        <v>496.43636363636364</v>
      </c>
      <c r="D145" s="99">
        <v>30</v>
      </c>
      <c r="E145" s="109">
        <v>1</v>
      </c>
      <c r="F145" s="130">
        <v>0</v>
      </c>
      <c r="G145" s="137">
        <f>'Rate Class Customer Model'!O14</f>
        <v>14957.596983770422</v>
      </c>
      <c r="H145" s="137">
        <v>0</v>
      </c>
      <c r="I145" s="44">
        <f t="shared" si="19"/>
        <v>27108017.751610741</v>
      </c>
      <c r="J145" s="27"/>
      <c r="N145" s="135"/>
      <c r="P145"/>
    </row>
    <row r="146" spans="1:16" x14ac:dyDescent="0.2">
      <c r="A146" s="43">
        <v>46022</v>
      </c>
      <c r="B146" s="44"/>
      <c r="C146" s="51">
        <f t="shared" si="23"/>
        <v>679.73636363636365</v>
      </c>
      <c r="D146" s="99">
        <v>31</v>
      </c>
      <c r="E146" s="109">
        <v>0</v>
      </c>
      <c r="F146" s="130">
        <v>0</v>
      </c>
      <c r="G146" s="137">
        <f>'Rate Class Customer Model'!O15</f>
        <v>14976.081577909345</v>
      </c>
      <c r="H146" s="137">
        <v>0</v>
      </c>
      <c r="I146" s="44">
        <f t="shared" si="19"/>
        <v>30965664.291180078</v>
      </c>
      <c r="J146" s="27"/>
      <c r="N146" s="135"/>
      <c r="P146"/>
    </row>
    <row r="147" spans="1:16" x14ac:dyDescent="0.2">
      <c r="A147" s="28"/>
      <c r="D147" s="8"/>
      <c r="E147" s="53"/>
      <c r="P147"/>
    </row>
    <row r="148" spans="1:16" x14ac:dyDescent="0.2">
      <c r="A148" s="28"/>
      <c r="D148" s="8"/>
      <c r="E148" s="53"/>
      <c r="P148"/>
    </row>
    <row r="149" spans="1:16" x14ac:dyDescent="0.2">
      <c r="A149" s="28"/>
      <c r="C149" s="101" t="s">
        <v>123</v>
      </c>
      <c r="D149" s="8"/>
      <c r="E149" s="53"/>
      <c r="P149"/>
    </row>
    <row r="150" spans="1:16" x14ac:dyDescent="0.2">
      <c r="A150" s="28"/>
      <c r="C150" s="102" t="s">
        <v>89</v>
      </c>
      <c r="D150" s="8"/>
      <c r="E150" s="53"/>
      <c r="I150" s="27">
        <f>SUM(I2:I146)</f>
        <v>3740717463.0240636</v>
      </c>
      <c r="P150"/>
    </row>
    <row r="151" spans="1:16" x14ac:dyDescent="0.2">
      <c r="A151" s="28"/>
      <c r="D151" s="8"/>
      <c r="E151" s="53"/>
      <c r="P151"/>
    </row>
    <row r="152" spans="1:16" x14ac:dyDescent="0.2">
      <c r="A152" s="22">
        <v>2014</v>
      </c>
      <c r="B152" s="5">
        <f>SUM(B3:B14)</f>
        <v>319149657</v>
      </c>
      <c r="I152" s="5">
        <f>SUM(I3:I14)</f>
        <v>309053650.44764197</v>
      </c>
      <c r="J152"/>
      <c r="K152"/>
      <c r="L152" s="4"/>
      <c r="M152" s="4"/>
      <c r="N152" s="4"/>
      <c r="O152" s="4"/>
      <c r="P152"/>
    </row>
    <row r="153" spans="1:16" x14ac:dyDescent="0.2">
      <c r="A153" s="22">
        <v>2015</v>
      </c>
      <c r="B153" s="5">
        <f>SUM(B15:B26)</f>
        <v>308961454</v>
      </c>
      <c r="G153" s="36"/>
      <c r="H153" s="36"/>
      <c r="I153" s="5">
        <f>SUM(I15:I26)</f>
        <v>306881369.40230405</v>
      </c>
      <c r="J153"/>
      <c r="K153"/>
      <c r="L153" s="4"/>
      <c r="M153" s="4"/>
      <c r="N153" s="4"/>
      <c r="O153" s="4"/>
      <c r="P153"/>
    </row>
    <row r="154" spans="1:16" x14ac:dyDescent="0.2">
      <c r="A154" s="22">
        <v>2016</v>
      </c>
      <c r="B154" s="5">
        <f>SUM(B27:B38)</f>
        <v>302232068</v>
      </c>
      <c r="G154" s="36"/>
      <c r="H154" s="36"/>
      <c r="I154" s="5">
        <f>SUM(I27:I38)</f>
        <v>303651713.3178646</v>
      </c>
      <c r="J154"/>
      <c r="K154"/>
      <c r="L154" s="4"/>
      <c r="M154" s="4"/>
      <c r="N154" s="4"/>
      <c r="O154" s="4"/>
      <c r="P154"/>
    </row>
    <row r="155" spans="1:16" x14ac:dyDescent="0.2">
      <c r="A155" s="22">
        <v>2017</v>
      </c>
      <c r="B155" s="5">
        <f>SUM(B39:B50)</f>
        <v>297287399</v>
      </c>
      <c r="G155" s="36"/>
      <c r="H155" s="36"/>
      <c r="I155" s="5">
        <f>SUM(I39:I50)</f>
        <v>304745921.78254604</v>
      </c>
      <c r="J155"/>
      <c r="K155"/>
      <c r="L155" s="4"/>
      <c r="M155" s="4"/>
      <c r="N155" s="4"/>
      <c r="O155" s="4"/>
      <c r="P155"/>
    </row>
    <row r="156" spans="1:16" x14ac:dyDescent="0.2">
      <c r="A156" s="22">
        <v>2018</v>
      </c>
      <c r="B156" s="5">
        <f>SUM(B51:B62)</f>
        <v>309247473</v>
      </c>
      <c r="G156" s="36"/>
      <c r="H156" s="36"/>
      <c r="I156" s="5">
        <f>SUM(I51:I62)</f>
        <v>310470786.39033937</v>
      </c>
      <c r="J156"/>
      <c r="K156"/>
      <c r="L156" s="4"/>
      <c r="M156" s="4"/>
      <c r="N156" s="4"/>
      <c r="O156" s="4"/>
      <c r="P156"/>
    </row>
    <row r="157" spans="1:16" x14ac:dyDescent="0.2">
      <c r="A157" s="22">
        <v>2019</v>
      </c>
      <c r="B157" s="5">
        <f>SUM(B63:B74)</f>
        <v>309952095.46999997</v>
      </c>
      <c r="G157" s="36"/>
      <c r="H157" s="36"/>
      <c r="I157" s="5">
        <f>SUM(I63:I74)</f>
        <v>315285936.05228049</v>
      </c>
      <c r="J157"/>
      <c r="K157"/>
      <c r="L157" s="4"/>
      <c r="M157" s="4"/>
      <c r="N157" s="4"/>
      <c r="O157" s="4"/>
      <c r="P157"/>
    </row>
    <row r="158" spans="1:16" x14ac:dyDescent="0.2">
      <c r="A158" s="22">
        <v>2020</v>
      </c>
      <c r="B158" s="5">
        <f>SUM(B75:B86)</f>
        <v>304387702</v>
      </c>
      <c r="G158" s="36"/>
      <c r="H158" s="36"/>
      <c r="I158" s="5">
        <f>SUM(I75:I86)</f>
        <v>307539315.59453505</v>
      </c>
      <c r="J158"/>
      <c r="K158"/>
      <c r="L158" s="4"/>
      <c r="M158" s="4"/>
      <c r="N158" s="4"/>
      <c r="O158" s="4"/>
      <c r="P158"/>
    </row>
    <row r="159" spans="1:16" x14ac:dyDescent="0.2">
      <c r="A159" s="22">
        <v>2021</v>
      </c>
      <c r="B159" s="5">
        <f>SUM(B87:B98)</f>
        <v>309941422</v>
      </c>
      <c r="G159" s="36"/>
      <c r="H159" s="36"/>
      <c r="I159" s="5">
        <f>SUM(I87:I98)</f>
        <v>310944826.79909241</v>
      </c>
      <c r="J159"/>
      <c r="K159"/>
      <c r="L159" s="4"/>
      <c r="M159" s="4"/>
      <c r="N159" s="4"/>
      <c r="O159" s="4"/>
      <c r="P159"/>
    </row>
    <row r="160" spans="1:16" x14ac:dyDescent="0.2">
      <c r="A160" s="22">
        <v>2022</v>
      </c>
      <c r="B160" s="5">
        <f>SUM(B99:B110)</f>
        <v>322673989</v>
      </c>
      <c r="G160" s="36"/>
      <c r="H160" s="36"/>
      <c r="I160" s="5">
        <f>SUM(I99:I110)</f>
        <v>317030636.12954813</v>
      </c>
      <c r="J160"/>
      <c r="K160"/>
      <c r="L160" s="4"/>
      <c r="M160" s="4"/>
      <c r="N160" s="4"/>
      <c r="O160" s="4"/>
      <c r="P160"/>
    </row>
    <row r="161" spans="1:18" x14ac:dyDescent="0.2">
      <c r="A161" s="22">
        <v>2023</v>
      </c>
      <c r="B161" s="5">
        <f>SUM(B111:B122)</f>
        <v>315137434</v>
      </c>
      <c r="G161" s="36"/>
      <c r="H161" s="36"/>
      <c r="I161" s="5">
        <f>SUM(I111:I122)</f>
        <v>315136108.87785494</v>
      </c>
      <c r="J161"/>
      <c r="K161"/>
      <c r="L161" s="4"/>
      <c r="M161" s="4"/>
      <c r="N161" s="4"/>
      <c r="O161" s="4"/>
      <c r="P161"/>
    </row>
    <row r="162" spans="1:18" x14ac:dyDescent="0.2">
      <c r="A162" s="22">
        <v>2024</v>
      </c>
      <c r="B162" s="5">
        <f>SUM(B123:B134)</f>
        <v>317322462</v>
      </c>
      <c r="G162" s="36"/>
      <c r="H162" s="36"/>
      <c r="I162" s="5">
        <f>SUM(I123:I134)</f>
        <v>315552890.67599291</v>
      </c>
      <c r="J162"/>
      <c r="K162"/>
      <c r="L162" s="4"/>
      <c r="M162" s="4"/>
      <c r="N162" s="4"/>
      <c r="O162" s="4"/>
      <c r="P162"/>
    </row>
    <row r="163" spans="1:18" x14ac:dyDescent="0.2">
      <c r="A163" s="22">
        <v>2025</v>
      </c>
      <c r="G163" s="36"/>
      <c r="H163" s="36"/>
      <c r="I163" s="13">
        <f>SUM(I135:I146)</f>
        <v>324424307.55406445</v>
      </c>
      <c r="J163" s="21"/>
      <c r="K163" s="4"/>
      <c r="L163" s="4"/>
      <c r="M163" s="4"/>
      <c r="N163" s="4"/>
      <c r="O163" s="4"/>
      <c r="P163"/>
      <c r="Q163" s="5"/>
      <c r="R163" s="31"/>
    </row>
    <row r="164" spans="1:18" x14ac:dyDescent="0.2">
      <c r="I164" s="5"/>
      <c r="P164"/>
      <c r="Q164" s="5"/>
      <c r="R164" s="31"/>
    </row>
    <row r="165" spans="1:18" x14ac:dyDescent="0.2">
      <c r="A165" s="37" t="s">
        <v>5</v>
      </c>
      <c r="B165" s="5">
        <f>SUM(B152:B162)</f>
        <v>3416293155.4700003</v>
      </c>
      <c r="I165" s="5">
        <f>SUM(I152:I162)</f>
        <v>3416293155.4699998</v>
      </c>
      <c r="J165" s="27">
        <f>I165-B165</f>
        <v>0</v>
      </c>
      <c r="K165" s="1" t="s">
        <v>64</v>
      </c>
      <c r="P165" s="4"/>
      <c r="Q165" s="5"/>
      <c r="R165" s="31"/>
    </row>
    <row r="166" spans="1:18" x14ac:dyDescent="0.2">
      <c r="P166" s="4"/>
      <c r="Q166" s="5"/>
      <c r="R166" s="31"/>
    </row>
    <row r="167" spans="1:18" x14ac:dyDescent="0.2">
      <c r="I167" s="5">
        <f>SUM(I152:I163)</f>
        <v>3740717463.0240641</v>
      </c>
      <c r="J167" s="27">
        <f>I150-I167</f>
        <v>0</v>
      </c>
      <c r="P167" s="4"/>
      <c r="Q167" s="5"/>
      <c r="R167" s="31"/>
    </row>
    <row r="168" spans="1:18" x14ac:dyDescent="0.2">
      <c r="I168" s="157"/>
      <c r="J168" s="157"/>
      <c r="K168"/>
      <c r="L168"/>
      <c r="M168"/>
      <c r="N168"/>
      <c r="O168"/>
      <c r="P168" s="4"/>
      <c r="Q168" s="5"/>
      <c r="R168" s="31"/>
    </row>
    <row r="169" spans="1:18" x14ac:dyDescent="0.2">
      <c r="P169" s="5"/>
      <c r="Q169" s="5"/>
      <c r="R169" s="31"/>
    </row>
    <row r="170" spans="1:18" x14ac:dyDescent="0.2">
      <c r="P170" s="5"/>
      <c r="Q170" s="5"/>
      <c r="R170" s="31"/>
    </row>
    <row r="171" spans="1:18" x14ac:dyDescent="0.2">
      <c r="A171"/>
      <c r="B171"/>
      <c r="C171"/>
      <c r="D171"/>
      <c r="F171"/>
      <c r="G171"/>
      <c r="H171"/>
      <c r="I171"/>
      <c r="J171"/>
    </row>
    <row r="172" spans="1:18" x14ac:dyDescent="0.2">
      <c r="A172"/>
      <c r="B172" t="s">
        <v>100</v>
      </c>
      <c r="C172"/>
      <c r="D172"/>
      <c r="F172"/>
      <c r="G172"/>
      <c r="H172"/>
      <c r="I172"/>
      <c r="J172"/>
    </row>
    <row r="173" spans="1:18" x14ac:dyDescent="0.2">
      <c r="A173"/>
      <c r="B173"/>
      <c r="C173"/>
      <c r="D173"/>
      <c r="F173"/>
      <c r="G173"/>
      <c r="H173"/>
      <c r="I173"/>
      <c r="J173"/>
    </row>
    <row r="174" spans="1:18" x14ac:dyDescent="0.2">
      <c r="A174"/>
      <c r="B174"/>
      <c r="C174"/>
      <c r="D174"/>
      <c r="F174"/>
      <c r="G174"/>
      <c r="H174"/>
      <c r="I174"/>
      <c r="J174"/>
    </row>
    <row r="175" spans="1:18" x14ac:dyDescent="0.2">
      <c r="A175"/>
      <c r="B175"/>
      <c r="C175"/>
      <c r="D175"/>
      <c r="F175"/>
      <c r="G175"/>
      <c r="H175"/>
      <c r="I175"/>
      <c r="J175"/>
    </row>
    <row r="176" spans="1:18" x14ac:dyDescent="0.2">
      <c r="A176"/>
      <c r="B176"/>
      <c r="C176"/>
      <c r="D176"/>
      <c r="F176"/>
      <c r="G176"/>
      <c r="H176" s="146"/>
      <c r="I176"/>
      <c r="J176"/>
    </row>
    <row r="177" spans="1:16" x14ac:dyDescent="0.2">
      <c r="A177"/>
      <c r="B177"/>
      <c r="C177"/>
      <c r="D177"/>
      <c r="F177"/>
      <c r="G177"/>
      <c r="H177"/>
      <c r="I177"/>
      <c r="J177"/>
    </row>
    <row r="178" spans="1:16" x14ac:dyDescent="0.2">
      <c r="A178"/>
      <c r="B178"/>
      <c r="C178"/>
      <c r="D178"/>
      <c r="F178"/>
      <c r="G178"/>
      <c r="H178"/>
      <c r="I178"/>
      <c r="J178"/>
    </row>
    <row r="179" spans="1:16" x14ac:dyDescent="0.2">
      <c r="A179"/>
      <c r="B179"/>
      <c r="C179"/>
      <c r="D179"/>
      <c r="F179"/>
      <c r="G179"/>
      <c r="H179"/>
      <c r="I179"/>
      <c r="J179"/>
      <c r="K179"/>
      <c r="L179"/>
      <c r="M179"/>
      <c r="N179"/>
      <c r="O179"/>
      <c r="P179"/>
    </row>
    <row r="180" spans="1:16" x14ac:dyDescent="0.2">
      <c r="A180"/>
      <c r="B180"/>
      <c r="C180"/>
      <c r="D180"/>
      <c r="F180"/>
      <c r="G180"/>
      <c r="H180"/>
      <c r="I180"/>
      <c r="J180"/>
      <c r="K180"/>
      <c r="L180"/>
      <c r="M180"/>
      <c r="N180"/>
      <c r="O180"/>
      <c r="P180"/>
    </row>
    <row r="181" spans="1:16" x14ac:dyDescent="0.2">
      <c r="A181"/>
      <c r="B181"/>
      <c r="C181"/>
      <c r="D181"/>
      <c r="F181"/>
      <c r="G181"/>
      <c r="H181"/>
      <c r="I181"/>
      <c r="J181"/>
      <c r="K181"/>
      <c r="L181"/>
      <c r="M181"/>
      <c r="N181"/>
      <c r="O181"/>
      <c r="P181"/>
    </row>
    <row r="182" spans="1:16" x14ac:dyDescent="0.2">
      <c r="A182"/>
      <c r="B182"/>
      <c r="C182"/>
      <c r="D182"/>
      <c r="F182"/>
      <c r="G182"/>
      <c r="H182"/>
      <c r="I182"/>
      <c r="J182"/>
      <c r="K182"/>
      <c r="L182"/>
      <c r="M182"/>
      <c r="N182"/>
      <c r="O182"/>
      <c r="P182"/>
    </row>
    <row r="183" spans="1:16" x14ac:dyDescent="0.2">
      <c r="A183"/>
      <c r="B183"/>
      <c r="C183"/>
      <c r="D183"/>
      <c r="F183"/>
      <c r="G183"/>
      <c r="H183"/>
      <c r="I183"/>
      <c r="J183"/>
      <c r="K183"/>
      <c r="L183"/>
      <c r="M183"/>
      <c r="N183"/>
      <c r="O183"/>
      <c r="P183"/>
    </row>
    <row r="184" spans="1:16" x14ac:dyDescent="0.2">
      <c r="A184"/>
      <c r="K184"/>
      <c r="L184"/>
      <c r="M184"/>
      <c r="N184"/>
      <c r="O184"/>
      <c r="P184"/>
    </row>
    <row r="185" spans="1:16" x14ac:dyDescent="0.2">
      <c r="A185"/>
      <c r="K185"/>
      <c r="L185"/>
      <c r="M185"/>
      <c r="N185"/>
      <c r="O185"/>
      <c r="P185"/>
    </row>
    <row r="186" spans="1:16" x14ac:dyDescent="0.2">
      <c r="A186"/>
      <c r="K186"/>
      <c r="L186"/>
      <c r="M186"/>
      <c r="N186"/>
      <c r="O186"/>
      <c r="P186"/>
    </row>
    <row r="187" spans="1:16" x14ac:dyDescent="0.2">
      <c r="A187"/>
      <c r="K187"/>
      <c r="L187"/>
      <c r="M187"/>
      <c r="N187"/>
      <c r="O187"/>
      <c r="P187"/>
    </row>
    <row r="188" spans="1:16" x14ac:dyDescent="0.2">
      <c r="A188"/>
      <c r="K188"/>
      <c r="L188"/>
      <c r="M188"/>
      <c r="N188"/>
      <c r="O188"/>
      <c r="P188"/>
    </row>
    <row r="189" spans="1:16" x14ac:dyDescent="0.2">
      <c r="A189"/>
      <c r="K189"/>
      <c r="L189"/>
      <c r="M189"/>
      <c r="N189"/>
      <c r="O189"/>
      <c r="P189"/>
    </row>
    <row r="190" spans="1:16" x14ac:dyDescent="0.2">
      <c r="A190"/>
      <c r="K190"/>
      <c r="L190"/>
      <c r="M190"/>
      <c r="N190"/>
      <c r="O190"/>
      <c r="P190"/>
    </row>
    <row r="191" spans="1:16" x14ac:dyDescent="0.2">
      <c r="A191"/>
      <c r="K191"/>
      <c r="L191"/>
      <c r="M191"/>
      <c r="N191"/>
      <c r="O191"/>
      <c r="P191"/>
    </row>
    <row r="192" spans="1:16" x14ac:dyDescent="0.2">
      <c r="A192"/>
      <c r="K192"/>
      <c r="L192"/>
      <c r="M192"/>
      <c r="N192"/>
      <c r="O192"/>
      <c r="P192"/>
    </row>
    <row r="193" spans="1:16" x14ac:dyDescent="0.2">
      <c r="A193"/>
      <c r="K193"/>
      <c r="L193"/>
      <c r="M193"/>
      <c r="N193"/>
      <c r="O193"/>
      <c r="P193"/>
    </row>
    <row r="194" spans="1:16" x14ac:dyDescent="0.2">
      <c r="A194"/>
      <c r="K194"/>
      <c r="L194"/>
      <c r="M194"/>
      <c r="N194"/>
      <c r="O194"/>
      <c r="P194"/>
    </row>
    <row r="195" spans="1:16" customFormat="1" x14ac:dyDescent="0.2">
      <c r="E195" s="52"/>
    </row>
    <row r="196" spans="1:16" customFormat="1" x14ac:dyDescent="0.2">
      <c r="E196" s="52"/>
    </row>
  </sheetData>
  <mergeCells count="1">
    <mergeCell ref="I168:J168"/>
  </mergeCells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7B9FB-4E14-4F9A-B647-C0E5B94F6D81}">
  <sheetPr>
    <tabColor rgb="FF00B0F0"/>
    <pageSetUpPr fitToPage="1"/>
  </sheetPr>
  <dimension ref="A1:AD196"/>
  <sheetViews>
    <sheetView zoomScale="78" zoomScaleNormal="78" workbookViewId="0">
      <pane xSplit="1" ySplit="2" topLeftCell="B123" activePane="bottomRight" state="frozen"/>
      <selection pane="topRight" activeCell="C1" sqref="C1"/>
      <selection pane="bottomLeft" activeCell="A3" sqref="A3"/>
      <selection pane="bottomRight" activeCell="I152" sqref="I152"/>
    </sheetView>
  </sheetViews>
  <sheetFormatPr defaultRowHeight="12.75" x14ac:dyDescent="0.2"/>
  <cols>
    <col min="1" max="1" width="11.85546875" style="22" customWidth="1"/>
    <col min="2" max="2" width="16.85546875" style="5" customWidth="1"/>
    <col min="3" max="3" width="11.5703125" style="1" customWidth="1"/>
    <col min="4" max="4" width="10.140625" style="1" customWidth="1"/>
    <col min="5" max="5" width="10.28515625" style="52" customWidth="1"/>
    <col min="6" max="8" width="13" style="1" customWidth="1"/>
    <col min="9" max="9" width="15.5703125" style="1" bestFit="1" customWidth="1"/>
    <col min="10" max="10" width="16" style="1" customWidth="1"/>
    <col min="11" max="12" width="8.42578125" style="1" customWidth="1"/>
    <col min="13" max="13" width="21.140625" style="1" customWidth="1"/>
    <col min="14" max="14" width="18" style="1" customWidth="1"/>
    <col min="15" max="15" width="21.140625" style="1" customWidth="1"/>
    <col min="16" max="16" width="4.85546875" style="1" customWidth="1"/>
    <col min="17" max="17" width="44.42578125" customWidth="1"/>
    <col min="18" max="18" width="20.42578125" customWidth="1"/>
    <col min="19" max="25" width="12.5703125" customWidth="1"/>
    <col min="26" max="26" width="42.42578125" bestFit="1" customWidth="1"/>
    <col min="27" max="27" width="15.5703125" bestFit="1" customWidth="1"/>
    <col min="28" max="28" width="26.140625" bestFit="1" customWidth="1"/>
    <col min="29" max="29" width="23" bestFit="1" customWidth="1"/>
    <col min="32" max="32" width="40.5703125" bestFit="1" customWidth="1"/>
    <col min="33" max="33" width="42.85546875" bestFit="1" customWidth="1"/>
  </cols>
  <sheetData>
    <row r="1" spans="1:30" x14ac:dyDescent="0.2">
      <c r="Z1" s="108" t="s">
        <v>59</v>
      </c>
      <c r="AA1" s="108"/>
      <c r="AB1" s="108"/>
      <c r="AC1" s="108"/>
      <c r="AD1" s="108"/>
    </row>
    <row r="2" spans="1:30" ht="38.25" x14ac:dyDescent="0.2">
      <c r="A2" s="103" t="s">
        <v>68</v>
      </c>
      <c r="B2" s="104" t="s">
        <v>50</v>
      </c>
      <c r="C2" s="105" t="s">
        <v>111</v>
      </c>
      <c r="D2" s="105" t="s">
        <v>90</v>
      </c>
      <c r="E2" s="106" t="s">
        <v>11</v>
      </c>
      <c r="F2" s="129" t="s">
        <v>110</v>
      </c>
      <c r="G2" s="129" t="s">
        <v>124</v>
      </c>
      <c r="H2" s="136" t="s">
        <v>125</v>
      </c>
      <c r="I2" s="105" t="s">
        <v>6</v>
      </c>
      <c r="J2" s="107" t="s">
        <v>112</v>
      </c>
      <c r="K2" s="105" t="s">
        <v>113</v>
      </c>
      <c r="L2" s="105" t="s">
        <v>114</v>
      </c>
      <c r="M2" s="125" t="s">
        <v>115</v>
      </c>
      <c r="N2" s="125" t="s">
        <v>116</v>
      </c>
      <c r="O2" s="125" t="s">
        <v>117</v>
      </c>
      <c r="P2"/>
      <c r="Q2" t="s">
        <v>12</v>
      </c>
      <c r="Z2" s="108" t="s">
        <v>60</v>
      </c>
      <c r="AA2" s="108"/>
      <c r="AB2" s="108"/>
      <c r="AC2" s="108"/>
      <c r="AD2" s="108"/>
    </row>
    <row r="3" spans="1:30" ht="13.5" thickBot="1" x14ac:dyDescent="0.25">
      <c r="A3" s="43">
        <v>41670</v>
      </c>
      <c r="B3" s="44">
        <f>Inputs!D24</f>
        <v>35005917</v>
      </c>
      <c r="C3" s="44">
        <f>'Power Purchased Model'!C135</f>
        <v>834.24545454545466</v>
      </c>
      <c r="D3" s="44">
        <v>31</v>
      </c>
      <c r="E3" s="109">
        <v>0</v>
      </c>
      <c r="F3" s="130">
        <v>0</v>
      </c>
      <c r="G3" s="137">
        <f>Inputs!G24+Inputs!I24+Inputs!L24</f>
        <v>13223</v>
      </c>
      <c r="H3" s="137">
        <v>0</v>
      </c>
      <c r="I3" s="44">
        <f>$R$18+$R$19*C3+$R$20*D3+$R$21*E3+$R$22*F3+$R$23*G3+$R$24*H3</f>
        <v>30962385.608950824</v>
      </c>
      <c r="J3" s="27">
        <f t="shared" ref="J3:J66" si="0">I3-B3</f>
        <v>-4043531.3910491765</v>
      </c>
      <c r="K3" s="36">
        <f t="shared" ref="K3:K66" si="1">J3/B3</f>
        <v>-0.11550994053517229</v>
      </c>
      <c r="L3" s="10">
        <f>ABS(K3)</f>
        <v>0.11550994053517229</v>
      </c>
      <c r="M3" s="135">
        <f>J3*J3</f>
        <v>16350146110400.088</v>
      </c>
      <c r="N3" s="10"/>
      <c r="O3" s="10"/>
      <c r="P3" s="10"/>
      <c r="Z3" s="108" t="s">
        <v>61</v>
      </c>
      <c r="AA3" s="108"/>
      <c r="AB3" s="108"/>
      <c r="AC3" s="108"/>
      <c r="AD3" s="108"/>
    </row>
    <row r="4" spans="1:30" x14ac:dyDescent="0.2">
      <c r="A4" s="43">
        <v>41698</v>
      </c>
      <c r="B4" s="44">
        <f>Inputs!D25</f>
        <v>30863808</v>
      </c>
      <c r="C4" s="44">
        <f>'Power Purchased Model'!C136</f>
        <v>763.4909090909091</v>
      </c>
      <c r="D4" s="44">
        <v>28</v>
      </c>
      <c r="E4" s="109">
        <v>0</v>
      </c>
      <c r="F4" s="130">
        <v>0</v>
      </c>
      <c r="G4" s="137">
        <f>Inputs!G25+Inputs!I25+Inputs!L25</f>
        <v>13219</v>
      </c>
      <c r="H4" s="137">
        <v>0</v>
      </c>
      <c r="I4" s="44">
        <f t="shared" ref="I4:I67" si="2">$R$18+$R$19*C4+$R$20*D4+$R$21*E4+$R$22*F4+$R$23*G4+$R$24*H4</f>
        <v>28449522.116679262</v>
      </c>
      <c r="J4" s="27">
        <f t="shared" si="0"/>
        <v>-2414285.8833207376</v>
      </c>
      <c r="K4" s="36">
        <f t="shared" si="1"/>
        <v>-7.8223849867156303E-2</v>
      </c>
      <c r="L4" s="10">
        <f t="shared" ref="L4:L67" si="3">ABS(K4)</f>
        <v>7.8223849867156303E-2</v>
      </c>
      <c r="M4" s="135">
        <f t="shared" ref="M4:M67" si="4">J4*J4</f>
        <v>5828776326401.7939</v>
      </c>
      <c r="N4" s="135">
        <f>J4-J3</f>
        <v>1629245.5077284388</v>
      </c>
      <c r="O4" s="135">
        <f>N4*N4</f>
        <v>2654440924453.2983</v>
      </c>
      <c r="P4" s="10"/>
      <c r="Q4" s="133" t="s">
        <v>13</v>
      </c>
      <c r="R4" s="133"/>
      <c r="Z4" s="108"/>
      <c r="AA4" s="108"/>
      <c r="AB4" s="108"/>
      <c r="AC4" s="108"/>
      <c r="AD4" s="108"/>
    </row>
    <row r="5" spans="1:30" x14ac:dyDescent="0.2">
      <c r="A5" s="43">
        <v>41729</v>
      </c>
      <c r="B5" s="44">
        <f>Inputs!D26</f>
        <v>32142987</v>
      </c>
      <c r="C5" s="44">
        <f>'Power Purchased Model'!C137</f>
        <v>663.67272727272734</v>
      </c>
      <c r="D5" s="44">
        <v>31</v>
      </c>
      <c r="E5" s="109">
        <v>1</v>
      </c>
      <c r="F5" s="130">
        <v>0</v>
      </c>
      <c r="G5" s="137">
        <f>Inputs!G26+Inputs!I26+Inputs!L26</f>
        <v>13219</v>
      </c>
      <c r="H5" s="137">
        <v>0</v>
      </c>
      <c r="I5" s="44">
        <f t="shared" si="2"/>
        <v>27824523.064377867</v>
      </c>
      <c r="J5" s="27">
        <f t="shared" si="0"/>
        <v>-4318463.9356221333</v>
      </c>
      <c r="K5" s="36">
        <f t="shared" si="1"/>
        <v>-0.13435166854972544</v>
      </c>
      <c r="L5" s="10">
        <f t="shared" si="3"/>
        <v>0.13435166854972544</v>
      </c>
      <c r="M5" s="135">
        <f t="shared" si="4"/>
        <v>18649130763269.004</v>
      </c>
      <c r="N5" s="135">
        <f t="shared" ref="N5:N68" si="5">J5-J4</f>
        <v>-1904178.0523013957</v>
      </c>
      <c r="O5" s="135">
        <f t="shared" ref="O5:O68" si="6">N5*N5</f>
        <v>3625894054866.3369</v>
      </c>
      <c r="P5" s="10"/>
      <c r="Q5" t="s">
        <v>14</v>
      </c>
      <c r="R5" s="40">
        <v>0.96046196215346324</v>
      </c>
      <c r="Z5" s="108" t="s">
        <v>58</v>
      </c>
      <c r="AA5" s="108"/>
      <c r="AB5" s="108"/>
      <c r="AC5" s="108"/>
      <c r="AD5" s="108"/>
    </row>
    <row r="6" spans="1:30" x14ac:dyDescent="0.2">
      <c r="A6" s="43">
        <v>41759</v>
      </c>
      <c r="B6" s="44">
        <f>Inputs!D27</f>
        <v>25688722</v>
      </c>
      <c r="C6" s="44">
        <f>'Power Purchased Model'!C138</f>
        <v>423.24545454545455</v>
      </c>
      <c r="D6" s="44">
        <v>30</v>
      </c>
      <c r="E6" s="109">
        <v>1</v>
      </c>
      <c r="F6" s="130">
        <v>0</v>
      </c>
      <c r="G6" s="137">
        <f>Inputs!G27+Inputs!I27+Inputs!L27</f>
        <v>13228</v>
      </c>
      <c r="H6" s="137">
        <v>0</v>
      </c>
      <c r="I6" s="44">
        <f t="shared" si="2"/>
        <v>24362789.418523014</v>
      </c>
      <c r="J6" s="27">
        <f t="shared" si="0"/>
        <v>-1325932.5814769864</v>
      </c>
      <c r="K6" s="36">
        <f t="shared" si="1"/>
        <v>-5.161535795657668E-2</v>
      </c>
      <c r="L6" s="10">
        <f t="shared" si="3"/>
        <v>5.161535795657668E-2</v>
      </c>
      <c r="M6" s="135">
        <f t="shared" si="4"/>
        <v>1758097210622.2251</v>
      </c>
      <c r="N6" s="135">
        <f t="shared" si="5"/>
        <v>2992531.3541451469</v>
      </c>
      <c r="O6" s="135">
        <f t="shared" si="6"/>
        <v>8955243905541.7871</v>
      </c>
      <c r="P6" s="10"/>
      <c r="Q6" t="s">
        <v>15</v>
      </c>
      <c r="R6" s="40">
        <v>0.92248718074368075</v>
      </c>
      <c r="Z6" s="108" t="s">
        <v>62</v>
      </c>
      <c r="AA6" s="108"/>
      <c r="AB6" s="108"/>
      <c r="AC6" s="108"/>
      <c r="AD6" s="108"/>
    </row>
    <row r="7" spans="1:30" x14ac:dyDescent="0.2">
      <c r="A7" s="43">
        <v>41790</v>
      </c>
      <c r="B7" s="44">
        <f>Inputs!D28</f>
        <v>22896808</v>
      </c>
      <c r="C7" s="44">
        <f>'Power Purchased Model'!C139</f>
        <v>211.25454545454542</v>
      </c>
      <c r="D7" s="44">
        <v>31</v>
      </c>
      <c r="E7" s="109">
        <v>1</v>
      </c>
      <c r="F7" s="130">
        <v>0</v>
      </c>
      <c r="G7" s="137">
        <f>Inputs!G28+Inputs!I28+Inputs!L28</f>
        <v>13222</v>
      </c>
      <c r="H7" s="137">
        <v>0</v>
      </c>
      <c r="I7" s="44">
        <f t="shared" si="2"/>
        <v>22329683.939917237</v>
      </c>
      <c r="J7" s="27">
        <f t="shared" si="0"/>
        <v>-567124.06008276343</v>
      </c>
      <c r="K7" s="36">
        <f t="shared" si="1"/>
        <v>-2.4768695273278418E-2</v>
      </c>
      <c r="L7" s="10">
        <f t="shared" si="3"/>
        <v>2.4768695273278418E-2</v>
      </c>
      <c r="M7" s="135">
        <f t="shared" si="4"/>
        <v>321629699524.75787</v>
      </c>
      <c r="N7" s="135">
        <f t="shared" si="5"/>
        <v>758808.52139422297</v>
      </c>
      <c r="O7" s="135">
        <f t="shared" si="6"/>
        <v>575790372140.48694</v>
      </c>
      <c r="P7" s="10"/>
      <c r="Q7" t="s">
        <v>16</v>
      </c>
      <c r="R7" s="40">
        <v>0.91876656541937751</v>
      </c>
      <c r="Z7" s="108"/>
      <c r="AA7" s="108"/>
      <c r="AB7" s="108"/>
      <c r="AC7" s="108"/>
      <c r="AD7" s="108"/>
    </row>
    <row r="8" spans="1:30" x14ac:dyDescent="0.2">
      <c r="A8" s="43">
        <v>41820</v>
      </c>
      <c r="B8" s="44">
        <f>Inputs!D29</f>
        <v>22467129</v>
      </c>
      <c r="C8" s="44">
        <f>'Power Purchased Model'!C140</f>
        <v>79.27272727272728</v>
      </c>
      <c r="D8" s="44">
        <v>30</v>
      </c>
      <c r="E8" s="109">
        <v>0</v>
      </c>
      <c r="F8" s="130">
        <v>0</v>
      </c>
      <c r="G8" s="137">
        <f>Inputs!G29+Inputs!I29+Inputs!L29</f>
        <v>13245</v>
      </c>
      <c r="H8" s="137">
        <v>0</v>
      </c>
      <c r="I8" s="44">
        <f t="shared" si="2"/>
        <v>21261534.32217459</v>
      </c>
      <c r="J8" s="27">
        <f t="shared" si="0"/>
        <v>-1205594.6778254099</v>
      </c>
      <c r="K8" s="36">
        <f t="shared" si="1"/>
        <v>-5.3660379918832081E-2</v>
      </c>
      <c r="L8" s="10">
        <f t="shared" si="3"/>
        <v>5.3660379918832081E-2</v>
      </c>
      <c r="M8" s="135">
        <f t="shared" si="4"/>
        <v>1453458527200.9539</v>
      </c>
      <c r="N8" s="135">
        <f t="shared" si="5"/>
        <v>-638470.61774264649</v>
      </c>
      <c r="O8" s="135">
        <f t="shared" si="6"/>
        <v>407644729720.67664</v>
      </c>
      <c r="P8" s="10"/>
      <c r="Q8" t="s">
        <v>17</v>
      </c>
      <c r="R8">
        <v>926141.51718633494</v>
      </c>
      <c r="Z8" s="108"/>
      <c r="AA8" s="108"/>
      <c r="AB8" s="108"/>
      <c r="AC8" s="108"/>
      <c r="AD8" s="108"/>
    </row>
    <row r="9" spans="1:30" ht="13.5" thickBot="1" x14ac:dyDescent="0.25">
      <c r="A9" s="43">
        <v>41851</v>
      </c>
      <c r="B9" s="44">
        <f>Inputs!D30</f>
        <v>23174494</v>
      </c>
      <c r="C9" s="44">
        <f>'Power Purchased Model'!C141</f>
        <v>27.636363636363637</v>
      </c>
      <c r="D9" s="44">
        <v>31</v>
      </c>
      <c r="E9" s="109">
        <v>0</v>
      </c>
      <c r="F9" s="130">
        <v>1</v>
      </c>
      <c r="G9" s="137">
        <f>Inputs!G30+Inputs!I30+Inputs!L30</f>
        <v>13246</v>
      </c>
      <c r="H9" s="137">
        <v>0</v>
      </c>
      <c r="I9" s="44">
        <f t="shared" si="2"/>
        <v>24109572.057969835</v>
      </c>
      <c r="J9" s="27">
        <f t="shared" si="0"/>
        <v>935078.05796983466</v>
      </c>
      <c r="K9" s="36">
        <f t="shared" si="1"/>
        <v>4.0349448750416496E-2</v>
      </c>
      <c r="L9" s="10">
        <f t="shared" si="3"/>
        <v>4.0349448750416496E-2</v>
      </c>
      <c r="M9" s="135">
        <f t="shared" si="4"/>
        <v>874370974496.63745</v>
      </c>
      <c r="N9" s="135">
        <f t="shared" si="5"/>
        <v>2140672.7357952446</v>
      </c>
      <c r="O9" s="135">
        <f t="shared" si="6"/>
        <v>4582479761777.0967</v>
      </c>
      <c r="P9" s="10"/>
      <c r="Q9" s="131" t="s">
        <v>18</v>
      </c>
      <c r="R9" s="131">
        <v>132</v>
      </c>
      <c r="Z9" s="108"/>
      <c r="AA9" s="108"/>
      <c r="AB9" s="108"/>
      <c r="AC9" s="108"/>
      <c r="AD9" s="108"/>
    </row>
    <row r="10" spans="1:30" x14ac:dyDescent="0.2">
      <c r="A10" s="43">
        <v>41882</v>
      </c>
      <c r="B10" s="44">
        <f>Inputs!D31</f>
        <v>23391322</v>
      </c>
      <c r="C10" s="44">
        <f>'Power Purchased Model'!C142</f>
        <v>40.327272727272721</v>
      </c>
      <c r="D10" s="44">
        <v>31</v>
      </c>
      <c r="E10" s="109">
        <v>0</v>
      </c>
      <c r="F10" s="130">
        <v>1</v>
      </c>
      <c r="G10" s="137">
        <f>Inputs!G31+Inputs!I31+Inputs!L31</f>
        <v>13249</v>
      </c>
      <c r="H10" s="137">
        <v>0</v>
      </c>
      <c r="I10" s="44">
        <f t="shared" si="2"/>
        <v>24267018.466768734</v>
      </c>
      <c r="J10" s="27">
        <f t="shared" si="0"/>
        <v>875696.46676873416</v>
      </c>
      <c r="K10" s="36">
        <f t="shared" si="1"/>
        <v>3.7436809547093323E-2</v>
      </c>
      <c r="L10" s="10">
        <f t="shared" si="3"/>
        <v>3.7436809547093323E-2</v>
      </c>
      <c r="M10" s="135">
        <f t="shared" si="4"/>
        <v>766844301911.24475</v>
      </c>
      <c r="N10" s="135">
        <f t="shared" si="5"/>
        <v>-59381.591201100498</v>
      </c>
      <c r="O10" s="135">
        <f t="shared" si="6"/>
        <v>3526173373.574616</v>
      </c>
      <c r="P10" s="10"/>
      <c r="Z10" s="108"/>
      <c r="AA10" s="108"/>
      <c r="AB10" s="108"/>
      <c r="AC10" s="108"/>
      <c r="AD10" s="108"/>
    </row>
    <row r="11" spans="1:30" ht="13.5" thickBot="1" x14ac:dyDescent="0.25">
      <c r="A11" s="43">
        <v>41912</v>
      </c>
      <c r="B11" s="44">
        <f>Inputs!D32</f>
        <v>22126761</v>
      </c>
      <c r="C11" s="44">
        <f>'Power Purchased Model'!C143</f>
        <v>123.35454545454546</v>
      </c>
      <c r="D11" s="44">
        <v>30</v>
      </c>
      <c r="E11" s="109">
        <v>0</v>
      </c>
      <c r="F11" s="130">
        <v>0</v>
      </c>
      <c r="G11" s="137">
        <f>Inputs!G32+Inputs!I32+Inputs!L32</f>
        <v>13253</v>
      </c>
      <c r="H11" s="137">
        <v>0</v>
      </c>
      <c r="I11" s="44">
        <f t="shared" si="2"/>
        <v>21805826.688596547</v>
      </c>
      <c r="J11" s="27">
        <f t="shared" si="0"/>
        <v>-320934.31140345335</v>
      </c>
      <c r="K11" s="36">
        <f t="shared" si="1"/>
        <v>-1.4504351152138958E-2</v>
      </c>
      <c r="L11" s="10">
        <f t="shared" si="3"/>
        <v>1.4504351152138958E-2</v>
      </c>
      <c r="M11" s="135">
        <f t="shared" si="4"/>
        <v>102998832236.00877</v>
      </c>
      <c r="N11" s="135">
        <f t="shared" si="5"/>
        <v>-1196630.7781721875</v>
      </c>
      <c r="O11" s="135">
        <f t="shared" si="6"/>
        <v>1431925219268.9751</v>
      </c>
      <c r="P11" s="10"/>
      <c r="Q11" t="s">
        <v>19</v>
      </c>
    </row>
    <row r="12" spans="1:30" x14ac:dyDescent="0.2">
      <c r="A12" s="43">
        <v>41943</v>
      </c>
      <c r="B12" s="44">
        <f>Inputs!D33</f>
        <v>23838442</v>
      </c>
      <c r="C12" s="44">
        <f>'Power Purchased Model'!C144</f>
        <v>312.07272727272726</v>
      </c>
      <c r="D12" s="44">
        <v>31</v>
      </c>
      <c r="E12" s="109">
        <v>1</v>
      </c>
      <c r="F12" s="130">
        <v>0</v>
      </c>
      <c r="G12" s="137">
        <f>Inputs!G33+Inputs!I33+Inputs!L33</f>
        <v>13272</v>
      </c>
      <c r="H12" s="137">
        <v>0</v>
      </c>
      <c r="I12" s="44">
        <f t="shared" si="2"/>
        <v>23608534.570062704</v>
      </c>
      <c r="J12" s="27">
        <f t="shared" si="0"/>
        <v>-229907.42993729562</v>
      </c>
      <c r="K12" s="36">
        <f t="shared" si="1"/>
        <v>-9.6443983183672668E-3</v>
      </c>
      <c r="L12" s="10">
        <f t="shared" si="3"/>
        <v>9.6443983183672668E-3</v>
      </c>
      <c r="M12" s="135">
        <f t="shared" si="4"/>
        <v>52857426340.37249</v>
      </c>
      <c r="N12" s="135">
        <f t="shared" si="5"/>
        <v>91026.881466157734</v>
      </c>
      <c r="O12" s="135">
        <f t="shared" si="6"/>
        <v>8285893149.4539309</v>
      </c>
      <c r="P12" s="10"/>
      <c r="Q12" s="132"/>
      <c r="R12" s="132" t="s">
        <v>23</v>
      </c>
      <c r="S12" s="132" t="s">
        <v>24</v>
      </c>
      <c r="T12" s="132" t="s">
        <v>25</v>
      </c>
      <c r="U12" s="132" t="s">
        <v>26</v>
      </c>
      <c r="V12" s="132" t="s">
        <v>27</v>
      </c>
    </row>
    <row r="13" spans="1:30" x14ac:dyDescent="0.2">
      <c r="A13" s="43">
        <v>41973</v>
      </c>
      <c r="B13" s="44">
        <f>Inputs!D34</f>
        <v>27733031</v>
      </c>
      <c r="C13" s="44">
        <f>'Power Purchased Model'!C145</f>
        <v>496.43636363636364</v>
      </c>
      <c r="D13" s="44">
        <v>30</v>
      </c>
      <c r="E13" s="109">
        <v>1</v>
      </c>
      <c r="F13" s="130">
        <v>0</v>
      </c>
      <c r="G13" s="137">
        <f>Inputs!G34+Inputs!I34+Inputs!L34</f>
        <v>13265</v>
      </c>
      <c r="H13" s="137">
        <v>0</v>
      </c>
      <c r="I13" s="44">
        <f t="shared" si="2"/>
        <v>25291948.477321669</v>
      </c>
      <c r="J13" s="27">
        <f t="shared" si="0"/>
        <v>-2441082.5226783305</v>
      </c>
      <c r="K13" s="36">
        <f t="shared" si="1"/>
        <v>-8.802076205367998E-2</v>
      </c>
      <c r="L13" s="10">
        <f t="shared" si="3"/>
        <v>8.802076205367998E-2</v>
      </c>
      <c r="M13" s="135">
        <f t="shared" si="4"/>
        <v>5958883882525.6025</v>
      </c>
      <c r="N13" s="135">
        <f t="shared" si="5"/>
        <v>-2211175.0927410349</v>
      </c>
      <c r="O13" s="135">
        <f t="shared" si="6"/>
        <v>4889295290758.3242</v>
      </c>
      <c r="P13" s="10"/>
      <c r="Q13" t="s">
        <v>20</v>
      </c>
      <c r="R13">
        <v>6</v>
      </c>
      <c r="S13">
        <v>1276002502504058</v>
      </c>
      <c r="T13">
        <v>212667083750676.34</v>
      </c>
      <c r="U13">
        <v>247.93941333250126</v>
      </c>
      <c r="V13">
        <v>6.7331652328461838E-67</v>
      </c>
    </row>
    <row r="14" spans="1:30" x14ac:dyDescent="0.2">
      <c r="A14" s="43">
        <v>42004</v>
      </c>
      <c r="B14" s="44">
        <f>Inputs!D35</f>
        <v>29820236</v>
      </c>
      <c r="C14" s="44">
        <f>'Power Purchased Model'!C146</f>
        <v>679.73636363636365</v>
      </c>
      <c r="D14" s="44">
        <v>31</v>
      </c>
      <c r="E14" s="109">
        <v>0</v>
      </c>
      <c r="F14" s="130">
        <v>0</v>
      </c>
      <c r="G14" s="137">
        <f>Inputs!G35+Inputs!I35+Inputs!L35</f>
        <v>13264</v>
      </c>
      <c r="H14" s="137">
        <v>0</v>
      </c>
      <c r="I14" s="44">
        <f t="shared" si="2"/>
        <v>29128689.052224293</v>
      </c>
      <c r="J14" s="27">
        <f t="shared" si="0"/>
        <v>-691546.94777570665</v>
      </c>
      <c r="K14" s="36">
        <f t="shared" si="1"/>
        <v>-2.319052564760744E-2</v>
      </c>
      <c r="L14" s="10">
        <f t="shared" si="3"/>
        <v>2.319052564760744E-2</v>
      </c>
      <c r="M14" s="135">
        <f t="shared" si="4"/>
        <v>478237180977.89594</v>
      </c>
      <c r="N14" s="135">
        <f t="shared" si="5"/>
        <v>1749535.5749026239</v>
      </c>
      <c r="O14" s="135">
        <f t="shared" si="6"/>
        <v>3060874727849.8545</v>
      </c>
      <c r="P14" s="10"/>
      <c r="Q14" t="s">
        <v>21</v>
      </c>
      <c r="R14">
        <v>125</v>
      </c>
      <c r="S14">
        <v>107217263732025.8</v>
      </c>
      <c r="T14">
        <v>857738109856.20642</v>
      </c>
    </row>
    <row r="15" spans="1:30" ht="13.5" thickBot="1" x14ac:dyDescent="0.25">
      <c r="A15" s="43">
        <v>42035</v>
      </c>
      <c r="B15" s="44">
        <f>Inputs!D36</f>
        <v>33934616</v>
      </c>
      <c r="C15" s="44">
        <f>C3</f>
        <v>834.24545454545466</v>
      </c>
      <c r="D15" s="44">
        <v>31</v>
      </c>
      <c r="E15" s="109">
        <v>0</v>
      </c>
      <c r="F15" s="130">
        <v>0</v>
      </c>
      <c r="G15" s="137">
        <f>Inputs!G36+Inputs!I36+Inputs!L36</f>
        <v>13303</v>
      </c>
      <c r="H15" s="137">
        <v>0</v>
      </c>
      <c r="I15" s="44">
        <f t="shared" si="2"/>
        <v>31048221.483252976</v>
      </c>
      <c r="J15" s="27">
        <f t="shared" si="0"/>
        <v>-2886394.5167470239</v>
      </c>
      <c r="K15" s="36">
        <f t="shared" si="1"/>
        <v>-8.5057527002722649E-2</v>
      </c>
      <c r="L15" s="10">
        <f t="shared" si="3"/>
        <v>8.5057527002722649E-2</v>
      </c>
      <c r="M15" s="135">
        <f t="shared" si="4"/>
        <v>8331273306307.2861</v>
      </c>
      <c r="N15" s="135">
        <f t="shared" si="5"/>
        <v>-2194847.5689713173</v>
      </c>
      <c r="O15" s="135">
        <f t="shared" si="6"/>
        <v>4817355851019.3018</v>
      </c>
      <c r="P15" s="10"/>
      <c r="Q15" s="131" t="s">
        <v>5</v>
      </c>
      <c r="R15" s="131">
        <v>131</v>
      </c>
      <c r="S15" s="131">
        <v>1383219766236083.8</v>
      </c>
      <c r="T15" s="131"/>
      <c r="U15" s="131"/>
      <c r="V15" s="131"/>
    </row>
    <row r="16" spans="1:30" ht="13.5" thickBot="1" x14ac:dyDescent="0.25">
      <c r="A16" s="43">
        <v>42063</v>
      </c>
      <c r="B16" s="44">
        <f>Inputs!D37</f>
        <v>32617573</v>
      </c>
      <c r="C16" s="44">
        <f t="shared" ref="C16:C79" si="7">C4</f>
        <v>763.4909090909091</v>
      </c>
      <c r="D16" s="44">
        <v>28</v>
      </c>
      <c r="E16" s="109">
        <v>0</v>
      </c>
      <c r="F16" s="130">
        <v>0</v>
      </c>
      <c r="G16" s="137">
        <f>Inputs!G37+Inputs!I37+Inputs!L37</f>
        <v>13295</v>
      </c>
      <c r="H16" s="137">
        <v>0</v>
      </c>
      <c r="I16" s="44">
        <f t="shared" si="2"/>
        <v>28531066.19726631</v>
      </c>
      <c r="J16" s="27">
        <f t="shared" si="0"/>
        <v>-4086506.8027336895</v>
      </c>
      <c r="K16" s="36">
        <f t="shared" si="1"/>
        <v>-0.12528543441088305</v>
      </c>
      <c r="L16" s="10">
        <f t="shared" si="3"/>
        <v>0.12528543441088305</v>
      </c>
      <c r="M16" s="135">
        <f t="shared" si="4"/>
        <v>16699537848788.723</v>
      </c>
      <c r="N16" s="135">
        <f t="shared" si="5"/>
        <v>-1200112.2859866656</v>
      </c>
      <c r="O16" s="135">
        <f t="shared" si="6"/>
        <v>1440269498976.1404</v>
      </c>
      <c r="P16" s="10"/>
    </row>
    <row r="17" spans="1:25" x14ac:dyDescent="0.2">
      <c r="A17" s="43">
        <v>42094</v>
      </c>
      <c r="B17" s="44">
        <f>Inputs!D38</f>
        <v>30305598</v>
      </c>
      <c r="C17" s="44">
        <f t="shared" si="7"/>
        <v>663.67272727272734</v>
      </c>
      <c r="D17" s="44">
        <v>31</v>
      </c>
      <c r="E17" s="109">
        <v>1</v>
      </c>
      <c r="F17" s="130">
        <v>0</v>
      </c>
      <c r="G17" s="137">
        <f>Inputs!G38+Inputs!I38+Inputs!L38</f>
        <v>13290</v>
      </c>
      <c r="H17" s="137">
        <v>0</v>
      </c>
      <c r="I17" s="44">
        <f t="shared" si="2"/>
        <v>27900702.40282103</v>
      </c>
      <c r="J17" s="27">
        <f t="shared" si="0"/>
        <v>-2404895.5971789695</v>
      </c>
      <c r="K17" s="36">
        <f t="shared" si="1"/>
        <v>-7.9354830654685307E-2</v>
      </c>
      <c r="L17" s="10">
        <f t="shared" si="3"/>
        <v>7.9354830654685307E-2</v>
      </c>
      <c r="M17" s="135">
        <f t="shared" si="4"/>
        <v>5783522833330.793</v>
      </c>
      <c r="N17" s="135">
        <f t="shared" si="5"/>
        <v>1681611.20555472</v>
      </c>
      <c r="O17" s="135">
        <f t="shared" si="6"/>
        <v>2827816246647.1987</v>
      </c>
      <c r="P17" s="10"/>
      <c r="Q17" s="132"/>
      <c r="R17" s="132" t="s">
        <v>101</v>
      </c>
      <c r="S17" s="132" t="s">
        <v>17</v>
      </c>
      <c r="T17" s="132" t="s">
        <v>102</v>
      </c>
      <c r="U17" s="132" t="s">
        <v>103</v>
      </c>
      <c r="V17" s="132" t="s">
        <v>104</v>
      </c>
      <c r="W17" s="132" t="s">
        <v>105</v>
      </c>
      <c r="X17" s="132" t="s">
        <v>106</v>
      </c>
      <c r="Y17" s="132" t="s">
        <v>107</v>
      </c>
    </row>
    <row r="18" spans="1:25" x14ac:dyDescent="0.2">
      <c r="A18" s="43">
        <v>42124</v>
      </c>
      <c r="B18" s="44">
        <f>Inputs!D39</f>
        <v>24419034</v>
      </c>
      <c r="C18" s="44">
        <f t="shared" si="7"/>
        <v>423.24545454545455</v>
      </c>
      <c r="D18" s="44">
        <v>30</v>
      </c>
      <c r="E18" s="109">
        <v>1</v>
      </c>
      <c r="F18" s="130">
        <v>0</v>
      </c>
      <c r="G18" s="137">
        <f>Inputs!G39+Inputs!I39+Inputs!L39</f>
        <v>13284</v>
      </c>
      <c r="H18" s="137">
        <v>0</v>
      </c>
      <c r="I18" s="44">
        <f t="shared" si="2"/>
        <v>24422874.530534524</v>
      </c>
      <c r="J18" s="27">
        <f t="shared" si="0"/>
        <v>3840.5305345244706</v>
      </c>
      <c r="K18" s="36">
        <f t="shared" si="1"/>
        <v>1.5727610414582619E-4</v>
      </c>
      <c r="L18" s="10">
        <f t="shared" si="3"/>
        <v>1.5727610414582619E-4</v>
      </c>
      <c r="M18" s="135">
        <f t="shared" si="4"/>
        <v>14749674.786614815</v>
      </c>
      <c r="N18" s="135">
        <f t="shared" si="5"/>
        <v>2408736.127713494</v>
      </c>
      <c r="O18" s="135">
        <f t="shared" si="6"/>
        <v>5802009732952.1973</v>
      </c>
      <c r="P18" s="10"/>
      <c r="Q18" t="s">
        <v>22</v>
      </c>
      <c r="R18" s="31">
        <v>-10400236.383089241</v>
      </c>
      <c r="S18">
        <v>4059614.2502390519</v>
      </c>
      <c r="T18">
        <v>-2.5618779869237129</v>
      </c>
      <c r="U18">
        <v>1.1598109809280865E-2</v>
      </c>
      <c r="V18">
        <v>-18434716.82069777</v>
      </c>
      <c r="W18">
        <v>-2365755.9454807127</v>
      </c>
      <c r="X18">
        <v>-18434716.82069777</v>
      </c>
      <c r="Y18">
        <v>-2365755.9454807127</v>
      </c>
    </row>
    <row r="19" spans="1:25" x14ac:dyDescent="0.2">
      <c r="A19" s="43">
        <v>42155</v>
      </c>
      <c r="B19" s="44">
        <f>Inputs!D40</f>
        <v>22122315</v>
      </c>
      <c r="C19" s="44">
        <f t="shared" si="7"/>
        <v>211.25454545454542</v>
      </c>
      <c r="D19" s="44">
        <v>31</v>
      </c>
      <c r="E19" s="109">
        <v>1</v>
      </c>
      <c r="F19" s="130">
        <v>0</v>
      </c>
      <c r="G19" s="137">
        <f>Inputs!G40+Inputs!I40+Inputs!L40</f>
        <v>13286</v>
      </c>
      <c r="H19" s="137">
        <v>0</v>
      </c>
      <c r="I19" s="44">
        <f t="shared" si="2"/>
        <v>22398352.63935896</v>
      </c>
      <c r="J19" s="27">
        <f t="shared" si="0"/>
        <v>276037.63935896009</v>
      </c>
      <c r="K19" s="36">
        <f t="shared" si="1"/>
        <v>1.2477791739199089E-2</v>
      </c>
      <c r="L19" s="10">
        <f t="shared" si="3"/>
        <v>1.2477791739199089E-2</v>
      </c>
      <c r="M19" s="135">
        <f t="shared" si="4"/>
        <v>76196778342.86731</v>
      </c>
      <c r="N19" s="135">
        <f t="shared" si="5"/>
        <v>272197.10882443562</v>
      </c>
      <c r="O19" s="135">
        <f t="shared" si="6"/>
        <v>74091266052.381653</v>
      </c>
      <c r="P19" s="10"/>
      <c r="Q19" t="s">
        <v>111</v>
      </c>
      <c r="R19" s="31">
        <v>12152.601709443508</v>
      </c>
      <c r="S19">
        <v>335.88090209030179</v>
      </c>
      <c r="T19">
        <v>36.181282215850054</v>
      </c>
      <c r="U19">
        <v>4.3957763753676092E-68</v>
      </c>
      <c r="V19">
        <v>11487.851718221578</v>
      </c>
      <c r="W19">
        <v>12817.351700665438</v>
      </c>
      <c r="X19">
        <v>11487.851718221578</v>
      </c>
      <c r="Y19">
        <v>12817.351700665438</v>
      </c>
    </row>
    <row r="20" spans="1:25" x14ac:dyDescent="0.2">
      <c r="A20" s="43">
        <v>42185</v>
      </c>
      <c r="B20" s="44">
        <f>Inputs!D41</f>
        <v>21687054</v>
      </c>
      <c r="C20" s="44">
        <f t="shared" si="7"/>
        <v>79.27272727272728</v>
      </c>
      <c r="D20" s="44">
        <v>30</v>
      </c>
      <c r="E20" s="109">
        <v>0</v>
      </c>
      <c r="F20" s="130">
        <v>0</v>
      </c>
      <c r="G20" s="137">
        <f>Inputs!G41+Inputs!I41+Inputs!L41</f>
        <v>13286</v>
      </c>
      <c r="H20" s="137">
        <v>0</v>
      </c>
      <c r="I20" s="44">
        <f t="shared" si="2"/>
        <v>21305525.207754448</v>
      </c>
      <c r="J20" s="27">
        <f t="shared" si="0"/>
        <v>-381528.79224555194</v>
      </c>
      <c r="K20" s="36">
        <f t="shared" si="1"/>
        <v>-1.7592467480624707E-2</v>
      </c>
      <c r="L20" s="10">
        <f t="shared" si="3"/>
        <v>1.7592467480624707E-2</v>
      </c>
      <c r="M20" s="135">
        <f t="shared" si="4"/>
        <v>145564219312.34955</v>
      </c>
      <c r="N20" s="135">
        <f t="shared" si="5"/>
        <v>-657566.43160451204</v>
      </c>
      <c r="O20" s="135">
        <f t="shared" si="6"/>
        <v>432393611973.09143</v>
      </c>
      <c r="P20" s="10"/>
      <c r="Q20" t="s">
        <v>90</v>
      </c>
      <c r="R20" s="31">
        <v>549573.29617154668</v>
      </c>
      <c r="S20">
        <v>110709.62311132</v>
      </c>
      <c r="T20">
        <v>4.9640968935369187</v>
      </c>
      <c r="U20">
        <v>2.2099599489046274E-6</v>
      </c>
      <c r="V20">
        <v>330465.21192671102</v>
      </c>
      <c r="W20">
        <v>768681.38041638234</v>
      </c>
      <c r="X20">
        <v>330465.21192671102</v>
      </c>
      <c r="Y20">
        <v>768681.38041638234</v>
      </c>
    </row>
    <row r="21" spans="1:25" x14ac:dyDescent="0.2">
      <c r="A21" s="43">
        <v>42216</v>
      </c>
      <c r="B21" s="44">
        <f>Inputs!D42</f>
        <v>23793533</v>
      </c>
      <c r="C21" s="44">
        <f t="shared" si="7"/>
        <v>27.636363636363637</v>
      </c>
      <c r="D21" s="44">
        <v>31</v>
      </c>
      <c r="E21" s="109">
        <v>0</v>
      </c>
      <c r="F21" s="130">
        <v>1</v>
      </c>
      <c r="G21" s="137">
        <f>Inputs!G42+Inputs!I42+Inputs!L42</f>
        <v>13337</v>
      </c>
      <c r="H21" s="137">
        <v>0</v>
      </c>
      <c r="I21" s="44">
        <f t="shared" si="2"/>
        <v>24207210.364988536</v>
      </c>
      <c r="J21" s="27">
        <f t="shared" si="0"/>
        <v>413677.36498853564</v>
      </c>
      <c r="K21" s="36">
        <f t="shared" si="1"/>
        <v>1.7386126095209804E-2</v>
      </c>
      <c r="L21" s="10">
        <f t="shared" si="3"/>
        <v>1.7386126095209804E-2</v>
      </c>
      <c r="M21" s="135">
        <f t="shared" si="4"/>
        <v>171128962303.85812</v>
      </c>
      <c r="N21" s="135">
        <f t="shared" si="5"/>
        <v>795206.15723408759</v>
      </c>
      <c r="O21" s="135">
        <f t="shared" si="6"/>
        <v>632352832503.00439</v>
      </c>
      <c r="P21" s="10"/>
      <c r="Q21" t="s">
        <v>11</v>
      </c>
      <c r="R21" s="31">
        <v>-1060668.333818859</v>
      </c>
      <c r="S21">
        <v>189337.58907796154</v>
      </c>
      <c r="T21">
        <v>-5.6019955624454409</v>
      </c>
      <c r="U21">
        <v>1.2847135450161905E-7</v>
      </c>
      <c r="V21">
        <v>-1435390.921183229</v>
      </c>
      <c r="W21">
        <v>-685945.74645448907</v>
      </c>
      <c r="X21">
        <v>-1435390.921183229</v>
      </c>
      <c r="Y21">
        <v>-685945.74645448907</v>
      </c>
    </row>
    <row r="22" spans="1:25" x14ac:dyDescent="0.2">
      <c r="A22" s="43">
        <v>42247</v>
      </c>
      <c r="B22" s="44">
        <f>Inputs!D43</f>
        <v>23664046</v>
      </c>
      <c r="C22" s="44">
        <f t="shared" si="7"/>
        <v>40.327272727272721</v>
      </c>
      <c r="D22" s="44">
        <v>31</v>
      </c>
      <c r="E22" s="109">
        <v>0</v>
      </c>
      <c r="F22" s="130">
        <v>1</v>
      </c>
      <c r="G22" s="137">
        <f>Inputs!G43+Inputs!I43+Inputs!L43</f>
        <v>13308</v>
      </c>
      <c r="H22" s="137">
        <v>0</v>
      </c>
      <c r="I22" s="44">
        <f t="shared" si="2"/>
        <v>24330322.424066573</v>
      </c>
      <c r="J22" s="27">
        <f t="shared" si="0"/>
        <v>666276.42406657338</v>
      </c>
      <c r="K22" s="36">
        <f t="shared" si="1"/>
        <v>2.8155642702290783E-2</v>
      </c>
      <c r="L22" s="10">
        <f t="shared" si="3"/>
        <v>2.8155642702290783E-2</v>
      </c>
      <c r="M22" s="135">
        <f t="shared" si="4"/>
        <v>443924273266.94031</v>
      </c>
      <c r="N22" s="135">
        <f t="shared" si="5"/>
        <v>252599.05907803774</v>
      </c>
      <c r="O22" s="135">
        <f t="shared" si="6"/>
        <v>63806284647.110001</v>
      </c>
      <c r="P22" s="10"/>
      <c r="Q22" t="s">
        <v>110</v>
      </c>
      <c r="R22" s="31">
        <v>2924907.6521916362</v>
      </c>
      <c r="S22">
        <v>298890.42697218165</v>
      </c>
      <c r="T22">
        <v>9.785886024592763</v>
      </c>
      <c r="U22">
        <v>3.8997532706075582E-17</v>
      </c>
      <c r="V22">
        <v>2333366.402095018</v>
      </c>
      <c r="W22">
        <v>3516448.9022882544</v>
      </c>
      <c r="X22">
        <v>2333366.402095018</v>
      </c>
      <c r="Y22">
        <v>3516448.9022882544</v>
      </c>
    </row>
    <row r="23" spans="1:25" x14ac:dyDescent="0.2">
      <c r="A23" s="43">
        <v>42277</v>
      </c>
      <c r="B23" s="44">
        <f>Inputs!D44</f>
        <v>21503656</v>
      </c>
      <c r="C23" s="44">
        <f t="shared" si="7"/>
        <v>123.35454545454546</v>
      </c>
      <c r="D23" s="44">
        <v>30</v>
      </c>
      <c r="E23" s="109">
        <v>0</v>
      </c>
      <c r="F23" s="130">
        <v>0</v>
      </c>
      <c r="G23" s="137">
        <f>Inputs!G44+Inputs!I44+Inputs!L44</f>
        <v>13313</v>
      </c>
      <c r="H23" s="137">
        <v>0</v>
      </c>
      <c r="I23" s="44">
        <f t="shared" si="2"/>
        <v>21870203.594323166</v>
      </c>
      <c r="J23" s="27">
        <f t="shared" si="0"/>
        <v>366547.59432316571</v>
      </c>
      <c r="K23" s="36">
        <f t="shared" si="1"/>
        <v>1.7045826733982618E-2</v>
      </c>
      <c r="L23" s="10">
        <f t="shared" si="3"/>
        <v>1.7045826733982618E-2</v>
      </c>
      <c r="M23" s="135">
        <f t="shared" si="4"/>
        <v>134357138904.10007</v>
      </c>
      <c r="N23" s="135">
        <f t="shared" si="5"/>
        <v>-299728.82974340767</v>
      </c>
      <c r="O23" s="135">
        <f t="shared" si="6"/>
        <v>89837371379.352661</v>
      </c>
      <c r="P23" s="10"/>
      <c r="Q23" t="s">
        <v>124</v>
      </c>
      <c r="R23" s="31">
        <v>1072.9484287769451</v>
      </c>
      <c r="S23">
        <v>172.30535684096671</v>
      </c>
      <c r="T23">
        <v>6.2270172468709033</v>
      </c>
      <c r="U23">
        <v>6.627195141149766E-9</v>
      </c>
      <c r="V23">
        <v>731.93474287011691</v>
      </c>
      <c r="W23">
        <v>1413.9621146837733</v>
      </c>
      <c r="X23">
        <v>731.93474287011691</v>
      </c>
      <c r="Y23">
        <v>1413.9621146837733</v>
      </c>
    </row>
    <row r="24" spans="1:25" ht="13.5" thickBot="1" x14ac:dyDescent="0.25">
      <c r="A24" s="43">
        <v>42308</v>
      </c>
      <c r="B24" s="44">
        <f>Inputs!D45</f>
        <v>24025252</v>
      </c>
      <c r="C24" s="44">
        <f t="shared" si="7"/>
        <v>312.07272727272726</v>
      </c>
      <c r="D24" s="44">
        <v>31</v>
      </c>
      <c r="E24" s="109">
        <v>1</v>
      </c>
      <c r="F24" s="130">
        <v>0</v>
      </c>
      <c r="G24" s="137">
        <f>Inputs!G45+Inputs!I45+Inputs!L45</f>
        <v>13322</v>
      </c>
      <c r="H24" s="137">
        <v>0</v>
      </c>
      <c r="I24" s="44">
        <f t="shared" si="2"/>
        <v>23662181.991501555</v>
      </c>
      <c r="J24" s="27">
        <f t="shared" si="0"/>
        <v>-363070.00849844515</v>
      </c>
      <c r="K24" s="36">
        <f t="shared" si="1"/>
        <v>-1.5112016660572183E-2</v>
      </c>
      <c r="L24" s="10">
        <f t="shared" si="3"/>
        <v>1.5112016660572183E-2</v>
      </c>
      <c r="M24" s="135">
        <f t="shared" si="4"/>
        <v>131819831071.06104</v>
      </c>
      <c r="N24" s="135">
        <f t="shared" si="5"/>
        <v>-729617.60282161087</v>
      </c>
      <c r="O24" s="135">
        <f t="shared" si="6"/>
        <v>532341846347.15393</v>
      </c>
      <c r="P24" s="10"/>
      <c r="Q24" s="131" t="s">
        <v>125</v>
      </c>
      <c r="R24" s="134">
        <v>-1359463.7771541732</v>
      </c>
      <c r="S24" s="131">
        <v>601115.13790883147</v>
      </c>
      <c r="T24" s="131">
        <v>-2.2615696917623747</v>
      </c>
      <c r="U24" s="131">
        <v>2.545177707801129E-2</v>
      </c>
      <c r="V24" s="131">
        <v>-2549145.2391291535</v>
      </c>
      <c r="W24" s="131">
        <v>-169782.31517919293</v>
      </c>
      <c r="X24" s="131">
        <v>-2549145.2391291535</v>
      </c>
      <c r="Y24" s="131">
        <v>-169782.31517919293</v>
      </c>
    </row>
    <row r="25" spans="1:25" x14ac:dyDescent="0.2">
      <c r="A25" s="43">
        <v>42338</v>
      </c>
      <c r="B25" s="44">
        <f>Inputs!D46</f>
        <v>24608541</v>
      </c>
      <c r="C25" s="44">
        <f t="shared" si="7"/>
        <v>496.43636363636364</v>
      </c>
      <c r="D25" s="44">
        <v>30</v>
      </c>
      <c r="E25" s="109">
        <v>1</v>
      </c>
      <c r="F25" s="130">
        <v>0</v>
      </c>
      <c r="G25" s="137">
        <f>Inputs!G46+Inputs!I46+Inputs!L46</f>
        <v>13343</v>
      </c>
      <c r="H25" s="137">
        <v>0</v>
      </c>
      <c r="I25" s="44">
        <f t="shared" si="2"/>
        <v>25375638.45476627</v>
      </c>
      <c r="J25" s="27">
        <f t="shared" si="0"/>
        <v>767097.45476626977</v>
      </c>
      <c r="K25" s="36">
        <f t="shared" si="1"/>
        <v>3.1172000597933448E-2</v>
      </c>
      <c r="L25" s="10">
        <f t="shared" si="3"/>
        <v>3.1172000597933448E-2</v>
      </c>
      <c r="M25" s="135">
        <f t="shared" si="4"/>
        <v>588438505108.88928</v>
      </c>
      <c r="N25" s="135">
        <f t="shared" si="5"/>
        <v>1130167.4632647149</v>
      </c>
      <c r="O25" s="135">
        <f t="shared" si="6"/>
        <v>1277278495022.2007</v>
      </c>
      <c r="P25" s="10"/>
    </row>
    <row r="26" spans="1:25" x14ac:dyDescent="0.2">
      <c r="A26" s="43">
        <v>42369</v>
      </c>
      <c r="B26" s="44">
        <f>Inputs!D47</f>
        <v>26280236</v>
      </c>
      <c r="C26" s="44">
        <f t="shared" si="7"/>
        <v>679.73636363636365</v>
      </c>
      <c r="D26" s="44">
        <v>31</v>
      </c>
      <c r="E26" s="109">
        <v>0</v>
      </c>
      <c r="F26" s="130">
        <v>0</v>
      </c>
      <c r="G26" s="137">
        <f>Inputs!G47+Inputs!I47+Inputs!L47</f>
        <v>13345</v>
      </c>
      <c r="H26" s="137">
        <v>0</v>
      </c>
      <c r="I26" s="44">
        <f t="shared" si="2"/>
        <v>29215597.874955226</v>
      </c>
      <c r="J26" s="27">
        <f t="shared" si="0"/>
        <v>2935361.8749552257</v>
      </c>
      <c r="K26" s="36">
        <f t="shared" si="1"/>
        <v>0.11169465430048747</v>
      </c>
      <c r="L26" s="10">
        <f t="shared" si="3"/>
        <v>0.11169465430048747</v>
      </c>
      <c r="M26" s="135">
        <f t="shared" si="4"/>
        <v>8616349336940.6582</v>
      </c>
      <c r="N26" s="135">
        <f t="shared" si="5"/>
        <v>2168264.420188956</v>
      </c>
      <c r="O26" s="135">
        <f t="shared" si="6"/>
        <v>4701370595857.3496</v>
      </c>
      <c r="P26" s="10"/>
      <c r="Q26" s="38" t="s">
        <v>51</v>
      </c>
      <c r="R26" s="147">
        <f>L135</f>
        <v>3.4934108673926351E-2</v>
      </c>
    </row>
    <row r="27" spans="1:25" x14ac:dyDescent="0.2">
      <c r="A27" s="43">
        <v>42400</v>
      </c>
      <c r="B27" s="44">
        <f>Inputs!D48</f>
        <v>30495180</v>
      </c>
      <c r="C27" s="44">
        <f t="shared" si="7"/>
        <v>834.24545454545466</v>
      </c>
      <c r="D27" s="44">
        <v>31</v>
      </c>
      <c r="E27" s="109">
        <v>0</v>
      </c>
      <c r="F27" s="130">
        <v>0</v>
      </c>
      <c r="G27" s="137">
        <f>Inputs!G48+Inputs!I48+Inputs!L48</f>
        <v>13350</v>
      </c>
      <c r="H27" s="137">
        <v>0</v>
      </c>
      <c r="I27" s="44">
        <f t="shared" si="2"/>
        <v>31098650.059405491</v>
      </c>
      <c r="J27" s="27">
        <f t="shared" si="0"/>
        <v>603470.05940549076</v>
      </c>
      <c r="K27" s="36">
        <f t="shared" si="1"/>
        <v>1.9789030902768595E-2</v>
      </c>
      <c r="L27" s="10">
        <f t="shared" si="3"/>
        <v>1.9789030902768595E-2</v>
      </c>
      <c r="M27" s="135">
        <f t="shared" si="4"/>
        <v>364176112598.86652</v>
      </c>
      <c r="N27" s="135">
        <f t="shared" si="5"/>
        <v>-2331891.815549735</v>
      </c>
      <c r="O27" s="135">
        <f t="shared" si="6"/>
        <v>5437719439427.8389</v>
      </c>
    </row>
    <row r="28" spans="1:25" x14ac:dyDescent="0.2">
      <c r="A28" s="43">
        <v>42429</v>
      </c>
      <c r="B28" s="44">
        <f>Inputs!D49</f>
        <v>29063252</v>
      </c>
      <c r="C28" s="44">
        <f t="shared" si="7"/>
        <v>763.4909090909091</v>
      </c>
      <c r="D28" s="44">
        <v>29</v>
      </c>
      <c r="E28" s="109">
        <v>0</v>
      </c>
      <c r="F28" s="130">
        <v>0</v>
      </c>
      <c r="G28" s="137">
        <f>Inputs!G49+Inputs!I49+Inputs!L49</f>
        <v>13354</v>
      </c>
      <c r="H28" s="137">
        <v>0</v>
      </c>
      <c r="I28" s="44">
        <f t="shared" si="2"/>
        <v>29143943.450735696</v>
      </c>
      <c r="J28" s="27">
        <f t="shared" si="0"/>
        <v>80691.45073569566</v>
      </c>
      <c r="K28" s="36">
        <f t="shared" si="1"/>
        <v>2.776408185006126E-3</v>
      </c>
      <c r="L28" s="10">
        <f t="shared" si="3"/>
        <v>2.776408185006126E-3</v>
      </c>
      <c r="M28" s="135">
        <f t="shared" si="4"/>
        <v>6511110221.8311996</v>
      </c>
      <c r="N28" s="135">
        <f t="shared" si="5"/>
        <v>-522778.6086697951</v>
      </c>
      <c r="O28" s="135">
        <f t="shared" si="6"/>
        <v>273297473682.72675</v>
      </c>
      <c r="Q28" t="s">
        <v>118</v>
      </c>
      <c r="R28" s="31">
        <f>O135</f>
        <v>220687857384421.88</v>
      </c>
    </row>
    <row r="29" spans="1:25" x14ac:dyDescent="0.2">
      <c r="A29" s="43">
        <v>42460</v>
      </c>
      <c r="B29" s="44">
        <f>Inputs!D50</f>
        <v>27667287</v>
      </c>
      <c r="C29" s="44">
        <f t="shared" si="7"/>
        <v>663.67272727272734</v>
      </c>
      <c r="D29" s="44">
        <v>31</v>
      </c>
      <c r="E29" s="109">
        <v>1</v>
      </c>
      <c r="F29" s="130">
        <v>0</v>
      </c>
      <c r="G29" s="137">
        <f>Inputs!G50+Inputs!I50+Inputs!L50</f>
        <v>13356</v>
      </c>
      <c r="H29" s="137">
        <v>0</v>
      </c>
      <c r="I29" s="44">
        <f t="shared" si="2"/>
        <v>27971516.99912031</v>
      </c>
      <c r="J29" s="27">
        <f t="shared" si="0"/>
        <v>304229.99912030995</v>
      </c>
      <c r="K29" s="36">
        <f t="shared" si="1"/>
        <v>1.0996018479163134E-2</v>
      </c>
      <c r="L29" s="10">
        <f t="shared" si="3"/>
        <v>1.0996018479163134E-2</v>
      </c>
      <c r="M29" s="135">
        <f t="shared" si="4"/>
        <v>92555892364.74379</v>
      </c>
      <c r="N29" s="135">
        <f t="shared" si="5"/>
        <v>223538.54838461429</v>
      </c>
      <c r="O29" s="135">
        <f t="shared" si="6"/>
        <v>49969482613.900543</v>
      </c>
      <c r="Q29" t="s">
        <v>119</v>
      </c>
      <c r="R29" s="31">
        <f>M135</f>
        <v>201523667528195.22</v>
      </c>
    </row>
    <row r="30" spans="1:25" x14ac:dyDescent="0.2">
      <c r="A30" s="43">
        <v>42490</v>
      </c>
      <c r="B30" s="44">
        <f>Inputs!D51</f>
        <v>24587318</v>
      </c>
      <c r="C30" s="44">
        <f t="shared" si="7"/>
        <v>423.24545454545455</v>
      </c>
      <c r="D30" s="44">
        <v>30</v>
      </c>
      <c r="E30" s="109">
        <v>1</v>
      </c>
      <c r="F30" s="130">
        <v>0</v>
      </c>
      <c r="G30" s="137">
        <f>Inputs!G51+Inputs!I51+Inputs!L51</f>
        <v>13358</v>
      </c>
      <c r="H30" s="137">
        <v>0</v>
      </c>
      <c r="I30" s="44">
        <f t="shared" si="2"/>
        <v>24502272.71426402</v>
      </c>
      <c r="J30" s="27">
        <f t="shared" si="0"/>
        <v>-85045.285735979676</v>
      </c>
      <c r="K30" s="36">
        <f t="shared" si="1"/>
        <v>-3.4589086022306166E-3</v>
      </c>
      <c r="L30" s="10">
        <f t="shared" si="3"/>
        <v>3.4589086022306166E-3</v>
      </c>
      <c r="M30" s="135">
        <f t="shared" si="4"/>
        <v>7232700625.9144278</v>
      </c>
      <c r="N30" s="135">
        <f t="shared" si="5"/>
        <v>-389275.28485628963</v>
      </c>
      <c r="O30" s="135">
        <f t="shared" si="6"/>
        <v>151535247399.94543</v>
      </c>
    </row>
    <row r="31" spans="1:25" x14ac:dyDescent="0.2">
      <c r="A31" s="43">
        <v>42521</v>
      </c>
      <c r="B31" s="44">
        <f>Inputs!D52</f>
        <v>21916797</v>
      </c>
      <c r="C31" s="44">
        <f t="shared" si="7"/>
        <v>211.25454545454542</v>
      </c>
      <c r="D31" s="44">
        <v>31</v>
      </c>
      <c r="E31" s="109">
        <v>1</v>
      </c>
      <c r="F31" s="130">
        <v>0</v>
      </c>
      <c r="G31" s="137">
        <f>Inputs!G52+Inputs!I52+Inputs!L52</f>
        <v>13356</v>
      </c>
      <c r="H31" s="137">
        <v>0</v>
      </c>
      <c r="I31" s="44">
        <f t="shared" si="2"/>
        <v>22473459.029373348</v>
      </c>
      <c r="J31" s="27">
        <f t="shared" si="0"/>
        <v>556662.02937334776</v>
      </c>
      <c r="K31" s="36">
        <f t="shared" si="1"/>
        <v>2.5398876914968359E-2</v>
      </c>
      <c r="L31" s="10">
        <f t="shared" si="3"/>
        <v>2.5398876914968359E-2</v>
      </c>
      <c r="M31" s="135">
        <f t="shared" si="4"/>
        <v>309872614946.05389</v>
      </c>
      <c r="N31" s="135">
        <f t="shared" si="5"/>
        <v>641707.31510932744</v>
      </c>
      <c r="O31" s="135">
        <f t="shared" si="6"/>
        <v>411788278264.82166</v>
      </c>
      <c r="Q31" t="s">
        <v>120</v>
      </c>
      <c r="R31">
        <f>R28/R29</f>
        <v>1.0950964722470893</v>
      </c>
    </row>
    <row r="32" spans="1:25" x14ac:dyDescent="0.2">
      <c r="A32" s="43">
        <v>42551</v>
      </c>
      <c r="B32" s="44">
        <f>Inputs!D53</f>
        <v>22063036</v>
      </c>
      <c r="C32" s="44">
        <f t="shared" si="7"/>
        <v>79.27272727272728</v>
      </c>
      <c r="D32" s="44">
        <v>30</v>
      </c>
      <c r="E32" s="109">
        <v>0</v>
      </c>
      <c r="F32" s="130">
        <v>0</v>
      </c>
      <c r="G32" s="137">
        <f>Inputs!G53+Inputs!I53+Inputs!L53</f>
        <v>13361</v>
      </c>
      <c r="H32" s="137">
        <v>0</v>
      </c>
      <c r="I32" s="44">
        <f t="shared" si="2"/>
        <v>21385996.339912716</v>
      </c>
      <c r="J32" s="27">
        <f t="shared" si="0"/>
        <v>-677039.6600872837</v>
      </c>
      <c r="K32" s="36">
        <f t="shared" si="1"/>
        <v>-3.0686604512963841E-2</v>
      </c>
      <c r="L32" s="10">
        <f t="shared" si="3"/>
        <v>3.0686604512963841E-2</v>
      </c>
      <c r="M32" s="135">
        <f t="shared" si="4"/>
        <v>458382701331.10468</v>
      </c>
      <c r="N32" s="135">
        <f t="shared" si="5"/>
        <v>-1233701.6894606315</v>
      </c>
      <c r="O32" s="135">
        <f t="shared" si="6"/>
        <v>1522019858578.0164</v>
      </c>
    </row>
    <row r="33" spans="1:18" x14ac:dyDescent="0.2">
      <c r="A33" s="43">
        <v>42582</v>
      </c>
      <c r="B33" s="44">
        <f>Inputs!D54</f>
        <v>24449967</v>
      </c>
      <c r="C33" s="44">
        <f t="shared" si="7"/>
        <v>27.636363636363637</v>
      </c>
      <c r="D33" s="44">
        <v>31</v>
      </c>
      <c r="E33" s="109">
        <v>0</v>
      </c>
      <c r="F33" s="130">
        <v>1</v>
      </c>
      <c r="G33" s="137">
        <f>Inputs!G54+Inputs!I54+Inputs!L54</f>
        <v>13361</v>
      </c>
      <c r="H33" s="137">
        <v>0</v>
      </c>
      <c r="I33" s="44">
        <f t="shared" si="2"/>
        <v>24232961.127279185</v>
      </c>
      <c r="J33" s="27">
        <f t="shared" si="0"/>
        <v>-217005.87272081524</v>
      </c>
      <c r="K33" s="36">
        <f t="shared" si="1"/>
        <v>-8.8755077960152359E-3</v>
      </c>
      <c r="L33" s="10">
        <f t="shared" si="3"/>
        <v>8.8755077960152359E-3</v>
      </c>
      <c r="M33" s="135">
        <f t="shared" si="4"/>
        <v>47091548795.322662</v>
      </c>
      <c r="N33" s="135">
        <f t="shared" si="5"/>
        <v>460033.78736646846</v>
      </c>
      <c r="O33" s="135">
        <f t="shared" si="6"/>
        <v>211631085518.73712</v>
      </c>
      <c r="P33"/>
      <c r="R33" s="40"/>
    </row>
    <row r="34" spans="1:18" x14ac:dyDescent="0.2">
      <c r="A34" s="43">
        <v>42613</v>
      </c>
      <c r="B34" s="44">
        <f>Inputs!D55</f>
        <v>25086525</v>
      </c>
      <c r="C34" s="44">
        <f t="shared" si="7"/>
        <v>40.327272727272721</v>
      </c>
      <c r="D34" s="44">
        <v>31</v>
      </c>
      <c r="E34" s="109">
        <v>0</v>
      </c>
      <c r="F34" s="130">
        <v>1</v>
      </c>
      <c r="G34" s="137">
        <f>Inputs!G55+Inputs!I55+Inputs!L55</f>
        <v>13361</v>
      </c>
      <c r="H34" s="137">
        <v>0</v>
      </c>
      <c r="I34" s="44">
        <f t="shared" si="2"/>
        <v>24387188.690791756</v>
      </c>
      <c r="J34" s="27">
        <f t="shared" si="0"/>
        <v>-699336.30920824409</v>
      </c>
      <c r="K34" s="36">
        <f t="shared" si="1"/>
        <v>-2.7876970174555628E-2</v>
      </c>
      <c r="L34" s="10">
        <f t="shared" si="3"/>
        <v>2.7876970174555628E-2</v>
      </c>
      <c r="M34" s="135">
        <f t="shared" si="4"/>
        <v>489071273377.00879</v>
      </c>
      <c r="N34" s="135">
        <f t="shared" si="5"/>
        <v>-482330.43648742884</v>
      </c>
      <c r="O34" s="135">
        <f t="shared" si="6"/>
        <v>232642649962.15363</v>
      </c>
      <c r="P34"/>
    </row>
    <row r="35" spans="1:18" x14ac:dyDescent="0.2">
      <c r="A35" s="43">
        <v>42643</v>
      </c>
      <c r="B35" s="44">
        <f>Inputs!D56</f>
        <v>21516383</v>
      </c>
      <c r="C35" s="44">
        <f t="shared" si="7"/>
        <v>123.35454545454546</v>
      </c>
      <c r="D35" s="44">
        <v>30</v>
      </c>
      <c r="E35" s="109">
        <v>0</v>
      </c>
      <c r="F35" s="130">
        <v>0</v>
      </c>
      <c r="G35" s="137">
        <f>Inputs!G56+Inputs!I56+Inputs!L56</f>
        <v>13366</v>
      </c>
      <c r="H35" s="137">
        <v>0</v>
      </c>
      <c r="I35" s="44">
        <f t="shared" si="2"/>
        <v>21927069.861048341</v>
      </c>
      <c r="J35" s="27">
        <f t="shared" si="0"/>
        <v>410686.8610483408</v>
      </c>
      <c r="K35" s="36">
        <f t="shared" si="1"/>
        <v>1.9087170043791318E-2</v>
      </c>
      <c r="L35" s="10">
        <f t="shared" si="3"/>
        <v>1.9087170043791318E-2</v>
      </c>
      <c r="M35" s="135">
        <f t="shared" si="4"/>
        <v>168663697837.7392</v>
      </c>
      <c r="N35" s="135">
        <f t="shared" si="5"/>
        <v>1110023.1702565849</v>
      </c>
      <c r="O35" s="135">
        <f t="shared" si="6"/>
        <v>1232151438506.4792</v>
      </c>
      <c r="P35"/>
    </row>
    <row r="36" spans="1:18" x14ac:dyDescent="0.2">
      <c r="A36" s="43">
        <v>42674</v>
      </c>
      <c r="B36" s="44">
        <f>Inputs!D57</f>
        <v>22851618</v>
      </c>
      <c r="C36" s="44">
        <f t="shared" si="7"/>
        <v>312.07272727272726</v>
      </c>
      <c r="D36" s="44">
        <v>31</v>
      </c>
      <c r="E36" s="109">
        <v>1</v>
      </c>
      <c r="F36" s="130">
        <v>0</v>
      </c>
      <c r="G36" s="137">
        <f>Inputs!G57+Inputs!I57+Inputs!L57</f>
        <v>13364</v>
      </c>
      <c r="H36" s="137">
        <v>0</v>
      </c>
      <c r="I36" s="44">
        <f t="shared" si="2"/>
        <v>23707245.825510185</v>
      </c>
      <c r="J36" s="27">
        <f t="shared" si="0"/>
        <v>855627.82551018521</v>
      </c>
      <c r="K36" s="36">
        <f t="shared" si="1"/>
        <v>3.7442767751070631E-2</v>
      </c>
      <c r="L36" s="10">
        <f t="shared" si="3"/>
        <v>3.7442767751070631E-2</v>
      </c>
      <c r="M36" s="135">
        <f t="shared" si="4"/>
        <v>732098975787.28796</v>
      </c>
      <c r="N36" s="135">
        <f t="shared" si="5"/>
        <v>444940.96446184441</v>
      </c>
      <c r="O36" s="135">
        <f t="shared" si="6"/>
        <v>197972461856.2363</v>
      </c>
      <c r="P36"/>
    </row>
    <row r="37" spans="1:18" x14ac:dyDescent="0.2">
      <c r="A37" s="43">
        <v>42704</v>
      </c>
      <c r="B37" s="44">
        <f>Inputs!D58</f>
        <v>24193372</v>
      </c>
      <c r="C37" s="44">
        <f t="shared" si="7"/>
        <v>496.43636363636364</v>
      </c>
      <c r="D37" s="44">
        <v>30</v>
      </c>
      <c r="E37" s="109">
        <v>1</v>
      </c>
      <c r="F37" s="130">
        <v>0</v>
      </c>
      <c r="G37" s="137">
        <f>Inputs!G58+Inputs!I58+Inputs!L58</f>
        <v>13392</v>
      </c>
      <c r="H37" s="137">
        <v>0</v>
      </c>
      <c r="I37" s="44">
        <f t="shared" si="2"/>
        <v>25428212.92777634</v>
      </c>
      <c r="J37" s="27">
        <f t="shared" si="0"/>
        <v>1234840.9277763404</v>
      </c>
      <c r="K37" s="36">
        <f t="shared" si="1"/>
        <v>5.1040463800430154E-2</v>
      </c>
      <c r="L37" s="10">
        <f t="shared" si="3"/>
        <v>5.1040463800430154E-2</v>
      </c>
      <c r="M37" s="135">
        <f t="shared" si="4"/>
        <v>1524832116911.5332</v>
      </c>
      <c r="N37" s="135">
        <f t="shared" si="5"/>
        <v>379213.10226615518</v>
      </c>
      <c r="O37" s="135">
        <f t="shared" si="6"/>
        <v>143802576930.32147</v>
      </c>
      <c r="P37"/>
    </row>
    <row r="38" spans="1:18" x14ac:dyDescent="0.2">
      <c r="A38" s="43">
        <v>42735</v>
      </c>
      <c r="B38" s="44">
        <f>Inputs!D59</f>
        <v>28341333</v>
      </c>
      <c r="C38" s="44">
        <f t="shared" si="7"/>
        <v>679.73636363636365</v>
      </c>
      <c r="D38" s="44">
        <v>31</v>
      </c>
      <c r="E38" s="109">
        <v>0</v>
      </c>
      <c r="F38" s="130">
        <v>0</v>
      </c>
      <c r="G38" s="137">
        <f>Inputs!G59+Inputs!I59+Inputs!L59</f>
        <v>13406</v>
      </c>
      <c r="H38" s="137">
        <v>0</v>
      </c>
      <c r="I38" s="44">
        <f t="shared" si="2"/>
        <v>29281047.729110621</v>
      </c>
      <c r="J38" s="27">
        <f t="shared" si="0"/>
        <v>939714.72911062092</v>
      </c>
      <c r="K38" s="36">
        <f t="shared" si="1"/>
        <v>3.315704060605127E-2</v>
      </c>
      <c r="L38" s="10">
        <f t="shared" si="3"/>
        <v>3.315704060605127E-2</v>
      </c>
      <c r="M38" s="135">
        <f t="shared" si="4"/>
        <v>883063772107.44763</v>
      </c>
      <c r="N38" s="135">
        <f t="shared" si="5"/>
        <v>-295126.19866571948</v>
      </c>
      <c r="O38" s="135">
        <f t="shared" si="6"/>
        <v>87099473138.877716</v>
      </c>
      <c r="P38"/>
    </row>
    <row r="39" spans="1:18" x14ac:dyDescent="0.2">
      <c r="A39" s="43">
        <v>42766</v>
      </c>
      <c r="B39" s="44">
        <f>Inputs!D60</f>
        <v>29369246</v>
      </c>
      <c r="C39" s="44">
        <f t="shared" si="7"/>
        <v>834.24545454545466</v>
      </c>
      <c r="D39" s="44">
        <v>31</v>
      </c>
      <c r="E39" s="109">
        <v>0</v>
      </c>
      <c r="F39" s="130">
        <v>0</v>
      </c>
      <c r="G39" s="137">
        <f>Inputs!G60+Inputs!I60+Inputs!L60</f>
        <v>13414</v>
      </c>
      <c r="H39" s="137">
        <v>0</v>
      </c>
      <c r="I39" s="44">
        <f t="shared" si="2"/>
        <v>31167318.758847218</v>
      </c>
      <c r="J39" s="27">
        <f t="shared" si="0"/>
        <v>1798072.758847218</v>
      </c>
      <c r="K39" s="36">
        <f t="shared" si="1"/>
        <v>6.1222979944640661E-2</v>
      </c>
      <c r="L39" s="10">
        <f t="shared" si="3"/>
        <v>6.1222979944640661E-2</v>
      </c>
      <c r="M39" s="135">
        <f t="shared" si="4"/>
        <v>3233065646108.4458</v>
      </c>
      <c r="N39" s="135">
        <f t="shared" si="5"/>
        <v>858358.02973659709</v>
      </c>
      <c r="O39" s="135">
        <f t="shared" si="6"/>
        <v>736778507213.29285</v>
      </c>
      <c r="P39"/>
    </row>
    <row r="40" spans="1:18" x14ac:dyDescent="0.2">
      <c r="A40" s="43">
        <v>42794</v>
      </c>
      <c r="B40" s="44">
        <f>Inputs!D61</f>
        <v>26144559</v>
      </c>
      <c r="C40" s="44">
        <f t="shared" si="7"/>
        <v>763.4909090909091</v>
      </c>
      <c r="D40" s="44">
        <v>28</v>
      </c>
      <c r="E40" s="109">
        <v>0</v>
      </c>
      <c r="F40" s="130">
        <v>0</v>
      </c>
      <c r="G40" s="137">
        <f>Inputs!G61+Inputs!I61+Inputs!L61</f>
        <v>13414</v>
      </c>
      <c r="H40" s="137">
        <v>0</v>
      </c>
      <c r="I40" s="44">
        <f t="shared" si="2"/>
        <v>28658747.060290769</v>
      </c>
      <c r="J40" s="27">
        <f t="shared" si="0"/>
        <v>2514188.0602907687</v>
      </c>
      <c r="K40" s="36">
        <f t="shared" si="1"/>
        <v>9.6164867814017008E-2</v>
      </c>
      <c r="L40" s="10">
        <f t="shared" si="3"/>
        <v>9.6164867814017008E-2</v>
      </c>
      <c r="M40" s="135">
        <f t="shared" si="4"/>
        <v>6321141602508.6582</v>
      </c>
      <c r="N40" s="135">
        <f t="shared" si="5"/>
        <v>716115.30144355074</v>
      </c>
      <c r="O40" s="135">
        <f t="shared" si="6"/>
        <v>512821124961.58752</v>
      </c>
      <c r="P40"/>
    </row>
    <row r="41" spans="1:18" x14ac:dyDescent="0.2">
      <c r="A41" s="43">
        <v>42825</v>
      </c>
      <c r="B41" s="44">
        <f>Inputs!D62</f>
        <v>28985084</v>
      </c>
      <c r="C41" s="44">
        <f t="shared" si="7"/>
        <v>663.67272727272734</v>
      </c>
      <c r="D41" s="44">
        <v>31</v>
      </c>
      <c r="E41" s="109">
        <v>1</v>
      </c>
      <c r="F41" s="130">
        <v>0</v>
      </c>
      <c r="G41" s="137">
        <f>Inputs!G62+Inputs!I62+Inputs!L62</f>
        <v>13412</v>
      </c>
      <c r="H41" s="137">
        <v>0</v>
      </c>
      <c r="I41" s="44">
        <f t="shared" si="2"/>
        <v>28031602.111131817</v>
      </c>
      <c r="J41" s="27">
        <f t="shared" si="0"/>
        <v>-953481.8888681829</v>
      </c>
      <c r="K41" s="36">
        <f t="shared" si="1"/>
        <v>-3.2895605507583935E-2</v>
      </c>
      <c r="L41" s="10">
        <f t="shared" si="3"/>
        <v>3.2895605507583935E-2</v>
      </c>
      <c r="M41" s="135">
        <f t="shared" si="4"/>
        <v>909127712399.63794</v>
      </c>
      <c r="N41" s="135">
        <f t="shared" si="5"/>
        <v>-3467669.9491589516</v>
      </c>
      <c r="O41" s="135">
        <f t="shared" si="6"/>
        <v>12024734876300.047</v>
      </c>
      <c r="P41"/>
    </row>
    <row r="42" spans="1:18" x14ac:dyDescent="0.2">
      <c r="A42" s="43">
        <v>42855</v>
      </c>
      <c r="B42" s="44">
        <f>Inputs!D63</f>
        <v>22823269</v>
      </c>
      <c r="C42" s="44">
        <f t="shared" si="7"/>
        <v>423.24545454545455</v>
      </c>
      <c r="D42" s="44">
        <v>30</v>
      </c>
      <c r="E42" s="109">
        <v>1</v>
      </c>
      <c r="F42" s="130">
        <v>0</v>
      </c>
      <c r="G42" s="137">
        <f>Inputs!G63+Inputs!I63+Inputs!L63</f>
        <v>13422</v>
      </c>
      <c r="H42" s="137">
        <v>0</v>
      </c>
      <c r="I42" s="44">
        <f t="shared" si="2"/>
        <v>24570941.413705744</v>
      </c>
      <c r="J42" s="27">
        <f t="shared" si="0"/>
        <v>1747672.4137057438</v>
      </c>
      <c r="K42" s="36">
        <f t="shared" si="1"/>
        <v>7.6574149553499268E-2</v>
      </c>
      <c r="L42" s="10">
        <f t="shared" si="3"/>
        <v>7.6574149553499268E-2</v>
      </c>
      <c r="M42" s="135">
        <f t="shared" si="4"/>
        <v>3054358865628.0605</v>
      </c>
      <c r="N42" s="135">
        <f t="shared" si="5"/>
        <v>2701154.3025739267</v>
      </c>
      <c r="O42" s="135">
        <f t="shared" si="6"/>
        <v>7296234566313.6367</v>
      </c>
      <c r="P42"/>
    </row>
    <row r="43" spans="1:18" x14ac:dyDescent="0.2">
      <c r="A43" s="43">
        <v>42886</v>
      </c>
      <c r="B43" s="44">
        <f>Inputs!D64</f>
        <v>22196746</v>
      </c>
      <c r="C43" s="44">
        <f t="shared" si="7"/>
        <v>211.25454545454542</v>
      </c>
      <c r="D43" s="44">
        <v>31</v>
      </c>
      <c r="E43" s="109">
        <v>1</v>
      </c>
      <c r="F43" s="130">
        <v>0</v>
      </c>
      <c r="G43" s="137">
        <f>Inputs!G64+Inputs!I64+Inputs!L64</f>
        <v>13437</v>
      </c>
      <c r="H43" s="137">
        <v>0</v>
      </c>
      <c r="I43" s="44">
        <f t="shared" si="2"/>
        <v>22560367.85210428</v>
      </c>
      <c r="J43" s="27">
        <f t="shared" si="0"/>
        <v>363621.85210428014</v>
      </c>
      <c r="K43" s="36">
        <f t="shared" si="1"/>
        <v>1.6381763890269328E-2</v>
      </c>
      <c r="L43" s="10">
        <f t="shared" si="3"/>
        <v>1.6381763890269328E-2</v>
      </c>
      <c r="M43" s="135">
        <f t="shared" si="4"/>
        <v>132220851327.74698</v>
      </c>
      <c r="N43" s="135">
        <f t="shared" si="5"/>
        <v>-1384050.5616014637</v>
      </c>
      <c r="O43" s="135">
        <f t="shared" si="6"/>
        <v>1915595957069.3271</v>
      </c>
      <c r="P43"/>
    </row>
    <row r="44" spans="1:18" x14ac:dyDescent="0.2">
      <c r="A44" s="43">
        <v>42916</v>
      </c>
      <c r="B44" s="44">
        <f>Inputs!D65</f>
        <v>21339393</v>
      </c>
      <c r="C44" s="44">
        <f t="shared" si="7"/>
        <v>79.27272727272728</v>
      </c>
      <c r="D44" s="44">
        <v>30</v>
      </c>
      <c r="E44" s="109">
        <v>0</v>
      </c>
      <c r="F44" s="130">
        <v>0</v>
      </c>
      <c r="G44" s="137">
        <f>Inputs!G65+Inputs!I65+Inputs!L65</f>
        <v>13468</v>
      </c>
      <c r="H44" s="137">
        <v>0</v>
      </c>
      <c r="I44" s="44">
        <f t="shared" si="2"/>
        <v>21500801.82179185</v>
      </c>
      <c r="J44" s="27">
        <f t="shared" si="0"/>
        <v>161408.82179185003</v>
      </c>
      <c r="K44" s="36">
        <f t="shared" si="1"/>
        <v>7.5638900221693291E-3</v>
      </c>
      <c r="L44" s="10">
        <f t="shared" si="3"/>
        <v>7.5638900221693291E-3</v>
      </c>
      <c r="M44" s="135">
        <f t="shared" si="4"/>
        <v>26052807752.2332</v>
      </c>
      <c r="N44" s="135">
        <f t="shared" si="5"/>
        <v>-202213.03031243011</v>
      </c>
      <c r="O44" s="135">
        <f t="shared" si="6"/>
        <v>40890109628.13578</v>
      </c>
      <c r="P44"/>
    </row>
    <row r="45" spans="1:18" x14ac:dyDescent="0.2">
      <c r="A45" s="43">
        <v>42947</v>
      </c>
      <c r="B45" s="44">
        <f>Inputs!D66</f>
        <v>22953227</v>
      </c>
      <c r="C45" s="44">
        <f t="shared" si="7"/>
        <v>27.636363636363637</v>
      </c>
      <c r="D45" s="44">
        <v>31</v>
      </c>
      <c r="E45" s="109">
        <v>0</v>
      </c>
      <c r="F45" s="130">
        <v>1</v>
      </c>
      <c r="G45" s="137">
        <f>Inputs!G66+Inputs!I66+Inputs!L66</f>
        <v>13466</v>
      </c>
      <c r="H45" s="137">
        <v>0</v>
      </c>
      <c r="I45" s="44">
        <f t="shared" si="2"/>
        <v>24345620.712300763</v>
      </c>
      <c r="J45" s="27">
        <f t="shared" si="0"/>
        <v>1392393.7123007625</v>
      </c>
      <c r="K45" s="36">
        <f t="shared" si="1"/>
        <v>6.0662220275204112E-2</v>
      </c>
      <c r="L45" s="10">
        <f t="shared" si="3"/>
        <v>6.0662220275204112E-2</v>
      </c>
      <c r="M45" s="135">
        <f t="shared" si="4"/>
        <v>1938760250054.6987</v>
      </c>
      <c r="N45" s="135">
        <f t="shared" si="5"/>
        <v>1230984.8905089125</v>
      </c>
      <c r="O45" s="135">
        <f t="shared" si="6"/>
        <v>1515323800661.2393</v>
      </c>
      <c r="P45"/>
    </row>
    <row r="46" spans="1:18" x14ac:dyDescent="0.2">
      <c r="A46" s="43">
        <v>42978</v>
      </c>
      <c r="B46" s="44">
        <f>Inputs!D67</f>
        <v>22947367</v>
      </c>
      <c r="C46" s="44">
        <f t="shared" si="7"/>
        <v>40.327272727272721</v>
      </c>
      <c r="D46" s="44">
        <v>31</v>
      </c>
      <c r="E46" s="109">
        <v>0</v>
      </c>
      <c r="F46" s="130">
        <v>1</v>
      </c>
      <c r="G46" s="137">
        <f>Inputs!G67+Inputs!I67+Inputs!L67</f>
        <v>13469</v>
      </c>
      <c r="H46" s="137">
        <v>0</v>
      </c>
      <c r="I46" s="44">
        <f t="shared" si="2"/>
        <v>24503067.121099666</v>
      </c>
      <c r="J46" s="27">
        <f t="shared" si="0"/>
        <v>1555700.1210996658</v>
      </c>
      <c r="K46" s="36">
        <f t="shared" si="1"/>
        <v>6.7794275530594236E-2</v>
      </c>
      <c r="L46" s="10">
        <f t="shared" si="3"/>
        <v>6.7794275530594236E-2</v>
      </c>
      <c r="M46" s="135">
        <f t="shared" si="4"/>
        <v>2420202866789.5146</v>
      </c>
      <c r="N46" s="135">
        <f t="shared" si="5"/>
        <v>163306.40879890323</v>
      </c>
      <c r="O46" s="135">
        <f t="shared" si="6"/>
        <v>26668983154.794498</v>
      </c>
      <c r="P46"/>
    </row>
    <row r="47" spans="1:18" x14ac:dyDescent="0.2">
      <c r="A47" s="43">
        <v>43008</v>
      </c>
      <c r="B47" s="44">
        <f>Inputs!D68</f>
        <v>21826159</v>
      </c>
      <c r="C47" s="44">
        <f t="shared" si="7"/>
        <v>123.35454545454546</v>
      </c>
      <c r="D47" s="44">
        <v>30</v>
      </c>
      <c r="E47" s="109">
        <v>0</v>
      </c>
      <c r="F47" s="130">
        <v>0</v>
      </c>
      <c r="G47" s="137">
        <f>Inputs!G68+Inputs!I68+Inputs!L68</f>
        <v>13463</v>
      </c>
      <c r="H47" s="137">
        <v>0</v>
      </c>
      <c r="I47" s="44">
        <f t="shared" si="2"/>
        <v>22031145.85863971</v>
      </c>
      <c r="J47" s="27">
        <f t="shared" si="0"/>
        <v>204986.85863970965</v>
      </c>
      <c r="K47" s="36">
        <f t="shared" si="1"/>
        <v>9.39179718427368E-3</v>
      </c>
      <c r="L47" s="10">
        <f t="shared" si="3"/>
        <v>9.39179718427368E-3</v>
      </c>
      <c r="M47" s="135">
        <f t="shared" si="4"/>
        <v>42019612214.976311</v>
      </c>
      <c r="N47" s="135">
        <f t="shared" si="5"/>
        <v>-1350713.2624599561</v>
      </c>
      <c r="O47" s="135">
        <f t="shared" si="6"/>
        <v>1824426317385.2183</v>
      </c>
      <c r="P47"/>
    </row>
    <row r="48" spans="1:18" x14ac:dyDescent="0.2">
      <c r="A48" s="43">
        <v>43039</v>
      </c>
      <c r="B48" s="44">
        <f>Inputs!D69</f>
        <v>22377976</v>
      </c>
      <c r="C48" s="44">
        <f t="shared" si="7"/>
        <v>312.07272727272726</v>
      </c>
      <c r="D48" s="44">
        <v>31</v>
      </c>
      <c r="E48" s="109">
        <v>1</v>
      </c>
      <c r="F48" s="130">
        <v>0</v>
      </c>
      <c r="G48" s="137">
        <f>Inputs!G69+Inputs!I69+Inputs!L69</f>
        <v>13474</v>
      </c>
      <c r="H48" s="137">
        <v>0</v>
      </c>
      <c r="I48" s="44">
        <f t="shared" si="2"/>
        <v>23825270.152675651</v>
      </c>
      <c r="J48" s="27">
        <f t="shared" si="0"/>
        <v>1447294.152675651</v>
      </c>
      <c r="K48" s="36">
        <f t="shared" si="1"/>
        <v>6.4674935422026153E-2</v>
      </c>
      <c r="L48" s="10">
        <f t="shared" si="3"/>
        <v>6.4674935422026153E-2</v>
      </c>
      <c r="M48" s="135">
        <f t="shared" si="4"/>
        <v>2094660364369.1306</v>
      </c>
      <c r="N48" s="135">
        <f t="shared" si="5"/>
        <v>1242307.2940359414</v>
      </c>
      <c r="O48" s="135">
        <f t="shared" si="6"/>
        <v>1543327412814.9028</v>
      </c>
      <c r="P48"/>
    </row>
    <row r="49" spans="1:16" x14ac:dyDescent="0.2">
      <c r="A49" s="43">
        <v>43069</v>
      </c>
      <c r="B49" s="44">
        <f>Inputs!D70</f>
        <v>25903115</v>
      </c>
      <c r="C49" s="44">
        <f t="shared" si="7"/>
        <v>496.43636363636364</v>
      </c>
      <c r="D49" s="44">
        <v>30</v>
      </c>
      <c r="E49" s="109">
        <v>1</v>
      </c>
      <c r="F49" s="130">
        <v>0</v>
      </c>
      <c r="G49" s="137">
        <f>Inputs!G70+Inputs!I70+Inputs!L70</f>
        <v>13483</v>
      </c>
      <c r="H49" s="137">
        <v>0</v>
      </c>
      <c r="I49" s="44">
        <f t="shared" si="2"/>
        <v>25525851.234795041</v>
      </c>
      <c r="J49" s="27">
        <f t="shared" si="0"/>
        <v>-377263.76520495862</v>
      </c>
      <c r="K49" s="36">
        <f t="shared" si="1"/>
        <v>-1.4564416874378183E-2</v>
      </c>
      <c r="L49" s="10">
        <f t="shared" si="3"/>
        <v>1.4564416874378183E-2</v>
      </c>
      <c r="M49" s="135">
        <f t="shared" si="4"/>
        <v>142327948536.62213</v>
      </c>
      <c r="N49" s="135">
        <f t="shared" si="5"/>
        <v>-1824557.9178806096</v>
      </c>
      <c r="O49" s="135">
        <f t="shared" si="6"/>
        <v>3329011595700.8257</v>
      </c>
      <c r="P49"/>
    </row>
    <row r="50" spans="1:16" x14ac:dyDescent="0.2">
      <c r="A50" s="43">
        <v>43100</v>
      </c>
      <c r="B50" s="44">
        <f>Inputs!D71</f>
        <v>30421258</v>
      </c>
      <c r="C50" s="44">
        <f t="shared" si="7"/>
        <v>679.73636363636365</v>
      </c>
      <c r="D50" s="44">
        <v>31</v>
      </c>
      <c r="E50" s="109">
        <v>0</v>
      </c>
      <c r="F50" s="130">
        <v>0</v>
      </c>
      <c r="G50" s="137">
        <f>Inputs!G71+Inputs!I71+Inputs!L71</f>
        <v>13491</v>
      </c>
      <c r="H50" s="137">
        <v>0</v>
      </c>
      <c r="I50" s="44">
        <f t="shared" si="2"/>
        <v>29372248.345556661</v>
      </c>
      <c r="J50" s="27">
        <f t="shared" si="0"/>
        <v>-1049009.6544433385</v>
      </c>
      <c r="K50" s="36">
        <f t="shared" si="1"/>
        <v>-3.4482783533913638E-2</v>
      </c>
      <c r="L50" s="10">
        <f t="shared" si="3"/>
        <v>3.4482783533913638E-2</v>
      </c>
      <c r="M50" s="135">
        <f t="shared" si="4"/>
        <v>1100421255115.3325</v>
      </c>
      <c r="N50" s="135">
        <f t="shared" si="5"/>
        <v>-671745.8892383799</v>
      </c>
      <c r="O50" s="135">
        <f t="shared" si="6"/>
        <v>451242539708.66174</v>
      </c>
      <c r="P50"/>
    </row>
    <row r="51" spans="1:16" x14ac:dyDescent="0.2">
      <c r="A51" s="43">
        <v>43131</v>
      </c>
      <c r="B51" s="44">
        <f>Inputs!D72</f>
        <v>32733608</v>
      </c>
      <c r="C51" s="44">
        <f t="shared" si="7"/>
        <v>834.24545454545466</v>
      </c>
      <c r="D51" s="44">
        <v>31</v>
      </c>
      <c r="E51" s="109">
        <v>0</v>
      </c>
      <c r="F51" s="130">
        <v>0</v>
      </c>
      <c r="G51" s="137">
        <f>Inputs!G72+Inputs!I72+Inputs!L72</f>
        <v>13479</v>
      </c>
      <c r="H51" s="137">
        <v>0</v>
      </c>
      <c r="I51" s="44">
        <f t="shared" si="2"/>
        <v>31237060.406717718</v>
      </c>
      <c r="J51" s="27">
        <f t="shared" si="0"/>
        <v>-1496547.5932822824</v>
      </c>
      <c r="K51" s="36">
        <f t="shared" si="1"/>
        <v>-4.5718992947012815E-2</v>
      </c>
      <c r="L51" s="10">
        <f t="shared" si="3"/>
        <v>4.5718992947012815E-2</v>
      </c>
      <c r="M51" s="135">
        <f t="shared" si="4"/>
        <v>2239654698958.9917</v>
      </c>
      <c r="N51" s="135">
        <f t="shared" si="5"/>
        <v>-447537.93883894384</v>
      </c>
      <c r="O51" s="135">
        <f t="shared" si="6"/>
        <v>200290206700.21024</v>
      </c>
      <c r="P51"/>
    </row>
    <row r="52" spans="1:16" x14ac:dyDescent="0.2">
      <c r="A52" s="43">
        <v>43159</v>
      </c>
      <c r="B52" s="44">
        <f>Inputs!D73</f>
        <v>27371745</v>
      </c>
      <c r="C52" s="44">
        <f t="shared" si="7"/>
        <v>763.4909090909091</v>
      </c>
      <c r="D52" s="44">
        <v>28</v>
      </c>
      <c r="E52" s="109">
        <v>0</v>
      </c>
      <c r="F52" s="130">
        <v>0</v>
      </c>
      <c r="G52" s="137">
        <f>Inputs!G73+Inputs!I73+Inputs!L73</f>
        <v>13547</v>
      </c>
      <c r="H52" s="137">
        <v>0</v>
      </c>
      <c r="I52" s="44">
        <f t="shared" si="2"/>
        <v>28801449.2013181</v>
      </c>
      <c r="J52" s="27">
        <f t="shared" si="0"/>
        <v>1429704.2013181001</v>
      </c>
      <c r="K52" s="36">
        <f t="shared" si="1"/>
        <v>5.2232848191377648E-2</v>
      </c>
      <c r="L52" s="10">
        <f t="shared" si="3"/>
        <v>5.2232848191377648E-2</v>
      </c>
      <c r="M52" s="135">
        <f t="shared" si="4"/>
        <v>2044054103266.6265</v>
      </c>
      <c r="N52" s="135">
        <f t="shared" si="5"/>
        <v>2926251.7946003824</v>
      </c>
      <c r="O52" s="135">
        <f t="shared" si="6"/>
        <v>8562949565401.959</v>
      </c>
      <c r="P52"/>
    </row>
    <row r="53" spans="1:16" x14ac:dyDescent="0.2">
      <c r="A53" s="43">
        <v>43190</v>
      </c>
      <c r="B53" s="44">
        <f>Inputs!D74</f>
        <v>27619983</v>
      </c>
      <c r="C53" s="44">
        <f t="shared" si="7"/>
        <v>663.67272727272734</v>
      </c>
      <c r="D53" s="44">
        <v>31</v>
      </c>
      <c r="E53" s="109">
        <v>1</v>
      </c>
      <c r="F53" s="130">
        <v>0</v>
      </c>
      <c r="G53" s="137">
        <f>Inputs!G74+Inputs!I74+Inputs!L74</f>
        <v>13545</v>
      </c>
      <c r="H53" s="137">
        <v>0</v>
      </c>
      <c r="I53" s="44">
        <f t="shared" si="2"/>
        <v>28174304.252159152</v>
      </c>
      <c r="J53" s="27">
        <f t="shared" si="0"/>
        <v>554321.25215915218</v>
      </c>
      <c r="K53" s="36">
        <f t="shared" si="1"/>
        <v>2.0069572532291281E-2</v>
      </c>
      <c r="L53" s="10">
        <f t="shared" si="3"/>
        <v>2.0069572532291281E-2</v>
      </c>
      <c r="M53" s="135">
        <f t="shared" si="4"/>
        <v>307272050595.29041</v>
      </c>
      <c r="N53" s="135">
        <f t="shared" si="5"/>
        <v>-875382.94915894791</v>
      </c>
      <c r="O53" s="135">
        <f t="shared" si="6"/>
        <v>766295307678.21716</v>
      </c>
      <c r="P53"/>
    </row>
    <row r="54" spans="1:16" x14ac:dyDescent="0.2">
      <c r="A54" s="43">
        <v>43220</v>
      </c>
      <c r="B54" s="44">
        <f>Inputs!D75</f>
        <v>25333746</v>
      </c>
      <c r="C54" s="44">
        <f t="shared" si="7"/>
        <v>423.24545454545455</v>
      </c>
      <c r="D54" s="44">
        <v>30</v>
      </c>
      <c r="E54" s="109">
        <v>1</v>
      </c>
      <c r="F54" s="130">
        <v>0</v>
      </c>
      <c r="G54" s="137">
        <f>Inputs!G75+Inputs!I75+Inputs!L75</f>
        <v>13570</v>
      </c>
      <c r="H54" s="137">
        <v>0</v>
      </c>
      <c r="I54" s="44">
        <f t="shared" si="2"/>
        <v>24729737.781164728</v>
      </c>
      <c r="J54" s="27">
        <f t="shared" si="0"/>
        <v>-604008.21883527189</v>
      </c>
      <c r="K54" s="36">
        <f t="shared" si="1"/>
        <v>-2.3842041316561393E-2</v>
      </c>
      <c r="L54" s="10">
        <f t="shared" si="3"/>
        <v>2.3842041316561393E-2</v>
      </c>
      <c r="M54" s="135">
        <f t="shared" si="4"/>
        <v>364825928420.55768</v>
      </c>
      <c r="N54" s="135">
        <f t="shared" si="5"/>
        <v>-1158329.4709944241</v>
      </c>
      <c r="O54" s="135">
        <f t="shared" si="6"/>
        <v>1341727163374.2224</v>
      </c>
      <c r="P54"/>
    </row>
    <row r="55" spans="1:16" x14ac:dyDescent="0.2">
      <c r="A55" s="43">
        <v>43251</v>
      </c>
      <c r="B55" s="44">
        <f>Inputs!D76</f>
        <v>21970207</v>
      </c>
      <c r="C55" s="44">
        <f t="shared" si="7"/>
        <v>211.25454545454542</v>
      </c>
      <c r="D55" s="44">
        <v>31</v>
      </c>
      <c r="E55" s="109">
        <v>1</v>
      </c>
      <c r="F55" s="130">
        <v>0</v>
      </c>
      <c r="G55" s="137">
        <f>Inputs!G76+Inputs!I76+Inputs!L76</f>
        <v>13573</v>
      </c>
      <c r="H55" s="137">
        <v>0</v>
      </c>
      <c r="I55" s="44">
        <f t="shared" si="2"/>
        <v>22706288.838417947</v>
      </c>
      <c r="J55" s="27">
        <f t="shared" si="0"/>
        <v>736081.83841794729</v>
      </c>
      <c r="K55" s="36">
        <f t="shared" si="1"/>
        <v>3.3503636921488597E-2</v>
      </c>
      <c r="L55" s="10">
        <f t="shared" si="3"/>
        <v>3.3503636921488597E-2</v>
      </c>
      <c r="M55" s="135">
        <f t="shared" si="4"/>
        <v>541816472848.74506</v>
      </c>
      <c r="N55" s="135">
        <f t="shared" si="5"/>
        <v>1340090.0572532192</v>
      </c>
      <c r="O55" s="135">
        <f t="shared" si="6"/>
        <v>1795841361548.9363</v>
      </c>
      <c r="P55"/>
    </row>
    <row r="56" spans="1:16" x14ac:dyDescent="0.2">
      <c r="A56" s="43">
        <v>43281</v>
      </c>
      <c r="B56" s="44">
        <f>Inputs!D77</f>
        <v>22053298</v>
      </c>
      <c r="C56" s="44">
        <f t="shared" si="7"/>
        <v>79.27272727272728</v>
      </c>
      <c r="D56" s="44">
        <v>30</v>
      </c>
      <c r="E56" s="109">
        <v>0</v>
      </c>
      <c r="F56" s="130">
        <v>0</v>
      </c>
      <c r="G56" s="137">
        <f>Inputs!G77+Inputs!I77+Inputs!L77</f>
        <v>13581</v>
      </c>
      <c r="H56" s="137">
        <v>0</v>
      </c>
      <c r="I56" s="44">
        <f t="shared" si="2"/>
        <v>21622044.994243644</v>
      </c>
      <c r="J56" s="27">
        <f t="shared" si="0"/>
        <v>-431253.00575635582</v>
      </c>
      <c r="K56" s="36">
        <f t="shared" si="1"/>
        <v>-1.95550346146121E-2</v>
      </c>
      <c r="L56" s="10">
        <f t="shared" si="3"/>
        <v>1.95550346146121E-2</v>
      </c>
      <c r="M56" s="135">
        <f t="shared" si="4"/>
        <v>185979154973.89148</v>
      </c>
      <c r="N56" s="135">
        <f t="shared" si="5"/>
        <v>-1167334.8441743031</v>
      </c>
      <c r="O56" s="135">
        <f t="shared" si="6"/>
        <v>1362670638423.4446</v>
      </c>
      <c r="P56"/>
    </row>
    <row r="57" spans="1:16" x14ac:dyDescent="0.2">
      <c r="A57" s="43">
        <v>43312</v>
      </c>
      <c r="B57" s="44">
        <f>Inputs!D78</f>
        <v>25386186</v>
      </c>
      <c r="C57" s="44">
        <f t="shared" si="7"/>
        <v>27.636363636363637</v>
      </c>
      <c r="D57" s="44">
        <v>31</v>
      </c>
      <c r="E57" s="109">
        <v>0</v>
      </c>
      <c r="F57" s="130">
        <v>1</v>
      </c>
      <c r="G57" s="137">
        <f>Inputs!G78+Inputs!I78+Inputs!L78</f>
        <v>13593</v>
      </c>
      <c r="H57" s="137">
        <v>0</v>
      </c>
      <c r="I57" s="44">
        <f t="shared" si="2"/>
        <v>24481885.162755433</v>
      </c>
      <c r="J57" s="27">
        <f t="shared" si="0"/>
        <v>-904300.83724456653</v>
      </c>
      <c r="K57" s="36">
        <f t="shared" si="1"/>
        <v>-3.5621768360342372E-2</v>
      </c>
      <c r="L57" s="10">
        <f t="shared" si="3"/>
        <v>3.5621768360342372E-2</v>
      </c>
      <c r="M57" s="135">
        <f t="shared" si="4"/>
        <v>817760004241.224</v>
      </c>
      <c r="N57" s="135">
        <f t="shared" si="5"/>
        <v>-473047.83148821071</v>
      </c>
      <c r="O57" s="135">
        <f t="shared" si="6"/>
        <v>223774250875.69861</v>
      </c>
      <c r="P57"/>
    </row>
    <row r="58" spans="1:16" x14ac:dyDescent="0.2">
      <c r="A58" s="43">
        <v>43343</v>
      </c>
      <c r="B58" s="44">
        <f>Inputs!D79</f>
        <v>24965359</v>
      </c>
      <c r="C58" s="44">
        <f t="shared" si="7"/>
        <v>40.327272727272721</v>
      </c>
      <c r="D58" s="44">
        <v>31</v>
      </c>
      <c r="E58" s="109">
        <v>0</v>
      </c>
      <c r="F58" s="130">
        <v>1</v>
      </c>
      <c r="G58" s="137">
        <f>Inputs!G79+Inputs!I79+Inputs!L79</f>
        <v>13615</v>
      </c>
      <c r="H58" s="137">
        <v>0</v>
      </c>
      <c r="I58" s="44">
        <f t="shared" si="2"/>
        <v>24659717.591701098</v>
      </c>
      <c r="J58" s="27">
        <f t="shared" si="0"/>
        <v>-305641.40829890221</v>
      </c>
      <c r="K58" s="36">
        <f t="shared" si="1"/>
        <v>-1.2242620196204758E-2</v>
      </c>
      <c r="L58" s="10">
        <f t="shared" si="3"/>
        <v>1.2242620196204758E-2</v>
      </c>
      <c r="M58" s="135">
        <f t="shared" si="4"/>
        <v>93416670466.936249</v>
      </c>
      <c r="N58" s="135">
        <f t="shared" si="5"/>
        <v>598659.42894566432</v>
      </c>
      <c r="O58" s="135">
        <f t="shared" si="6"/>
        <v>358393111865.54889</v>
      </c>
      <c r="P58"/>
    </row>
    <row r="59" spans="1:16" x14ac:dyDescent="0.2">
      <c r="A59" s="43">
        <v>43373</v>
      </c>
      <c r="B59" s="44">
        <f>Inputs!D80</f>
        <v>22184261</v>
      </c>
      <c r="C59" s="44">
        <f t="shared" si="7"/>
        <v>123.35454545454546</v>
      </c>
      <c r="D59" s="44">
        <v>30</v>
      </c>
      <c r="E59" s="109">
        <v>0</v>
      </c>
      <c r="F59" s="130">
        <v>0</v>
      </c>
      <c r="G59" s="137">
        <f>Inputs!G80+Inputs!I80+Inputs!L80</f>
        <v>13615</v>
      </c>
      <c r="H59" s="137">
        <v>0</v>
      </c>
      <c r="I59" s="44">
        <f t="shared" si="2"/>
        <v>22194234.019813802</v>
      </c>
      <c r="J59" s="27">
        <f t="shared" si="0"/>
        <v>9973.0198138020933</v>
      </c>
      <c r="K59" s="36">
        <f t="shared" si="1"/>
        <v>4.4955384422325781E-4</v>
      </c>
      <c r="L59" s="10">
        <f t="shared" si="3"/>
        <v>4.4955384422325781E-4</v>
      </c>
      <c r="M59" s="135">
        <f t="shared" si="4"/>
        <v>99461124.206489146</v>
      </c>
      <c r="N59" s="135">
        <f t="shared" si="5"/>
        <v>315614.42811270431</v>
      </c>
      <c r="O59" s="135">
        <f t="shared" si="6"/>
        <v>99612467232.909393</v>
      </c>
      <c r="P59"/>
    </row>
    <row r="60" spans="1:16" x14ac:dyDescent="0.2">
      <c r="A60" s="43">
        <v>43404</v>
      </c>
      <c r="B60" s="44">
        <f>Inputs!D81</f>
        <v>24204812</v>
      </c>
      <c r="C60" s="44">
        <f t="shared" si="7"/>
        <v>312.07272727272726</v>
      </c>
      <c r="D60" s="44">
        <v>31</v>
      </c>
      <c r="E60" s="109">
        <v>1</v>
      </c>
      <c r="F60" s="130">
        <v>0</v>
      </c>
      <c r="G60" s="137">
        <f>Inputs!G81+Inputs!I81+Inputs!L81</f>
        <v>13624</v>
      </c>
      <c r="H60" s="137">
        <v>0</v>
      </c>
      <c r="I60" s="44">
        <f t="shared" si="2"/>
        <v>23986212.416992191</v>
      </c>
      <c r="J60" s="27">
        <f t="shared" si="0"/>
        <v>-218599.58300780877</v>
      </c>
      <c r="K60" s="36">
        <f t="shared" si="1"/>
        <v>-9.0312448205674464E-3</v>
      </c>
      <c r="L60" s="10">
        <f t="shared" si="3"/>
        <v>9.0312448205674464E-3</v>
      </c>
      <c r="M60" s="135">
        <f t="shared" si="4"/>
        <v>47785777691.187881</v>
      </c>
      <c r="N60" s="135">
        <f t="shared" si="5"/>
        <v>-228572.60282161087</v>
      </c>
      <c r="O60" s="135">
        <f t="shared" si="6"/>
        <v>52245434760.645874</v>
      </c>
      <c r="P60"/>
    </row>
    <row r="61" spans="1:16" x14ac:dyDescent="0.2">
      <c r="A61" s="43">
        <v>43434</v>
      </c>
      <c r="B61" s="44">
        <f>Inputs!D82</f>
        <v>26802618</v>
      </c>
      <c r="C61" s="44">
        <f t="shared" si="7"/>
        <v>496.43636363636364</v>
      </c>
      <c r="D61" s="44">
        <v>30</v>
      </c>
      <c r="E61" s="109">
        <v>1</v>
      </c>
      <c r="F61" s="130">
        <v>0</v>
      </c>
      <c r="G61" s="137">
        <f>Inputs!G82+Inputs!I82+Inputs!L82</f>
        <v>13634</v>
      </c>
      <c r="H61" s="137">
        <v>0</v>
      </c>
      <c r="I61" s="44">
        <f t="shared" si="2"/>
        <v>25687866.447540361</v>
      </c>
      <c r="J61" s="27">
        <f t="shared" si="0"/>
        <v>-1114751.5524596386</v>
      </c>
      <c r="K61" s="36">
        <f t="shared" si="1"/>
        <v>-4.1591144285220143E-2</v>
      </c>
      <c r="L61" s="10">
        <f t="shared" si="3"/>
        <v>4.1591144285220143E-2</v>
      </c>
      <c r="M61" s="135">
        <f t="shared" si="4"/>
        <v>1242671023711.1743</v>
      </c>
      <c r="N61" s="135">
        <f t="shared" si="5"/>
        <v>-896151.96945182979</v>
      </c>
      <c r="O61" s="135">
        <f t="shared" si="6"/>
        <v>803088352352.39331</v>
      </c>
      <c r="P61"/>
    </row>
    <row r="62" spans="1:16" x14ac:dyDescent="0.2">
      <c r="A62" s="43">
        <v>43465</v>
      </c>
      <c r="B62" s="44">
        <f>Inputs!D83</f>
        <v>28621650</v>
      </c>
      <c r="C62" s="44">
        <f t="shared" si="7"/>
        <v>679.73636363636365</v>
      </c>
      <c r="D62" s="44">
        <v>31</v>
      </c>
      <c r="E62" s="109">
        <v>0</v>
      </c>
      <c r="F62" s="130">
        <v>0</v>
      </c>
      <c r="G62" s="137">
        <f>Inputs!G83+Inputs!I83+Inputs!L83</f>
        <v>13644</v>
      </c>
      <c r="H62" s="137">
        <v>0</v>
      </c>
      <c r="I62" s="44">
        <f t="shared" si="2"/>
        <v>29536409.45515953</v>
      </c>
      <c r="J62" s="27">
        <f t="shared" si="0"/>
        <v>914759.45515953004</v>
      </c>
      <c r="K62" s="36">
        <f t="shared" si="1"/>
        <v>3.1960402533031118E-2</v>
      </c>
      <c r="L62" s="10">
        <f t="shared" si="3"/>
        <v>3.1960402533031118E-2</v>
      </c>
      <c r="M62" s="135">
        <f t="shared" si="4"/>
        <v>836784860803.76025</v>
      </c>
      <c r="N62" s="135">
        <f t="shared" si="5"/>
        <v>2029511.0076191686</v>
      </c>
      <c r="O62" s="135">
        <f t="shared" si="6"/>
        <v>4118914930047.373</v>
      </c>
      <c r="P62"/>
    </row>
    <row r="63" spans="1:16" x14ac:dyDescent="0.2">
      <c r="A63" s="43">
        <v>43496</v>
      </c>
      <c r="B63" s="44">
        <f>Inputs!D84</f>
        <v>32743936.59</v>
      </c>
      <c r="C63" s="44">
        <f t="shared" si="7"/>
        <v>834.24545454545466</v>
      </c>
      <c r="D63" s="44">
        <v>31</v>
      </c>
      <c r="E63" s="109">
        <v>0</v>
      </c>
      <c r="F63" s="130">
        <v>0</v>
      </c>
      <c r="G63" s="137">
        <f>Inputs!G84+Inputs!I84+Inputs!L84</f>
        <v>13661</v>
      </c>
      <c r="H63" s="137">
        <v>0</v>
      </c>
      <c r="I63" s="44">
        <f t="shared" si="2"/>
        <v>31432337.020755123</v>
      </c>
      <c r="J63" s="27">
        <f t="shared" si="0"/>
        <v>-1311599.5692448765</v>
      </c>
      <c r="K63" s="36">
        <f t="shared" si="1"/>
        <v>-4.0056257916326381E-2</v>
      </c>
      <c r="L63" s="10">
        <f t="shared" si="3"/>
        <v>4.0056257916326381E-2</v>
      </c>
      <c r="M63" s="135">
        <f t="shared" si="4"/>
        <v>1720293430043.3457</v>
      </c>
      <c r="N63" s="135">
        <f t="shared" si="5"/>
        <v>-2226359.0244044065</v>
      </c>
      <c r="O63" s="135">
        <f t="shared" si="6"/>
        <v>4956674505546.9404</v>
      </c>
      <c r="P63"/>
    </row>
    <row r="64" spans="1:16" x14ac:dyDescent="0.2">
      <c r="A64" s="43">
        <v>43524</v>
      </c>
      <c r="B64" s="44">
        <f>Inputs!D85</f>
        <v>28440395.719999999</v>
      </c>
      <c r="C64" s="44">
        <f t="shared" si="7"/>
        <v>763.4909090909091</v>
      </c>
      <c r="D64" s="44">
        <v>28</v>
      </c>
      <c r="E64" s="109">
        <v>0</v>
      </c>
      <c r="F64" s="130">
        <v>0</v>
      </c>
      <c r="G64" s="137">
        <f>Inputs!G85+Inputs!I85+Inputs!L85</f>
        <v>13667</v>
      </c>
      <c r="H64" s="137">
        <v>0</v>
      </c>
      <c r="I64" s="44">
        <f t="shared" si="2"/>
        <v>28930203.012771331</v>
      </c>
      <c r="J64" s="27">
        <f t="shared" si="0"/>
        <v>489807.29277133197</v>
      </c>
      <c r="K64" s="36">
        <f t="shared" si="1"/>
        <v>1.7222239015010864E-2</v>
      </c>
      <c r="L64" s="10">
        <f t="shared" si="3"/>
        <v>1.7222239015010864E-2</v>
      </c>
      <c r="M64" s="135">
        <f t="shared" si="4"/>
        <v>239911184051.98129</v>
      </c>
      <c r="N64" s="135">
        <f t="shared" si="5"/>
        <v>1801406.8620162085</v>
      </c>
      <c r="O64" s="135">
        <f t="shared" si="6"/>
        <v>3245066682519.083</v>
      </c>
      <c r="P64"/>
    </row>
    <row r="65" spans="1:16" x14ac:dyDescent="0.2">
      <c r="A65" s="43">
        <v>43555</v>
      </c>
      <c r="B65" s="44">
        <f>Inputs!D86</f>
        <v>29353455.600000001</v>
      </c>
      <c r="C65" s="44">
        <f t="shared" si="7"/>
        <v>663.67272727272734</v>
      </c>
      <c r="D65" s="44">
        <v>31</v>
      </c>
      <c r="E65" s="109">
        <v>1</v>
      </c>
      <c r="F65" s="130">
        <v>0</v>
      </c>
      <c r="G65" s="137">
        <f>Inputs!G86+Inputs!I86+Inputs!L86</f>
        <v>13695</v>
      </c>
      <c r="H65" s="137">
        <v>0</v>
      </c>
      <c r="I65" s="44">
        <f t="shared" si="2"/>
        <v>28335246.516475692</v>
      </c>
      <c r="J65" s="27">
        <f t="shared" si="0"/>
        <v>-1018209.0835243091</v>
      </c>
      <c r="K65" s="36">
        <f t="shared" si="1"/>
        <v>-3.4687877890748543E-2</v>
      </c>
      <c r="L65" s="10">
        <f t="shared" si="3"/>
        <v>3.4687877890748543E-2</v>
      </c>
      <c r="M65" s="135">
        <f t="shared" si="4"/>
        <v>1036749737771.4135</v>
      </c>
      <c r="N65" s="135">
        <f t="shared" si="5"/>
        <v>-1508016.3762956411</v>
      </c>
      <c r="O65" s="135">
        <f t="shared" si="6"/>
        <v>2274113391175.8364</v>
      </c>
    </row>
    <row r="66" spans="1:16" x14ac:dyDescent="0.2">
      <c r="A66" s="43">
        <v>43585</v>
      </c>
      <c r="B66" s="44">
        <f>Inputs!D87</f>
        <v>24614385.100000001</v>
      </c>
      <c r="C66" s="44">
        <f t="shared" si="7"/>
        <v>423.24545454545455</v>
      </c>
      <c r="D66" s="44">
        <v>30</v>
      </c>
      <c r="E66" s="109">
        <v>1</v>
      </c>
      <c r="F66" s="130">
        <v>0</v>
      </c>
      <c r="G66" s="137">
        <f>Inputs!G87+Inputs!I87+Inputs!L87</f>
        <v>13703</v>
      </c>
      <c r="H66" s="137">
        <v>0</v>
      </c>
      <c r="I66" s="44">
        <f t="shared" si="2"/>
        <v>24872439.922192063</v>
      </c>
      <c r="J66" s="27">
        <f t="shared" si="0"/>
        <v>258054.82219206169</v>
      </c>
      <c r="K66" s="36">
        <f t="shared" si="1"/>
        <v>1.04839028537041E-2</v>
      </c>
      <c r="L66" s="10">
        <f t="shared" si="3"/>
        <v>1.04839028537041E-2</v>
      </c>
      <c r="M66" s="135">
        <f t="shared" si="4"/>
        <v>66592291256.576576</v>
      </c>
      <c r="N66" s="135">
        <f t="shared" si="5"/>
        <v>1276263.9057163708</v>
      </c>
      <c r="O66" s="135">
        <f t="shared" si="6"/>
        <v>1628849557034.4053</v>
      </c>
    </row>
    <row r="67" spans="1:16" x14ac:dyDescent="0.2">
      <c r="A67" s="43">
        <v>43616</v>
      </c>
      <c r="B67" s="44">
        <f>Inputs!D88</f>
        <v>22757878</v>
      </c>
      <c r="C67" s="44">
        <f t="shared" si="7"/>
        <v>211.25454545454542</v>
      </c>
      <c r="D67" s="44">
        <v>31</v>
      </c>
      <c r="E67" s="109">
        <v>1</v>
      </c>
      <c r="F67" s="130">
        <v>0</v>
      </c>
      <c r="G67" s="137">
        <f>Inputs!G88+Inputs!I88+Inputs!L88</f>
        <v>13708</v>
      </c>
      <c r="H67" s="137">
        <v>0</v>
      </c>
      <c r="I67" s="44">
        <f t="shared" si="2"/>
        <v>22851136.876302831</v>
      </c>
      <c r="J67" s="27">
        <f t="shared" ref="J67:J130" si="8">I67-B67</f>
        <v>93258.876302830875</v>
      </c>
      <c r="K67" s="36">
        <f t="shared" ref="K67:K130" si="9">J67/B67</f>
        <v>4.0978722314457825E-3</v>
      </c>
      <c r="L67" s="10">
        <f t="shared" si="3"/>
        <v>4.0978722314457825E-3</v>
      </c>
      <c r="M67" s="135">
        <f t="shared" si="4"/>
        <v>8697218009.2667103</v>
      </c>
      <c r="N67" s="135">
        <f t="shared" si="5"/>
        <v>-164795.94588923082</v>
      </c>
      <c r="O67" s="135">
        <f t="shared" si="6"/>
        <v>27157703781.526291</v>
      </c>
    </row>
    <row r="68" spans="1:16" x14ac:dyDescent="0.2">
      <c r="A68" s="43">
        <v>43646</v>
      </c>
      <c r="B68" s="44">
        <f>Inputs!D89</f>
        <v>21375937</v>
      </c>
      <c r="C68" s="44">
        <f t="shared" si="7"/>
        <v>79.27272727272728</v>
      </c>
      <c r="D68" s="44">
        <v>30</v>
      </c>
      <c r="E68" s="109">
        <v>0</v>
      </c>
      <c r="F68" s="130">
        <v>0</v>
      </c>
      <c r="G68" s="137">
        <f>Inputs!G89+Inputs!I89+Inputs!L89</f>
        <v>13714</v>
      </c>
      <c r="H68" s="137">
        <v>0</v>
      </c>
      <c r="I68" s="44">
        <f t="shared" ref="I68:I131" si="10">$R$18+$R$19*C68+$R$20*D68+$R$21*E68+$R$22*F68+$R$23*G68+$R$24*H68</f>
        <v>21764747.135270976</v>
      </c>
      <c r="J68" s="27">
        <f t="shared" si="8"/>
        <v>388810.13527097553</v>
      </c>
      <c r="K68" s="36">
        <f t="shared" si="9"/>
        <v>1.8189150504652758E-2</v>
      </c>
      <c r="L68" s="10">
        <f t="shared" ref="L68:L131" si="11">ABS(K68)</f>
        <v>1.8189150504652758E-2</v>
      </c>
      <c r="M68" s="135">
        <f t="shared" ref="M68:M131" si="12">J68*J68</f>
        <v>151173321289.4343</v>
      </c>
      <c r="N68" s="135">
        <f t="shared" si="5"/>
        <v>295551.25896814466</v>
      </c>
      <c r="O68" s="135">
        <f t="shared" si="6"/>
        <v>87350546677.655304</v>
      </c>
    </row>
    <row r="69" spans="1:16" x14ac:dyDescent="0.2">
      <c r="A69" s="43">
        <v>43677</v>
      </c>
      <c r="B69" s="44">
        <f>Inputs!D90</f>
        <v>25496655.219999999</v>
      </c>
      <c r="C69" s="44">
        <f t="shared" si="7"/>
        <v>27.636363636363637</v>
      </c>
      <c r="D69" s="44">
        <v>31</v>
      </c>
      <c r="E69" s="109">
        <v>0</v>
      </c>
      <c r="F69" s="130">
        <v>1</v>
      </c>
      <c r="G69" s="137">
        <f>Inputs!G90+Inputs!I90+Inputs!L90</f>
        <v>13721</v>
      </c>
      <c r="H69" s="137">
        <v>0</v>
      </c>
      <c r="I69" s="44">
        <f t="shared" si="10"/>
        <v>24619222.561638884</v>
      </c>
      <c r="J69" s="27">
        <f t="shared" si="8"/>
        <v>-877432.65836111456</v>
      </c>
      <c r="K69" s="36">
        <f t="shared" si="9"/>
        <v>-3.4413637819945962E-2</v>
      </c>
      <c r="L69" s="10">
        <f t="shared" si="11"/>
        <v>3.4413637819945962E-2</v>
      </c>
      <c r="M69" s="135">
        <f t="shared" si="12"/>
        <v>769888069958.65234</v>
      </c>
      <c r="N69" s="135">
        <f t="shared" ref="N69:N132" si="13">J69-J68</f>
        <v>-1266242.7936320901</v>
      </c>
      <c r="O69" s="135">
        <f t="shared" ref="O69:O132" si="14">N69*N69</f>
        <v>1603370812425.2</v>
      </c>
    </row>
    <row r="70" spans="1:16" x14ac:dyDescent="0.2">
      <c r="A70" s="43">
        <v>43708</v>
      </c>
      <c r="B70" s="44">
        <f>Inputs!D91</f>
        <v>23892941.600000001</v>
      </c>
      <c r="C70" s="44">
        <f t="shared" si="7"/>
        <v>40.327272727272721</v>
      </c>
      <c r="D70" s="44">
        <v>31</v>
      </c>
      <c r="E70" s="109">
        <v>0</v>
      </c>
      <c r="F70" s="130">
        <v>1</v>
      </c>
      <c r="G70" s="137">
        <f>Inputs!G91+Inputs!I91+Inputs!L91</f>
        <v>13733</v>
      </c>
      <c r="H70" s="137">
        <v>0</v>
      </c>
      <c r="I70" s="44">
        <f t="shared" si="10"/>
        <v>24786325.506296776</v>
      </c>
      <c r="J70" s="27">
        <f t="shared" si="8"/>
        <v>893383.90629677474</v>
      </c>
      <c r="K70" s="36">
        <f t="shared" si="9"/>
        <v>3.7391122501918082E-2</v>
      </c>
      <c r="L70" s="10">
        <f t="shared" si="11"/>
        <v>3.7391122501918082E-2</v>
      </c>
      <c r="M70" s="135">
        <f t="shared" si="12"/>
        <v>798134804030.08435</v>
      </c>
      <c r="N70" s="135">
        <f t="shared" si="13"/>
        <v>1770816.5646578893</v>
      </c>
      <c r="O70" s="135">
        <f t="shared" si="14"/>
        <v>3135791305666.7686</v>
      </c>
    </row>
    <row r="71" spans="1:16" x14ac:dyDescent="0.2">
      <c r="A71" s="43">
        <v>43738</v>
      </c>
      <c r="B71" s="44">
        <f>Inputs!D92</f>
        <v>21583546.969999999</v>
      </c>
      <c r="C71" s="44">
        <f t="shared" si="7"/>
        <v>123.35454545454546</v>
      </c>
      <c r="D71" s="44">
        <v>30</v>
      </c>
      <c r="E71" s="109">
        <v>0</v>
      </c>
      <c r="F71" s="130">
        <v>0</v>
      </c>
      <c r="G71" s="137">
        <f>Inputs!G92+Inputs!I92+Inputs!L92</f>
        <v>13762</v>
      </c>
      <c r="H71" s="137">
        <v>0</v>
      </c>
      <c r="I71" s="44">
        <f t="shared" si="10"/>
        <v>22351957.438844014</v>
      </c>
      <c r="J71" s="27">
        <f t="shared" si="8"/>
        <v>768410.46884401515</v>
      </c>
      <c r="K71" s="36">
        <f t="shared" si="9"/>
        <v>3.5601677051138328E-2</v>
      </c>
      <c r="L71" s="10">
        <f t="shared" si="11"/>
        <v>3.5601677051138328E-2</v>
      </c>
      <c r="M71" s="135">
        <f t="shared" si="12"/>
        <v>590454648629.07922</v>
      </c>
      <c r="N71" s="135">
        <f t="shared" si="13"/>
        <v>-124973.43745275959</v>
      </c>
      <c r="O71" s="135">
        <f t="shared" si="14"/>
        <v>15618360068.758814</v>
      </c>
    </row>
    <row r="72" spans="1:16" x14ac:dyDescent="0.2">
      <c r="A72" s="43">
        <v>43769</v>
      </c>
      <c r="B72" s="44">
        <f>Inputs!D93</f>
        <v>23416882.789999999</v>
      </c>
      <c r="C72" s="44">
        <f t="shared" si="7"/>
        <v>312.07272727272726</v>
      </c>
      <c r="D72" s="44">
        <v>31</v>
      </c>
      <c r="E72" s="109">
        <v>1</v>
      </c>
      <c r="F72" s="130">
        <v>0</v>
      </c>
      <c r="G72" s="137">
        <f>Inputs!G93+Inputs!I93+Inputs!L93</f>
        <v>13762</v>
      </c>
      <c r="H72" s="137">
        <v>0</v>
      </c>
      <c r="I72" s="44">
        <f t="shared" si="10"/>
        <v>24134279.300163411</v>
      </c>
      <c r="J72" s="27">
        <f t="shared" si="8"/>
        <v>717396.5101634115</v>
      </c>
      <c r="K72" s="36">
        <f t="shared" si="9"/>
        <v>3.0635867147516756E-2</v>
      </c>
      <c r="L72" s="10">
        <f t="shared" si="11"/>
        <v>3.0635867147516756E-2</v>
      </c>
      <c r="M72" s="135">
        <f t="shared" si="12"/>
        <v>514657752794.64178</v>
      </c>
      <c r="N72" s="135">
        <f t="shared" si="13"/>
        <v>-51013.958680603653</v>
      </c>
      <c r="O72" s="135">
        <f t="shared" si="14"/>
        <v>2602423980.2663369</v>
      </c>
    </row>
    <row r="73" spans="1:16" x14ac:dyDescent="0.2">
      <c r="A73" s="43">
        <v>43799</v>
      </c>
      <c r="B73" s="44">
        <f>Inputs!D94</f>
        <v>27163548.379999999</v>
      </c>
      <c r="C73" s="44">
        <f t="shared" si="7"/>
        <v>496.43636363636364</v>
      </c>
      <c r="D73" s="44">
        <v>30</v>
      </c>
      <c r="E73" s="109">
        <v>1</v>
      </c>
      <c r="F73" s="130">
        <v>0</v>
      </c>
      <c r="G73" s="137">
        <f>Inputs!G94+Inputs!I94+Inputs!L94</f>
        <v>13761</v>
      </c>
      <c r="H73" s="137">
        <v>0</v>
      </c>
      <c r="I73" s="44">
        <f t="shared" si="10"/>
        <v>25824130.897995032</v>
      </c>
      <c r="J73" s="27">
        <f t="shared" si="8"/>
        <v>-1339417.4820049666</v>
      </c>
      <c r="K73" s="36">
        <f t="shared" si="9"/>
        <v>-4.9309370899096309E-2</v>
      </c>
      <c r="L73" s="10">
        <f t="shared" si="11"/>
        <v>4.9309370899096309E-2</v>
      </c>
      <c r="M73" s="135">
        <f t="shared" si="12"/>
        <v>1794039191100.5249</v>
      </c>
      <c r="N73" s="135">
        <f t="shared" si="13"/>
        <v>-2056813.9921683781</v>
      </c>
      <c r="O73" s="135">
        <f t="shared" si="14"/>
        <v>4230483798379.6211</v>
      </c>
    </row>
    <row r="74" spans="1:16" x14ac:dyDescent="0.2">
      <c r="A74" s="43">
        <v>43830</v>
      </c>
      <c r="B74" s="44">
        <f>Inputs!D95</f>
        <v>29112532.5</v>
      </c>
      <c r="C74" s="44">
        <f t="shared" si="7"/>
        <v>679.73636363636365</v>
      </c>
      <c r="D74" s="44">
        <v>31</v>
      </c>
      <c r="E74" s="109">
        <v>0</v>
      </c>
      <c r="F74" s="130">
        <v>0</v>
      </c>
      <c r="G74" s="137">
        <f>Inputs!G95+Inputs!I95+Inputs!L95</f>
        <v>13762</v>
      </c>
      <c r="H74" s="137">
        <v>0</v>
      </c>
      <c r="I74" s="44">
        <f t="shared" si="10"/>
        <v>29663017.369755212</v>
      </c>
      <c r="J74" s="27">
        <f t="shared" si="8"/>
        <v>550484.86975521222</v>
      </c>
      <c r="K74" s="36">
        <f t="shared" si="9"/>
        <v>1.8908862351814024E-2</v>
      </c>
      <c r="L74" s="10">
        <f t="shared" si="11"/>
        <v>1.8908862351814024E-2</v>
      </c>
      <c r="M74" s="135">
        <f t="shared" si="12"/>
        <v>303033591829.41296</v>
      </c>
      <c r="N74" s="135">
        <f t="shared" si="13"/>
        <v>1889902.3517601788</v>
      </c>
      <c r="O74" s="135">
        <f t="shared" si="14"/>
        <v>3571730899188.6548</v>
      </c>
    </row>
    <row r="75" spans="1:16" x14ac:dyDescent="0.2">
      <c r="A75" s="43">
        <v>43861</v>
      </c>
      <c r="B75" s="44">
        <f>Inputs!D96</f>
        <v>30452078</v>
      </c>
      <c r="C75" s="44">
        <f t="shared" si="7"/>
        <v>834.24545454545466</v>
      </c>
      <c r="D75" s="44">
        <v>31</v>
      </c>
      <c r="E75" s="109">
        <v>0</v>
      </c>
      <c r="F75" s="130">
        <v>0</v>
      </c>
      <c r="G75" s="137">
        <f>Inputs!G96+Inputs!I96+Inputs!L96</f>
        <v>13799</v>
      </c>
      <c r="H75" s="137">
        <v>0</v>
      </c>
      <c r="I75" s="44">
        <f t="shared" si="10"/>
        <v>31580403.903926343</v>
      </c>
      <c r="J75" s="27">
        <f t="shared" si="8"/>
        <v>1128325.9039263427</v>
      </c>
      <c r="K75" s="36">
        <f t="shared" si="9"/>
        <v>3.7052509320590295E-2</v>
      </c>
      <c r="L75" s="10">
        <f t="shared" si="11"/>
        <v>3.7052509320590295E-2</v>
      </c>
      <c r="M75" s="135">
        <f t="shared" si="12"/>
        <v>1273119345471.1985</v>
      </c>
      <c r="N75" s="135">
        <f t="shared" si="13"/>
        <v>577841.03417113051</v>
      </c>
      <c r="O75" s="135">
        <f t="shared" si="14"/>
        <v>333900260771.96161</v>
      </c>
      <c r="P75" s="37"/>
    </row>
    <row r="76" spans="1:16" x14ac:dyDescent="0.2">
      <c r="A76" s="43">
        <v>43890</v>
      </c>
      <c r="B76" s="44">
        <f>Inputs!D97</f>
        <v>28729836</v>
      </c>
      <c r="C76" s="44">
        <f t="shared" si="7"/>
        <v>763.4909090909091</v>
      </c>
      <c r="D76" s="44">
        <v>29</v>
      </c>
      <c r="E76" s="109">
        <v>0</v>
      </c>
      <c r="F76" s="130">
        <v>0</v>
      </c>
      <c r="G76" s="137">
        <f>Inputs!G97+Inputs!I97+Inputs!L97</f>
        <v>13808</v>
      </c>
      <c r="H76" s="137">
        <v>0</v>
      </c>
      <c r="I76" s="44">
        <f t="shared" si="10"/>
        <v>29631062.037400432</v>
      </c>
      <c r="J76" s="27">
        <f t="shared" si="8"/>
        <v>901226.03740043193</v>
      </c>
      <c r="K76" s="36">
        <f t="shared" si="9"/>
        <v>3.1368993453371331E-2</v>
      </c>
      <c r="L76" s="10">
        <f t="shared" si="11"/>
        <v>3.1368993453371331E-2</v>
      </c>
      <c r="M76" s="135">
        <f t="shared" si="12"/>
        <v>812208370488.48474</v>
      </c>
      <c r="N76" s="135">
        <f t="shared" si="13"/>
        <v>-227099.86652591079</v>
      </c>
      <c r="O76" s="135">
        <f t="shared" si="14"/>
        <v>51574349376.086502</v>
      </c>
    </row>
    <row r="77" spans="1:16" x14ac:dyDescent="0.2">
      <c r="A77" s="43">
        <v>43921</v>
      </c>
      <c r="B77" s="44">
        <f>Inputs!D98</f>
        <v>26931054</v>
      </c>
      <c r="C77" s="44">
        <f t="shared" si="7"/>
        <v>663.67272727272734</v>
      </c>
      <c r="D77" s="44">
        <v>31</v>
      </c>
      <c r="E77" s="109">
        <v>1</v>
      </c>
      <c r="F77" s="130">
        <v>0</v>
      </c>
      <c r="G77" s="137">
        <f>Inputs!G98+Inputs!I98+Inputs!L98</f>
        <v>13819</v>
      </c>
      <c r="H77" s="145">
        <v>0.5</v>
      </c>
      <c r="I77" s="44">
        <f t="shared" si="10"/>
        <v>27788560.23306695</v>
      </c>
      <c r="J77" s="27">
        <f t="shared" si="8"/>
        <v>857506.23306694999</v>
      </c>
      <c r="K77" s="36">
        <f t="shared" si="9"/>
        <v>3.1840797358579059E-2</v>
      </c>
      <c r="L77" s="10">
        <f t="shared" si="11"/>
        <v>3.1840797358579059E-2</v>
      </c>
      <c r="M77" s="135">
        <f t="shared" si="12"/>
        <v>735316939748.67041</v>
      </c>
      <c r="N77" s="135">
        <f t="shared" si="13"/>
        <v>-43719.804333481938</v>
      </c>
      <c r="O77" s="135">
        <f t="shared" si="14"/>
        <v>1911421290.9579461</v>
      </c>
    </row>
    <row r="78" spans="1:16" x14ac:dyDescent="0.2">
      <c r="A78" s="43">
        <v>43951</v>
      </c>
      <c r="B78" s="44">
        <f>Inputs!D99</f>
        <v>23177143</v>
      </c>
      <c r="C78" s="44">
        <f t="shared" si="7"/>
        <v>423.24545454545455</v>
      </c>
      <c r="D78" s="44">
        <v>30</v>
      </c>
      <c r="E78" s="109">
        <v>1</v>
      </c>
      <c r="F78" s="130">
        <v>0</v>
      </c>
      <c r="G78" s="137">
        <f>Inputs!G99+Inputs!I99+Inputs!L99</f>
        <v>13837</v>
      </c>
      <c r="H78" s="145">
        <v>1</v>
      </c>
      <c r="I78" s="44">
        <f t="shared" si="10"/>
        <v>23656751.234494001</v>
      </c>
      <c r="J78" s="27">
        <f t="shared" si="8"/>
        <v>479608.23449400067</v>
      </c>
      <c r="K78" s="36">
        <f t="shared" si="9"/>
        <v>2.0693155946528902E-2</v>
      </c>
      <c r="L78" s="10">
        <f t="shared" si="11"/>
        <v>2.0693155946528902E-2</v>
      </c>
      <c r="M78" s="135">
        <f t="shared" si="12"/>
        <v>230024058594.45233</v>
      </c>
      <c r="N78" s="135">
        <f t="shared" si="13"/>
        <v>-377897.99857294932</v>
      </c>
      <c r="O78" s="135">
        <f t="shared" si="14"/>
        <v>142806897325.4408</v>
      </c>
    </row>
    <row r="79" spans="1:16" x14ac:dyDescent="0.2">
      <c r="A79" s="43">
        <v>43982</v>
      </c>
      <c r="B79" s="44">
        <f>Inputs!D100</f>
        <v>22565297</v>
      </c>
      <c r="C79" s="44">
        <f t="shared" si="7"/>
        <v>211.25454545454542</v>
      </c>
      <c r="D79" s="44">
        <v>31</v>
      </c>
      <c r="E79" s="109">
        <v>1</v>
      </c>
      <c r="F79" s="130">
        <v>0</v>
      </c>
      <c r="G79" s="137">
        <f>Inputs!G100+Inputs!I100+Inputs!L100</f>
        <v>13842</v>
      </c>
      <c r="H79" s="145">
        <v>1</v>
      </c>
      <c r="I79" s="44">
        <f t="shared" si="10"/>
        <v>21635448.188604768</v>
      </c>
      <c r="J79" s="27">
        <f t="shared" si="8"/>
        <v>-929848.81139523163</v>
      </c>
      <c r="K79" s="36">
        <f t="shared" si="9"/>
        <v>-4.120702738347435E-2</v>
      </c>
      <c r="L79" s="10">
        <f t="shared" si="11"/>
        <v>4.120702738347435E-2</v>
      </c>
      <c r="M79" s="135">
        <f t="shared" si="12"/>
        <v>864618812053.125</v>
      </c>
      <c r="N79" s="135">
        <f t="shared" si="13"/>
        <v>-1409457.0458892323</v>
      </c>
      <c r="O79" s="135">
        <f t="shared" si="14"/>
        <v>1986569164206.8015</v>
      </c>
    </row>
    <row r="80" spans="1:16" x14ac:dyDescent="0.2">
      <c r="A80" s="43">
        <v>44012</v>
      </c>
      <c r="B80" s="44">
        <f>Inputs!D101</f>
        <v>22325604</v>
      </c>
      <c r="C80" s="44">
        <f t="shared" ref="C80:C143" si="15">C68</f>
        <v>79.27272727272728</v>
      </c>
      <c r="D80" s="44">
        <v>30</v>
      </c>
      <c r="E80" s="109">
        <v>0</v>
      </c>
      <c r="F80" s="130">
        <v>0</v>
      </c>
      <c r="G80" s="137">
        <f>Inputs!G101+Inputs!I101+Inputs!L101</f>
        <v>13845</v>
      </c>
      <c r="H80" s="145">
        <v>0.5</v>
      </c>
      <c r="I80" s="44">
        <f t="shared" si="10"/>
        <v>21225571.490863673</v>
      </c>
      <c r="J80" s="27">
        <f t="shared" si="8"/>
        <v>-1100032.5091363266</v>
      </c>
      <c r="K80" s="36">
        <f t="shared" si="9"/>
        <v>-4.9272239583588714E-2</v>
      </c>
      <c r="L80" s="10">
        <f t="shared" si="11"/>
        <v>4.9272239583588714E-2</v>
      </c>
      <c r="M80" s="135">
        <f t="shared" si="12"/>
        <v>1210071521156.7625</v>
      </c>
      <c r="N80" s="135">
        <f t="shared" si="13"/>
        <v>-170183.69774109498</v>
      </c>
      <c r="O80" s="135">
        <f t="shared" si="14"/>
        <v>28962490976.832375</v>
      </c>
    </row>
    <row r="81" spans="1:16" x14ac:dyDescent="0.2">
      <c r="A81" s="43">
        <v>44043</v>
      </c>
      <c r="B81" s="44">
        <f>Inputs!D102</f>
        <v>26178908</v>
      </c>
      <c r="C81" s="44">
        <f t="shared" si="15"/>
        <v>27.636363636363637</v>
      </c>
      <c r="D81" s="44">
        <v>31</v>
      </c>
      <c r="E81" s="109">
        <v>0</v>
      </c>
      <c r="F81" s="130">
        <v>1</v>
      </c>
      <c r="G81" s="137">
        <f>Inputs!G102+Inputs!I102+Inputs!L102</f>
        <v>13860</v>
      </c>
      <c r="H81" s="137">
        <v>0</v>
      </c>
      <c r="I81" s="44">
        <f t="shared" si="10"/>
        <v>24768362.39323888</v>
      </c>
      <c r="J81" s="27">
        <f t="shared" si="8"/>
        <v>-1410545.6067611203</v>
      </c>
      <c r="K81" s="36">
        <f t="shared" si="9"/>
        <v>-5.388099483603824E-2</v>
      </c>
      <c r="L81" s="10">
        <f t="shared" si="11"/>
        <v>5.388099483603824E-2</v>
      </c>
      <c r="M81" s="135">
        <f t="shared" si="12"/>
        <v>1989638908753.0969</v>
      </c>
      <c r="N81" s="135">
        <f t="shared" si="13"/>
        <v>-310513.09762479365</v>
      </c>
      <c r="O81" s="135">
        <f t="shared" si="14"/>
        <v>96418383796.544632</v>
      </c>
      <c r="P81"/>
    </row>
    <row r="82" spans="1:16" x14ac:dyDescent="0.2">
      <c r="A82" s="43">
        <v>44074</v>
      </c>
      <c r="B82" s="44">
        <f>Inputs!D103</f>
        <v>24180956</v>
      </c>
      <c r="C82" s="44">
        <f t="shared" si="15"/>
        <v>40.327272727272721</v>
      </c>
      <c r="D82" s="44">
        <v>31</v>
      </c>
      <c r="E82" s="109">
        <v>0</v>
      </c>
      <c r="F82" s="130">
        <v>1</v>
      </c>
      <c r="G82" s="137">
        <f>Inputs!G103+Inputs!I103+Inputs!L103</f>
        <v>13862</v>
      </c>
      <c r="H82" s="137">
        <v>0</v>
      </c>
      <c r="I82" s="44">
        <f t="shared" si="10"/>
        <v>24924735.853609003</v>
      </c>
      <c r="J82" s="27">
        <f t="shared" si="8"/>
        <v>743779.85360900313</v>
      </c>
      <c r="K82" s="36">
        <f t="shared" si="9"/>
        <v>3.0758910177455478E-2</v>
      </c>
      <c r="L82" s="10">
        <f t="shared" si="11"/>
        <v>3.0758910177455478E-2</v>
      </c>
      <c r="M82" s="135">
        <f t="shared" si="12"/>
        <v>553208470634.63013</v>
      </c>
      <c r="N82" s="135">
        <f t="shared" si="13"/>
        <v>2154325.4603701234</v>
      </c>
      <c r="O82" s="135">
        <f t="shared" si="14"/>
        <v>4641118189198.9443</v>
      </c>
      <c r="P82"/>
    </row>
    <row r="83" spans="1:16" x14ac:dyDescent="0.2">
      <c r="A83" s="43">
        <v>44104</v>
      </c>
      <c r="B83" s="44">
        <f>Inputs!D104</f>
        <v>21706905</v>
      </c>
      <c r="C83" s="44">
        <f t="shared" si="15"/>
        <v>123.35454545454546</v>
      </c>
      <c r="D83" s="44">
        <v>30</v>
      </c>
      <c r="E83" s="109">
        <v>0</v>
      </c>
      <c r="F83" s="130">
        <v>0</v>
      </c>
      <c r="G83" s="137">
        <f>Inputs!G104+Inputs!I104+Inputs!L104</f>
        <v>13883</v>
      </c>
      <c r="H83" s="137">
        <v>0</v>
      </c>
      <c r="I83" s="44">
        <f t="shared" si="10"/>
        <v>22481784.198726024</v>
      </c>
      <c r="J83" s="27">
        <f t="shared" si="8"/>
        <v>774879.19872602448</v>
      </c>
      <c r="K83" s="36">
        <f t="shared" si="9"/>
        <v>3.569735983669825E-2</v>
      </c>
      <c r="L83" s="10">
        <f t="shared" si="11"/>
        <v>3.569735983669825E-2</v>
      </c>
      <c r="M83" s="135">
        <f t="shared" si="12"/>
        <v>600437772618.28577</v>
      </c>
      <c r="N83" s="135">
        <f t="shared" si="13"/>
        <v>31099.345117021352</v>
      </c>
      <c r="O83" s="135">
        <f t="shared" si="14"/>
        <v>967169266.70759976</v>
      </c>
      <c r="P83"/>
    </row>
    <row r="84" spans="1:16" x14ac:dyDescent="0.2">
      <c r="A84" s="43">
        <v>44135</v>
      </c>
      <c r="B84" s="44">
        <f>Inputs!D105</f>
        <v>24121204</v>
      </c>
      <c r="C84" s="44">
        <f t="shared" si="15"/>
        <v>312.07272727272726</v>
      </c>
      <c r="D84" s="44">
        <v>31</v>
      </c>
      <c r="E84" s="109">
        <v>1</v>
      </c>
      <c r="F84" s="130">
        <v>0</v>
      </c>
      <c r="G84" s="137">
        <f>Inputs!G105+Inputs!I105+Inputs!L105</f>
        <v>13884</v>
      </c>
      <c r="H84" s="137">
        <v>0</v>
      </c>
      <c r="I84" s="44">
        <f t="shared" si="10"/>
        <v>24265179.008474197</v>
      </c>
      <c r="J84" s="27">
        <f t="shared" si="8"/>
        <v>143975.00847419724</v>
      </c>
      <c r="K84" s="36">
        <f t="shared" si="9"/>
        <v>5.968815174988663E-3</v>
      </c>
      <c r="L84" s="10">
        <f t="shared" si="11"/>
        <v>5.968815174988663E-3</v>
      </c>
      <c r="M84" s="135">
        <f t="shared" si="12"/>
        <v>20728803065.145168</v>
      </c>
      <c r="N84" s="135">
        <f t="shared" si="13"/>
        <v>-630904.19025182724</v>
      </c>
      <c r="O84" s="135">
        <f t="shared" si="14"/>
        <v>398040097277.31384</v>
      </c>
      <c r="P84"/>
    </row>
    <row r="85" spans="1:16" x14ac:dyDescent="0.2">
      <c r="A85" s="43">
        <v>44165</v>
      </c>
      <c r="B85" s="44">
        <f>Inputs!D106</f>
        <v>25126449</v>
      </c>
      <c r="C85" s="44">
        <f t="shared" si="15"/>
        <v>496.43636363636364</v>
      </c>
      <c r="D85" s="44">
        <v>30</v>
      </c>
      <c r="E85" s="109">
        <v>1</v>
      </c>
      <c r="F85" s="130">
        <v>0</v>
      </c>
      <c r="G85" s="137">
        <f>Inputs!G106+Inputs!I106+Inputs!L106</f>
        <v>13911</v>
      </c>
      <c r="H85" s="137">
        <v>0</v>
      </c>
      <c r="I85" s="44">
        <f t="shared" si="10"/>
        <v>25985073.162311576</v>
      </c>
      <c r="J85" s="27">
        <f t="shared" si="8"/>
        <v>858624.16231157631</v>
      </c>
      <c r="K85" s="36">
        <f t="shared" si="9"/>
        <v>3.4172125249834401E-2</v>
      </c>
      <c r="L85" s="10">
        <f t="shared" si="11"/>
        <v>3.4172125249834401E-2</v>
      </c>
      <c r="M85" s="135">
        <f t="shared" si="12"/>
        <v>737235452105.2561</v>
      </c>
      <c r="N85" s="135">
        <f t="shared" si="13"/>
        <v>714649.15383737907</v>
      </c>
      <c r="O85" s="135">
        <f t="shared" si="14"/>
        <v>510723413080.48187</v>
      </c>
      <c r="P85"/>
    </row>
    <row r="86" spans="1:16" x14ac:dyDescent="0.2">
      <c r="A86" s="43">
        <v>44196</v>
      </c>
      <c r="B86" s="44">
        <f>Inputs!D107</f>
        <v>28892268</v>
      </c>
      <c r="C86" s="44">
        <f t="shared" si="15"/>
        <v>679.73636363636365</v>
      </c>
      <c r="D86" s="44">
        <v>31</v>
      </c>
      <c r="E86" s="109">
        <v>0</v>
      </c>
      <c r="F86" s="130">
        <v>0</v>
      </c>
      <c r="G86" s="137">
        <f>Inputs!G107+Inputs!I107+Inputs!L107</f>
        <v>13936</v>
      </c>
      <c r="H86" s="137">
        <v>0</v>
      </c>
      <c r="I86" s="44">
        <f t="shared" si="10"/>
        <v>29849710.396362402</v>
      </c>
      <c r="J86" s="27">
        <f t="shared" si="8"/>
        <v>957442.39636240155</v>
      </c>
      <c r="K86" s="36">
        <f t="shared" si="9"/>
        <v>3.3138360628608372E-2</v>
      </c>
      <c r="L86" s="10">
        <f t="shared" si="11"/>
        <v>3.3138360628608372E-2</v>
      </c>
      <c r="M86" s="135">
        <f t="shared" si="12"/>
        <v>916695942352.17798</v>
      </c>
      <c r="N86" s="135">
        <f t="shared" si="13"/>
        <v>98818.234050825238</v>
      </c>
      <c r="O86" s="135">
        <f t="shared" si="14"/>
        <v>9765043380.9236774</v>
      </c>
      <c r="P86"/>
    </row>
    <row r="87" spans="1:16" x14ac:dyDescent="0.2">
      <c r="A87" s="43">
        <v>44227</v>
      </c>
      <c r="B87" s="44">
        <f>Inputs!D108</f>
        <v>29919109</v>
      </c>
      <c r="C87" s="44">
        <f t="shared" si="15"/>
        <v>834.24545454545466</v>
      </c>
      <c r="D87" s="44">
        <v>31</v>
      </c>
      <c r="E87" s="109">
        <v>0</v>
      </c>
      <c r="F87" s="130">
        <v>0</v>
      </c>
      <c r="G87" s="137">
        <f>Inputs!G108+Inputs!I108+Inputs!L108</f>
        <v>13940</v>
      </c>
      <c r="H87" s="137">
        <v>0</v>
      </c>
      <c r="I87" s="44">
        <f t="shared" si="10"/>
        <v>31731689.63238389</v>
      </c>
      <c r="J87" s="27">
        <f t="shared" si="8"/>
        <v>1812580.6323838905</v>
      </c>
      <c r="K87" s="36">
        <f t="shared" si="9"/>
        <v>6.0582707606162016E-2</v>
      </c>
      <c r="L87" s="10">
        <f t="shared" si="11"/>
        <v>6.0582707606162016E-2</v>
      </c>
      <c r="M87" s="135">
        <f t="shared" si="12"/>
        <v>3285448548893.1841</v>
      </c>
      <c r="N87" s="135">
        <f t="shared" si="13"/>
        <v>855138.2360214889</v>
      </c>
      <c r="O87" s="135">
        <f t="shared" si="14"/>
        <v>731261402705.9436</v>
      </c>
      <c r="P87"/>
    </row>
    <row r="88" spans="1:16" x14ac:dyDescent="0.2">
      <c r="A88" s="43">
        <v>44255</v>
      </c>
      <c r="B88" s="44">
        <f>Inputs!D109</f>
        <v>28503891</v>
      </c>
      <c r="C88" s="44">
        <f t="shared" si="15"/>
        <v>763.4909090909091</v>
      </c>
      <c r="D88" s="44">
        <v>28</v>
      </c>
      <c r="E88" s="109">
        <v>0</v>
      </c>
      <c r="F88" s="130">
        <v>0</v>
      </c>
      <c r="G88" s="137">
        <f>Inputs!G109+Inputs!I109+Inputs!L109</f>
        <v>13979</v>
      </c>
      <c r="H88" s="137">
        <v>0</v>
      </c>
      <c r="I88" s="44">
        <f t="shared" si="10"/>
        <v>29264962.922549739</v>
      </c>
      <c r="J88" s="27">
        <f t="shared" si="8"/>
        <v>761071.92254973948</v>
      </c>
      <c r="K88" s="36">
        <f t="shared" si="9"/>
        <v>2.6700632645197089E-2</v>
      </c>
      <c r="L88" s="10">
        <f t="shared" si="11"/>
        <v>2.6700632645197089E-2</v>
      </c>
      <c r="M88" s="135">
        <f t="shared" si="12"/>
        <v>579230471293.55664</v>
      </c>
      <c r="N88" s="135">
        <f t="shared" si="13"/>
        <v>-1051508.709834151</v>
      </c>
      <c r="O88" s="135">
        <f t="shared" si="14"/>
        <v>1105670566857.0808</v>
      </c>
      <c r="P88"/>
    </row>
    <row r="89" spans="1:16" x14ac:dyDescent="0.2">
      <c r="A89" s="43">
        <v>44286</v>
      </c>
      <c r="B89" s="44">
        <f>Inputs!D110</f>
        <v>27991373</v>
      </c>
      <c r="C89" s="44">
        <f t="shared" si="15"/>
        <v>663.67272727272734</v>
      </c>
      <c r="D89" s="44">
        <v>31</v>
      </c>
      <c r="E89" s="109">
        <v>1</v>
      </c>
      <c r="F89" s="130">
        <v>0</v>
      </c>
      <c r="G89" s="137">
        <f>Inputs!G110+Inputs!I110+Inputs!L110</f>
        <v>13988</v>
      </c>
      <c r="H89" s="137">
        <v>0</v>
      </c>
      <c r="I89" s="44">
        <f t="shared" si="10"/>
        <v>28649620.406107336</v>
      </c>
      <c r="J89" s="27">
        <f t="shared" si="8"/>
        <v>658247.40610733628</v>
      </c>
      <c r="K89" s="36">
        <f t="shared" si="9"/>
        <v>2.3516081405057777E-2</v>
      </c>
      <c r="L89" s="10">
        <f t="shared" si="11"/>
        <v>2.3516081405057777E-2</v>
      </c>
      <c r="M89" s="135">
        <f t="shared" si="12"/>
        <v>433289647647.0365</v>
      </c>
      <c r="N89" s="135">
        <f t="shared" si="13"/>
        <v>-102824.5164424032</v>
      </c>
      <c r="O89" s="135">
        <f t="shared" si="14"/>
        <v>10572881181.614046</v>
      </c>
      <c r="P89"/>
    </row>
    <row r="90" spans="1:16" x14ac:dyDescent="0.2">
      <c r="A90" s="43">
        <v>44316</v>
      </c>
      <c r="B90" s="44">
        <f>Inputs!D111</f>
        <v>23510679</v>
      </c>
      <c r="C90" s="44">
        <f t="shared" si="15"/>
        <v>423.24545454545455</v>
      </c>
      <c r="D90" s="44">
        <v>30</v>
      </c>
      <c r="E90" s="109">
        <v>1</v>
      </c>
      <c r="F90" s="130">
        <v>0</v>
      </c>
      <c r="G90" s="137">
        <f>Inputs!G111+Inputs!I111+Inputs!L111</f>
        <v>13990</v>
      </c>
      <c r="H90" s="137">
        <v>0</v>
      </c>
      <c r="I90" s="44">
        <f t="shared" si="10"/>
        <v>25180376.121251047</v>
      </c>
      <c r="J90" s="27">
        <f t="shared" si="8"/>
        <v>1669697.1212510467</v>
      </c>
      <c r="K90" s="36">
        <f t="shared" si="9"/>
        <v>7.1018668633562085E-2</v>
      </c>
      <c r="L90" s="10">
        <f t="shared" si="11"/>
        <v>7.1018668633562085E-2</v>
      </c>
      <c r="M90" s="135">
        <f t="shared" si="12"/>
        <v>2787888476714.0322</v>
      </c>
      <c r="N90" s="135">
        <f t="shared" si="13"/>
        <v>1011449.7151437104</v>
      </c>
      <c r="O90" s="135">
        <f t="shared" si="14"/>
        <v>1023030526264.2928</v>
      </c>
      <c r="P90"/>
    </row>
    <row r="91" spans="1:16" x14ac:dyDescent="0.2">
      <c r="A91" s="43">
        <v>44347</v>
      </c>
      <c r="B91" s="44">
        <f>Inputs!D112</f>
        <v>22807571</v>
      </c>
      <c r="C91" s="44">
        <f t="shared" si="15"/>
        <v>211.25454545454542</v>
      </c>
      <c r="D91" s="44">
        <v>31</v>
      </c>
      <c r="E91" s="109">
        <v>1</v>
      </c>
      <c r="F91" s="130">
        <v>0</v>
      </c>
      <c r="G91" s="137">
        <f>Inputs!G112+Inputs!I112+Inputs!L112</f>
        <v>14022</v>
      </c>
      <c r="H91" s="137">
        <v>0</v>
      </c>
      <c r="I91" s="44">
        <f t="shared" si="10"/>
        <v>23188042.682938792</v>
      </c>
      <c r="J91" s="27">
        <f t="shared" si="8"/>
        <v>380471.68293879181</v>
      </c>
      <c r="K91" s="36">
        <f t="shared" si="9"/>
        <v>1.6681815127914841E-2</v>
      </c>
      <c r="L91" s="10">
        <f t="shared" si="11"/>
        <v>1.6681815127914841E-2</v>
      </c>
      <c r="M91" s="135">
        <f t="shared" si="12"/>
        <v>144758701518.27652</v>
      </c>
      <c r="N91" s="135">
        <f t="shared" si="13"/>
        <v>-1289225.4383122548</v>
      </c>
      <c r="O91" s="135">
        <f t="shared" si="14"/>
        <v>1662102230791.4255</v>
      </c>
      <c r="P91"/>
    </row>
    <row r="92" spans="1:16" x14ac:dyDescent="0.2">
      <c r="A92" s="43">
        <v>44377</v>
      </c>
      <c r="B92" s="44">
        <f>Inputs!D113</f>
        <v>23479543</v>
      </c>
      <c r="C92" s="44">
        <f t="shared" si="15"/>
        <v>79.27272727272728</v>
      </c>
      <c r="D92" s="44">
        <v>30</v>
      </c>
      <c r="E92" s="109">
        <v>0</v>
      </c>
      <c r="F92" s="130">
        <v>0</v>
      </c>
      <c r="G92" s="137">
        <f>Inputs!G113+Inputs!I113+Inputs!L113</f>
        <v>14033</v>
      </c>
      <c r="H92" s="137">
        <v>0</v>
      </c>
      <c r="I92" s="44">
        <f t="shared" si="10"/>
        <v>22107017.684050821</v>
      </c>
      <c r="J92" s="27">
        <f t="shared" si="8"/>
        <v>-1372525.3159491792</v>
      </c>
      <c r="K92" s="36">
        <f t="shared" si="9"/>
        <v>-5.845621935440478E-2</v>
      </c>
      <c r="L92" s="10">
        <f t="shared" si="11"/>
        <v>5.845621935440478E-2</v>
      </c>
      <c r="M92" s="135">
        <f t="shared" si="12"/>
        <v>1883825742921.3943</v>
      </c>
      <c r="N92" s="135">
        <f t="shared" si="13"/>
        <v>-1752996.998887971</v>
      </c>
      <c r="O92" s="135">
        <f t="shared" si="14"/>
        <v>3072998478110.2329</v>
      </c>
      <c r="P92"/>
    </row>
    <row r="93" spans="1:16" x14ac:dyDescent="0.2">
      <c r="A93" s="43">
        <v>44408</v>
      </c>
      <c r="B93" s="44">
        <f>Inputs!D114</f>
        <v>24849711</v>
      </c>
      <c r="C93" s="44">
        <f t="shared" si="15"/>
        <v>27.636363636363637</v>
      </c>
      <c r="D93" s="44">
        <v>31</v>
      </c>
      <c r="E93" s="109">
        <v>0</v>
      </c>
      <c r="F93" s="130">
        <v>1</v>
      </c>
      <c r="G93" s="137">
        <f>Inputs!G114+Inputs!I114+Inputs!L114</f>
        <v>14035</v>
      </c>
      <c r="H93" s="137">
        <v>0</v>
      </c>
      <c r="I93" s="44">
        <f t="shared" si="10"/>
        <v>24956128.368274845</v>
      </c>
      <c r="J93" s="27">
        <f t="shared" si="8"/>
        <v>106417.36827484518</v>
      </c>
      <c r="K93" s="36">
        <f t="shared" si="9"/>
        <v>4.2824388692023494E-3</v>
      </c>
      <c r="L93" s="10">
        <f t="shared" si="11"/>
        <v>4.2824388692023494E-3</v>
      </c>
      <c r="M93" s="135">
        <f t="shared" si="12"/>
        <v>11324656270.544025</v>
      </c>
      <c r="N93" s="135">
        <f t="shared" si="13"/>
        <v>1478942.6842240244</v>
      </c>
      <c r="O93" s="135">
        <f t="shared" si="14"/>
        <v>2187271463219.7625</v>
      </c>
      <c r="P93"/>
    </row>
    <row r="94" spans="1:16" x14ac:dyDescent="0.2">
      <c r="A94" s="43">
        <v>44439</v>
      </c>
      <c r="B94" s="44">
        <f>Inputs!D115</f>
        <v>27059084</v>
      </c>
      <c r="C94" s="44">
        <f t="shared" si="15"/>
        <v>40.327272727272721</v>
      </c>
      <c r="D94" s="44">
        <v>31</v>
      </c>
      <c r="E94" s="109">
        <v>0</v>
      </c>
      <c r="F94" s="130">
        <v>1</v>
      </c>
      <c r="G94" s="137">
        <f>Inputs!G115+Inputs!I115+Inputs!L115</f>
        <v>14061</v>
      </c>
      <c r="H94" s="137">
        <v>0</v>
      </c>
      <c r="I94" s="44">
        <f t="shared" si="10"/>
        <v>25138252.590935618</v>
      </c>
      <c r="J94" s="27">
        <f t="shared" si="8"/>
        <v>-1920831.4090643823</v>
      </c>
      <c r="K94" s="36">
        <f t="shared" si="9"/>
        <v>-7.0986564403450692E-2</v>
      </c>
      <c r="L94" s="10">
        <f t="shared" si="11"/>
        <v>7.0986564403450692E-2</v>
      </c>
      <c r="M94" s="135">
        <f t="shared" si="12"/>
        <v>3689593302048.2603</v>
      </c>
      <c r="N94" s="135">
        <f t="shared" si="13"/>
        <v>-2027248.7773392275</v>
      </c>
      <c r="O94" s="135">
        <f t="shared" si="14"/>
        <v>4109737605223.3926</v>
      </c>
      <c r="P94"/>
    </row>
    <row r="95" spans="1:16" x14ac:dyDescent="0.2">
      <c r="A95" s="43">
        <v>44469</v>
      </c>
      <c r="B95" s="44">
        <f>Inputs!D116</f>
        <v>22357163</v>
      </c>
      <c r="C95" s="44">
        <f t="shared" si="15"/>
        <v>123.35454545454546</v>
      </c>
      <c r="D95" s="44">
        <v>30</v>
      </c>
      <c r="E95" s="109">
        <v>0</v>
      </c>
      <c r="F95" s="130">
        <v>0</v>
      </c>
      <c r="G95" s="137">
        <f>Inputs!G116+Inputs!I116+Inputs!L116</f>
        <v>14082</v>
      </c>
      <c r="H95" s="137">
        <v>0</v>
      </c>
      <c r="I95" s="44">
        <f t="shared" si="10"/>
        <v>22695300.936052635</v>
      </c>
      <c r="J95" s="27">
        <f t="shared" si="8"/>
        <v>338137.93605263531</v>
      </c>
      <c r="K95" s="36">
        <f t="shared" si="9"/>
        <v>1.5124366899889548E-2</v>
      </c>
      <c r="L95" s="10">
        <f t="shared" si="11"/>
        <v>1.5124366899889548E-2</v>
      </c>
      <c r="M95" s="135">
        <f t="shared" si="12"/>
        <v>114337263797.93608</v>
      </c>
      <c r="N95" s="135">
        <f t="shared" si="13"/>
        <v>2258969.3451170176</v>
      </c>
      <c r="O95" s="135">
        <f t="shared" si="14"/>
        <v>5102942502178.4072</v>
      </c>
      <c r="P95"/>
    </row>
    <row r="96" spans="1:16" x14ac:dyDescent="0.2">
      <c r="A96" s="43">
        <v>44500</v>
      </c>
      <c r="B96" s="44">
        <f>Inputs!D117</f>
        <v>23786911</v>
      </c>
      <c r="C96" s="44">
        <f t="shared" si="15"/>
        <v>312.07272727272726</v>
      </c>
      <c r="D96" s="44">
        <v>31</v>
      </c>
      <c r="E96" s="109">
        <v>1</v>
      </c>
      <c r="F96" s="130">
        <v>0</v>
      </c>
      <c r="G96" s="137">
        <f>Inputs!G117+Inputs!I117+Inputs!L117</f>
        <v>14103</v>
      </c>
      <c r="H96" s="137">
        <v>0</v>
      </c>
      <c r="I96" s="44">
        <f t="shared" si="10"/>
        <v>24500154.714376349</v>
      </c>
      <c r="J96" s="27">
        <f t="shared" si="8"/>
        <v>713243.714376349</v>
      </c>
      <c r="K96" s="36">
        <f t="shared" si="9"/>
        <v>2.9984713625756155E-2</v>
      </c>
      <c r="L96" s="10">
        <f t="shared" si="11"/>
        <v>2.9984713625756155E-2</v>
      </c>
      <c r="M96" s="135">
        <f t="shared" si="12"/>
        <v>508716596097.37091</v>
      </c>
      <c r="N96" s="135">
        <f t="shared" si="13"/>
        <v>375105.77832371369</v>
      </c>
      <c r="O96" s="135">
        <f t="shared" si="14"/>
        <v>140704344931.83905</v>
      </c>
      <c r="P96"/>
    </row>
    <row r="97" spans="1:16" x14ac:dyDescent="0.2">
      <c r="A97" s="43">
        <v>44530</v>
      </c>
      <c r="B97" s="44">
        <f>Inputs!D118</f>
        <v>26548630</v>
      </c>
      <c r="C97" s="44">
        <f t="shared" si="15"/>
        <v>496.43636363636364</v>
      </c>
      <c r="D97" s="44">
        <v>30</v>
      </c>
      <c r="E97" s="109">
        <v>1</v>
      </c>
      <c r="F97" s="130">
        <v>0</v>
      </c>
      <c r="G97" s="137">
        <f>Inputs!G118+Inputs!I118+Inputs!L118</f>
        <v>14157</v>
      </c>
      <c r="H97" s="137">
        <v>0</v>
      </c>
      <c r="I97" s="44">
        <f t="shared" si="10"/>
        <v>26249018.475790702</v>
      </c>
      <c r="J97" s="27">
        <f t="shared" si="8"/>
        <v>-299611.52420929819</v>
      </c>
      <c r="K97" s="36">
        <f t="shared" si="9"/>
        <v>-1.1285385506118326E-2</v>
      </c>
      <c r="L97" s="10">
        <f t="shared" si="11"/>
        <v>1.1285385506118326E-2</v>
      </c>
      <c r="M97" s="135">
        <f t="shared" si="12"/>
        <v>89767065439.018875</v>
      </c>
      <c r="N97" s="135">
        <f t="shared" si="13"/>
        <v>-1012855.2385856472</v>
      </c>
      <c r="O97" s="135">
        <f t="shared" si="14"/>
        <v>1025875734330.3883</v>
      </c>
      <c r="P97"/>
    </row>
    <row r="98" spans="1:16" x14ac:dyDescent="0.2">
      <c r="A98" s="43">
        <v>44561</v>
      </c>
      <c r="B98" s="44">
        <f>Inputs!D119</f>
        <v>29127757</v>
      </c>
      <c r="C98" s="44">
        <f t="shared" si="15"/>
        <v>679.73636363636365</v>
      </c>
      <c r="D98" s="44">
        <v>31</v>
      </c>
      <c r="E98" s="109">
        <v>0</v>
      </c>
      <c r="F98" s="130">
        <v>0</v>
      </c>
      <c r="G98" s="137">
        <f>Inputs!G119+Inputs!I119+Inputs!L119</f>
        <v>14180</v>
      </c>
      <c r="H98" s="137">
        <v>0</v>
      </c>
      <c r="I98" s="44">
        <f t="shared" si="10"/>
        <v>30111509.812983975</v>
      </c>
      <c r="J98" s="27">
        <f t="shared" si="8"/>
        <v>983752.81298397481</v>
      </c>
      <c r="K98" s="36">
        <f t="shared" si="9"/>
        <v>3.3773723564913524E-2</v>
      </c>
      <c r="L98" s="10">
        <f t="shared" si="11"/>
        <v>3.3773723564913524E-2</v>
      </c>
      <c r="M98" s="135">
        <f t="shared" si="12"/>
        <v>967769597053.8833</v>
      </c>
      <c r="N98" s="135">
        <f t="shared" si="13"/>
        <v>1283364.337193273</v>
      </c>
      <c r="O98" s="135">
        <f t="shared" si="14"/>
        <v>1647024021979.5291</v>
      </c>
      <c r="P98"/>
    </row>
    <row r="99" spans="1:16" x14ac:dyDescent="0.2">
      <c r="A99" s="43">
        <v>44592</v>
      </c>
      <c r="B99" s="44">
        <f>Inputs!D120</f>
        <v>34795564</v>
      </c>
      <c r="C99" s="44">
        <f t="shared" si="15"/>
        <v>834.24545454545466</v>
      </c>
      <c r="D99" s="44">
        <v>31</v>
      </c>
      <c r="E99" s="109">
        <v>0</v>
      </c>
      <c r="F99" s="130">
        <v>0</v>
      </c>
      <c r="G99" s="137">
        <f>Inputs!G120+Inputs!I120+Inputs!L120</f>
        <v>14191</v>
      </c>
      <c r="H99" s="137">
        <v>0</v>
      </c>
      <c r="I99" s="44">
        <f t="shared" si="10"/>
        <v>32000999.688006904</v>
      </c>
      <c r="J99" s="27">
        <f t="shared" si="8"/>
        <v>-2794564.311993096</v>
      </c>
      <c r="K99" s="36">
        <f t="shared" si="9"/>
        <v>-8.0313809886602097E-2</v>
      </c>
      <c r="L99" s="10">
        <f t="shared" si="11"/>
        <v>8.0313809886602097E-2</v>
      </c>
      <c r="M99" s="135">
        <f t="shared" si="12"/>
        <v>7809589693865.4463</v>
      </c>
      <c r="N99" s="135">
        <f t="shared" si="13"/>
        <v>-3778317.1249770708</v>
      </c>
      <c r="O99" s="135">
        <f t="shared" si="14"/>
        <v>14275680296894.998</v>
      </c>
      <c r="P99"/>
    </row>
    <row r="100" spans="1:16" x14ac:dyDescent="0.2">
      <c r="A100" s="43">
        <v>44620</v>
      </c>
      <c r="B100" s="44">
        <f>Inputs!D121</f>
        <v>30039948</v>
      </c>
      <c r="C100" s="44">
        <f t="shared" si="15"/>
        <v>763.4909090909091</v>
      </c>
      <c r="D100" s="44">
        <v>28</v>
      </c>
      <c r="E100" s="109">
        <v>0</v>
      </c>
      <c r="F100" s="130">
        <v>0</v>
      </c>
      <c r="G100" s="137">
        <f>Inputs!G121+Inputs!I121+Inputs!L121</f>
        <v>14206</v>
      </c>
      <c r="H100" s="137">
        <v>0</v>
      </c>
      <c r="I100" s="44">
        <f t="shared" si="10"/>
        <v>29508522.215882108</v>
      </c>
      <c r="J100" s="27">
        <f t="shared" si="8"/>
        <v>-531425.78411789238</v>
      </c>
      <c r="K100" s="36">
        <f t="shared" si="9"/>
        <v>-1.7690635953094606E-2</v>
      </c>
      <c r="L100" s="10">
        <f t="shared" si="11"/>
        <v>1.7690635953094606E-2</v>
      </c>
      <c r="M100" s="135">
        <f t="shared" si="12"/>
        <v>282413364025.31677</v>
      </c>
      <c r="N100" s="135">
        <f t="shared" si="13"/>
        <v>2263138.5278752036</v>
      </c>
      <c r="O100" s="135">
        <f t="shared" si="14"/>
        <v>5121795996353.1436</v>
      </c>
      <c r="P100"/>
    </row>
    <row r="101" spans="1:16" x14ac:dyDescent="0.2">
      <c r="A101" s="43">
        <v>44651</v>
      </c>
      <c r="B101" s="44">
        <f>Inputs!D122</f>
        <v>29938094</v>
      </c>
      <c r="C101" s="44">
        <f t="shared" si="15"/>
        <v>663.67272727272734</v>
      </c>
      <c r="D101" s="44">
        <v>31</v>
      </c>
      <c r="E101" s="109">
        <v>1</v>
      </c>
      <c r="F101" s="130">
        <v>0</v>
      </c>
      <c r="G101" s="137">
        <f>Inputs!G122+Inputs!I122+Inputs!L122</f>
        <v>14199</v>
      </c>
      <c r="H101" s="137">
        <v>0</v>
      </c>
      <c r="I101" s="44">
        <f t="shared" si="10"/>
        <v>28876012.524579272</v>
      </c>
      <c r="J101" s="27">
        <f t="shared" si="8"/>
        <v>-1062081.4754207283</v>
      </c>
      <c r="K101" s="36">
        <f t="shared" si="9"/>
        <v>-3.5475921594097751E-2</v>
      </c>
      <c r="L101" s="10">
        <f t="shared" si="11"/>
        <v>3.5475921594097751E-2</v>
      </c>
      <c r="M101" s="135">
        <f t="shared" si="12"/>
        <v>1128017060431.8711</v>
      </c>
      <c r="N101" s="135">
        <f t="shared" si="13"/>
        <v>-530655.69130283594</v>
      </c>
      <c r="O101" s="135">
        <f t="shared" si="14"/>
        <v>281595462712.0907</v>
      </c>
      <c r="P101"/>
    </row>
    <row r="102" spans="1:16" x14ac:dyDescent="0.2">
      <c r="A102" s="43">
        <v>44681</v>
      </c>
      <c r="B102" s="44">
        <f>Inputs!D123</f>
        <v>25592068</v>
      </c>
      <c r="C102" s="44">
        <f t="shared" si="15"/>
        <v>423.24545454545455</v>
      </c>
      <c r="D102" s="44">
        <v>30</v>
      </c>
      <c r="E102" s="109">
        <v>1</v>
      </c>
      <c r="F102" s="130">
        <v>0</v>
      </c>
      <c r="G102" s="137">
        <f>Inputs!G123+Inputs!I123+Inputs!L123</f>
        <v>14215</v>
      </c>
      <c r="H102" s="137">
        <v>0</v>
      </c>
      <c r="I102" s="44">
        <f t="shared" si="10"/>
        <v>25421789.517725863</v>
      </c>
      <c r="J102" s="27">
        <f t="shared" si="8"/>
        <v>-170278.48227413744</v>
      </c>
      <c r="K102" s="36">
        <f t="shared" si="9"/>
        <v>-6.6535647792955784E-3</v>
      </c>
      <c r="L102" s="10">
        <f t="shared" si="11"/>
        <v>6.6535647792955784E-3</v>
      </c>
      <c r="M102" s="135">
        <f t="shared" si="12"/>
        <v>28994761525.583736</v>
      </c>
      <c r="N102" s="135">
        <f t="shared" si="13"/>
        <v>891802.99314659089</v>
      </c>
      <c r="O102" s="135">
        <f t="shared" si="14"/>
        <v>795312578585.21838</v>
      </c>
      <c r="P102"/>
    </row>
    <row r="103" spans="1:16" x14ac:dyDescent="0.2">
      <c r="A103" s="43">
        <v>44712</v>
      </c>
      <c r="B103" s="44">
        <f>Inputs!D124</f>
        <v>23761000</v>
      </c>
      <c r="C103" s="44">
        <f t="shared" si="15"/>
        <v>211.25454545454542</v>
      </c>
      <c r="D103" s="44">
        <v>31</v>
      </c>
      <c r="E103" s="109">
        <v>1</v>
      </c>
      <c r="F103" s="130">
        <v>0</v>
      </c>
      <c r="G103" s="137">
        <f>Inputs!G124+Inputs!I124+Inputs!L124</f>
        <v>14224</v>
      </c>
      <c r="H103" s="137">
        <v>0</v>
      </c>
      <c r="I103" s="44">
        <f t="shared" si="10"/>
        <v>23404778.265551738</v>
      </c>
      <c r="J103" s="27">
        <f t="shared" si="8"/>
        <v>-356221.73444826156</v>
      </c>
      <c r="K103" s="36">
        <f t="shared" si="9"/>
        <v>-1.4991866270285828E-2</v>
      </c>
      <c r="L103" s="10">
        <f t="shared" si="11"/>
        <v>1.4991866270285828E-2</v>
      </c>
      <c r="M103" s="135">
        <f t="shared" si="12"/>
        <v>126893924093.32777</v>
      </c>
      <c r="N103" s="135">
        <f t="shared" si="13"/>
        <v>-185943.25217412412</v>
      </c>
      <c r="O103" s="135">
        <f t="shared" si="14"/>
        <v>34574893029.089912</v>
      </c>
      <c r="P103"/>
    </row>
    <row r="104" spans="1:16" x14ac:dyDescent="0.2">
      <c r="A104" s="43">
        <v>44742</v>
      </c>
      <c r="B104" s="44">
        <f>Inputs!D125</f>
        <v>23802150</v>
      </c>
      <c r="C104" s="44">
        <f t="shared" si="15"/>
        <v>79.27272727272728</v>
      </c>
      <c r="D104" s="44">
        <v>30</v>
      </c>
      <c r="E104" s="109">
        <v>0</v>
      </c>
      <c r="F104" s="130">
        <v>0</v>
      </c>
      <c r="G104" s="137">
        <f>Inputs!G125+Inputs!I125+Inputs!L125</f>
        <v>14228</v>
      </c>
      <c r="H104" s="137">
        <v>0</v>
      </c>
      <c r="I104" s="44">
        <f t="shared" si="10"/>
        <v>22316242.627662327</v>
      </c>
      <c r="J104" s="27">
        <f t="shared" si="8"/>
        <v>-1485907.3723376729</v>
      </c>
      <c r="K104" s="36">
        <f t="shared" si="9"/>
        <v>-6.2427443417408635E-2</v>
      </c>
      <c r="L104" s="10">
        <f t="shared" si="11"/>
        <v>6.2427443417408635E-2</v>
      </c>
      <c r="M104" s="135">
        <f t="shared" si="12"/>
        <v>2207920719167.4478</v>
      </c>
      <c r="N104" s="135">
        <f t="shared" si="13"/>
        <v>-1129685.6378894113</v>
      </c>
      <c r="O104" s="135">
        <f t="shared" si="14"/>
        <v>1276189640453.6062</v>
      </c>
      <c r="P104"/>
    </row>
    <row r="105" spans="1:16" x14ac:dyDescent="0.2">
      <c r="A105" s="43">
        <v>44773</v>
      </c>
      <c r="B105" s="44">
        <f>Inputs!D126</f>
        <v>25485797</v>
      </c>
      <c r="C105" s="44">
        <f t="shared" si="15"/>
        <v>27.636363636363637</v>
      </c>
      <c r="D105" s="44">
        <v>31</v>
      </c>
      <c r="E105" s="109">
        <v>0</v>
      </c>
      <c r="F105" s="130">
        <v>1</v>
      </c>
      <c r="G105" s="137">
        <f>Inputs!G126+Inputs!I126+Inputs!L126</f>
        <v>14232</v>
      </c>
      <c r="H105" s="137">
        <v>0</v>
      </c>
      <c r="I105" s="44">
        <f t="shared" si="10"/>
        <v>25167499.2087439</v>
      </c>
      <c r="J105" s="27">
        <f t="shared" si="8"/>
        <v>-318297.79125609994</v>
      </c>
      <c r="K105" s="36">
        <f t="shared" si="9"/>
        <v>-1.248922257585666E-2</v>
      </c>
      <c r="L105" s="10">
        <f t="shared" si="11"/>
        <v>1.248922257585666E-2</v>
      </c>
      <c r="M105" s="135">
        <f t="shared" si="12"/>
        <v>101313483918.51176</v>
      </c>
      <c r="N105" s="135">
        <f t="shared" si="13"/>
        <v>1167609.5810815729</v>
      </c>
      <c r="O105" s="135">
        <f t="shared" si="14"/>
        <v>1363312133833.4863</v>
      </c>
      <c r="P105"/>
    </row>
    <row r="106" spans="1:16" x14ac:dyDescent="0.2">
      <c r="A106" s="43">
        <v>44804</v>
      </c>
      <c r="B106" s="44">
        <f>Inputs!D127</f>
        <v>26149673</v>
      </c>
      <c r="C106" s="44">
        <f t="shared" si="15"/>
        <v>40.327272727272721</v>
      </c>
      <c r="D106" s="44">
        <v>31</v>
      </c>
      <c r="E106" s="109">
        <v>0</v>
      </c>
      <c r="F106" s="130">
        <v>1</v>
      </c>
      <c r="G106" s="137">
        <f>Inputs!G127+Inputs!I127+Inputs!L127</f>
        <v>14232</v>
      </c>
      <c r="H106" s="137">
        <v>0</v>
      </c>
      <c r="I106" s="44">
        <f t="shared" si="10"/>
        <v>25321726.772256471</v>
      </c>
      <c r="J106" s="27">
        <f t="shared" si="8"/>
        <v>-827946.22774352878</v>
      </c>
      <c r="K106" s="36">
        <f t="shared" si="9"/>
        <v>-3.1661819547170962E-2</v>
      </c>
      <c r="L106" s="10">
        <f t="shared" si="11"/>
        <v>3.1661819547170962E-2</v>
      </c>
      <c r="M106" s="135">
        <f t="shared" si="12"/>
        <v>685494956034.73926</v>
      </c>
      <c r="N106" s="135">
        <f t="shared" si="13"/>
        <v>-509648.43648742884</v>
      </c>
      <c r="O106" s="135">
        <f t="shared" si="14"/>
        <v>259741528814.08078</v>
      </c>
      <c r="P106"/>
    </row>
    <row r="107" spans="1:16" x14ac:dyDescent="0.2">
      <c r="A107" s="43">
        <v>44834</v>
      </c>
      <c r="B107" s="44">
        <f>Inputs!D128</f>
        <v>23192024</v>
      </c>
      <c r="C107" s="44">
        <f t="shared" si="15"/>
        <v>123.35454545454546</v>
      </c>
      <c r="D107" s="44">
        <v>30</v>
      </c>
      <c r="E107" s="109">
        <v>0</v>
      </c>
      <c r="F107" s="130">
        <v>0</v>
      </c>
      <c r="G107" s="137">
        <f>Inputs!G128+Inputs!I128+Inputs!L128</f>
        <v>14238</v>
      </c>
      <c r="H107" s="137">
        <v>0</v>
      </c>
      <c r="I107" s="44">
        <f t="shared" si="10"/>
        <v>22862680.89094184</v>
      </c>
      <c r="J107" s="27">
        <f t="shared" si="8"/>
        <v>-329343.10905816033</v>
      </c>
      <c r="K107" s="36">
        <f t="shared" si="9"/>
        <v>-1.4200705771008185E-2</v>
      </c>
      <c r="L107" s="10">
        <f t="shared" si="11"/>
        <v>1.4200705771008185E-2</v>
      </c>
      <c r="M107" s="135">
        <f t="shared" si="12"/>
        <v>108466883484.09529</v>
      </c>
      <c r="N107" s="135">
        <f t="shared" si="13"/>
        <v>498603.11868536845</v>
      </c>
      <c r="O107" s="135">
        <f t="shared" si="14"/>
        <v>248605069962.7756</v>
      </c>
      <c r="P107"/>
    </row>
    <row r="108" spans="1:16" x14ac:dyDescent="0.2">
      <c r="A108" s="43">
        <v>44865</v>
      </c>
      <c r="B108" s="44">
        <f>Inputs!D129</f>
        <v>24211097</v>
      </c>
      <c r="C108" s="44">
        <f t="shared" si="15"/>
        <v>312.07272727272726</v>
      </c>
      <c r="D108" s="44">
        <v>31</v>
      </c>
      <c r="E108" s="109">
        <v>1</v>
      </c>
      <c r="F108" s="130">
        <v>0</v>
      </c>
      <c r="G108" s="137">
        <f>Inputs!G129+Inputs!I129+Inputs!L129</f>
        <v>14300</v>
      </c>
      <c r="H108" s="137">
        <v>0</v>
      </c>
      <c r="I108" s="44">
        <f t="shared" si="10"/>
        <v>24711525.554845408</v>
      </c>
      <c r="J108" s="27">
        <f t="shared" si="8"/>
        <v>500428.55484540761</v>
      </c>
      <c r="K108" s="36">
        <f t="shared" si="9"/>
        <v>2.0669387878021701E-2</v>
      </c>
      <c r="L108" s="10">
        <f t="shared" si="11"/>
        <v>2.0669387878021701E-2</v>
      </c>
      <c r="M108" s="135">
        <f t="shared" si="12"/>
        <v>250428738504.66312</v>
      </c>
      <c r="N108" s="135">
        <f t="shared" si="13"/>
        <v>829771.66390356794</v>
      </c>
      <c r="O108" s="135">
        <f t="shared" si="14"/>
        <v>688521014217.29565</v>
      </c>
      <c r="P108"/>
    </row>
    <row r="109" spans="1:16" x14ac:dyDescent="0.2">
      <c r="A109" s="43">
        <v>44895</v>
      </c>
      <c r="B109" s="44">
        <f>Inputs!D130</f>
        <v>26468247</v>
      </c>
      <c r="C109" s="44">
        <f t="shared" si="15"/>
        <v>496.43636363636364</v>
      </c>
      <c r="D109" s="44">
        <v>30</v>
      </c>
      <c r="E109" s="109">
        <v>1</v>
      </c>
      <c r="F109" s="130">
        <v>0</v>
      </c>
      <c r="G109" s="137">
        <f>Inputs!G130+Inputs!I130+Inputs!L130</f>
        <v>14338</v>
      </c>
      <c r="H109" s="137">
        <v>0</v>
      </c>
      <c r="I109" s="44">
        <f t="shared" si="10"/>
        <v>26443222.141399331</v>
      </c>
      <c r="J109" s="27">
        <f t="shared" si="8"/>
        <v>-25024.858600668609</v>
      </c>
      <c r="K109" s="36">
        <f t="shared" si="9"/>
        <v>-9.4546717055604809E-4</v>
      </c>
      <c r="L109" s="10">
        <f t="shared" si="11"/>
        <v>9.4546717055604809E-4</v>
      </c>
      <c r="M109" s="135">
        <f t="shared" si="12"/>
        <v>626243547.98345768</v>
      </c>
      <c r="N109" s="135">
        <f t="shared" si="13"/>
        <v>-525453.41344607621</v>
      </c>
      <c r="O109" s="135">
        <f t="shared" si="14"/>
        <v>276101289702.13312</v>
      </c>
      <c r="P109"/>
    </row>
    <row r="110" spans="1:16" x14ac:dyDescent="0.2">
      <c r="A110" s="43">
        <v>44926</v>
      </c>
      <c r="B110" s="44">
        <f>Inputs!D131</f>
        <v>29238327</v>
      </c>
      <c r="C110" s="44">
        <f t="shared" si="15"/>
        <v>679.73636363636365</v>
      </c>
      <c r="D110" s="44">
        <v>31</v>
      </c>
      <c r="E110" s="109">
        <v>0</v>
      </c>
      <c r="F110" s="130">
        <v>0</v>
      </c>
      <c r="G110" s="137">
        <f>Inputs!G131+Inputs!I131+Inputs!L131</f>
        <v>14351</v>
      </c>
      <c r="H110" s="137">
        <v>0</v>
      </c>
      <c r="I110" s="44">
        <f t="shared" si="10"/>
        <v>30294983.994304832</v>
      </c>
      <c r="J110" s="27">
        <f t="shared" si="8"/>
        <v>1056656.9943048321</v>
      </c>
      <c r="K110" s="36">
        <f t="shared" si="9"/>
        <v>3.6139447865975095E-2</v>
      </c>
      <c r="L110" s="10">
        <f t="shared" si="11"/>
        <v>3.6139447865975095E-2</v>
      </c>
      <c r="M110" s="135">
        <f t="shared" si="12"/>
        <v>1116524003613.322</v>
      </c>
      <c r="N110" s="135">
        <f t="shared" si="13"/>
        <v>1081681.8529055007</v>
      </c>
      <c r="O110" s="135">
        <f t="shared" si="14"/>
        <v>1170035630905.0771</v>
      </c>
      <c r="P110"/>
    </row>
    <row r="111" spans="1:16" x14ac:dyDescent="0.2">
      <c r="A111" s="43">
        <v>44957</v>
      </c>
      <c r="B111" s="44">
        <f>Inputs!D132</f>
        <v>30877295</v>
      </c>
      <c r="C111" s="44">
        <f t="shared" si="15"/>
        <v>834.24545454545466</v>
      </c>
      <c r="D111" s="44">
        <v>31</v>
      </c>
      <c r="E111" s="109">
        <v>0</v>
      </c>
      <c r="F111" s="130">
        <v>0</v>
      </c>
      <c r="G111" s="137">
        <f>Inputs!G132+Inputs!I132+Inputs!L132</f>
        <v>14366</v>
      </c>
      <c r="H111" s="137">
        <v>0</v>
      </c>
      <c r="I111" s="44">
        <f t="shared" si="10"/>
        <v>32188765.663042869</v>
      </c>
      <c r="J111" s="27">
        <f t="shared" si="8"/>
        <v>1311470.6630428694</v>
      </c>
      <c r="K111" s="36">
        <f t="shared" si="9"/>
        <v>4.2473625459836087E-2</v>
      </c>
      <c r="L111" s="10">
        <f t="shared" si="11"/>
        <v>4.2473625459836087E-2</v>
      </c>
      <c r="M111" s="135">
        <f t="shared" si="12"/>
        <v>1719955300022.1035</v>
      </c>
      <c r="N111" s="135">
        <f t="shared" si="13"/>
        <v>254813.66873803735</v>
      </c>
      <c r="O111" s="135">
        <f t="shared" si="14"/>
        <v>64930005775.738235</v>
      </c>
      <c r="P111"/>
    </row>
    <row r="112" spans="1:16" x14ac:dyDescent="0.2">
      <c r="A112" s="43">
        <v>44985</v>
      </c>
      <c r="B112" s="44">
        <f>Inputs!D133</f>
        <v>28906608</v>
      </c>
      <c r="C112" s="44">
        <f t="shared" si="15"/>
        <v>763.4909090909091</v>
      </c>
      <c r="D112" s="44">
        <v>28</v>
      </c>
      <c r="E112" s="109">
        <v>0</v>
      </c>
      <c r="F112" s="130">
        <v>0</v>
      </c>
      <c r="G112" s="137">
        <f>Inputs!G133+Inputs!I133+Inputs!L133</f>
        <v>14382</v>
      </c>
      <c r="H112" s="137">
        <v>0</v>
      </c>
      <c r="I112" s="44">
        <f t="shared" si="10"/>
        <v>29697361.139346849</v>
      </c>
      <c r="J112" s="27">
        <f t="shared" si="8"/>
        <v>790753.13934684917</v>
      </c>
      <c r="K112" s="36">
        <f t="shared" si="9"/>
        <v>2.7355445486611545E-2</v>
      </c>
      <c r="L112" s="10">
        <f t="shared" si="11"/>
        <v>2.7355445486611545E-2</v>
      </c>
      <c r="M112" s="135">
        <f t="shared" si="12"/>
        <v>625290527386.89746</v>
      </c>
      <c r="N112" s="135">
        <f t="shared" si="13"/>
        <v>-520717.52369602025</v>
      </c>
      <c r="O112" s="135">
        <f t="shared" si="14"/>
        <v>271146739484.11542</v>
      </c>
      <c r="P112"/>
    </row>
    <row r="113" spans="1:16" x14ac:dyDescent="0.2">
      <c r="A113" s="43">
        <v>45016</v>
      </c>
      <c r="B113" s="44">
        <f>Inputs!D134</f>
        <v>29869663</v>
      </c>
      <c r="C113" s="44">
        <f t="shared" si="15"/>
        <v>663.67272727272734</v>
      </c>
      <c r="D113" s="44">
        <v>31</v>
      </c>
      <c r="E113" s="109">
        <v>1</v>
      </c>
      <c r="F113" s="130">
        <v>0</v>
      </c>
      <c r="G113" s="137">
        <f>Inputs!G134+Inputs!I134+Inputs!L134</f>
        <v>14394</v>
      </c>
      <c r="H113" s="137">
        <v>0</v>
      </c>
      <c r="I113" s="44">
        <f t="shared" si="10"/>
        <v>29085237.468190778</v>
      </c>
      <c r="J113" s="27">
        <f t="shared" si="8"/>
        <v>-784425.53180922195</v>
      </c>
      <c r="K113" s="36">
        <f t="shared" si="9"/>
        <v>-2.6261613055668622E-2</v>
      </c>
      <c r="L113" s="10">
        <f t="shared" si="11"/>
        <v>2.6261613055668622E-2</v>
      </c>
      <c r="M113" s="135">
        <f t="shared" si="12"/>
        <v>615323414954.18066</v>
      </c>
      <c r="N113" s="135">
        <f t="shared" si="13"/>
        <v>-1575178.6711560711</v>
      </c>
      <c r="O113" s="135">
        <f t="shared" si="14"/>
        <v>2481187846065.0059</v>
      </c>
      <c r="P113"/>
    </row>
    <row r="114" spans="1:16" x14ac:dyDescent="0.2">
      <c r="A114" s="43">
        <v>45046</v>
      </c>
      <c r="B114" s="44">
        <f>Inputs!D135</f>
        <v>25209778</v>
      </c>
      <c r="C114" s="44">
        <f t="shared" si="15"/>
        <v>423.24545454545455</v>
      </c>
      <c r="D114" s="44">
        <v>30</v>
      </c>
      <c r="E114" s="109">
        <v>1</v>
      </c>
      <c r="F114" s="130">
        <v>0</v>
      </c>
      <c r="G114" s="137">
        <f>Inputs!G135+Inputs!I135+Inputs!L135</f>
        <v>14392</v>
      </c>
      <c r="H114" s="137">
        <v>0</v>
      </c>
      <c r="I114" s="44">
        <f t="shared" si="10"/>
        <v>25611701.38961938</v>
      </c>
      <c r="J114" s="27">
        <f t="shared" si="8"/>
        <v>401923.38961938024</v>
      </c>
      <c r="K114" s="36">
        <f t="shared" si="9"/>
        <v>1.5943154660837563E-2</v>
      </c>
      <c r="L114" s="10">
        <f t="shared" si="11"/>
        <v>1.5943154660837563E-2</v>
      </c>
      <c r="M114" s="135">
        <f t="shared" si="12"/>
        <v>161542411123.13214</v>
      </c>
      <c r="N114" s="135">
        <f t="shared" si="13"/>
        <v>1186348.9214286022</v>
      </c>
      <c r="O114" s="135">
        <f t="shared" si="14"/>
        <v>1407423763374.8076</v>
      </c>
      <c r="P114"/>
    </row>
    <row r="115" spans="1:16" x14ac:dyDescent="0.2">
      <c r="A115" s="43">
        <v>45077</v>
      </c>
      <c r="B115" s="44">
        <f>Inputs!D136</f>
        <v>23723123</v>
      </c>
      <c r="C115" s="44">
        <f t="shared" si="15"/>
        <v>211.25454545454542</v>
      </c>
      <c r="D115" s="44">
        <v>31</v>
      </c>
      <c r="E115" s="109">
        <v>1</v>
      </c>
      <c r="F115" s="130">
        <v>0</v>
      </c>
      <c r="G115" s="137">
        <f>Inputs!G136+Inputs!I136+Inputs!L136</f>
        <v>14414</v>
      </c>
      <c r="H115" s="137">
        <v>0</v>
      </c>
      <c r="I115" s="44">
        <f t="shared" si="10"/>
        <v>23608638.467019357</v>
      </c>
      <c r="J115" s="27">
        <f t="shared" si="8"/>
        <v>-114484.53298064321</v>
      </c>
      <c r="K115" s="36">
        <f t="shared" si="9"/>
        <v>-4.8258626396129722E-3</v>
      </c>
      <c r="L115" s="10">
        <f t="shared" si="11"/>
        <v>4.8258626396129722E-3</v>
      </c>
      <c r="M115" s="135">
        <f t="shared" si="12"/>
        <v>13106708291.795984</v>
      </c>
      <c r="N115" s="135">
        <f t="shared" si="13"/>
        <v>-516407.92260002345</v>
      </c>
      <c r="O115" s="135">
        <f t="shared" si="14"/>
        <v>266677142524.07181</v>
      </c>
      <c r="P115"/>
    </row>
    <row r="116" spans="1:16" x14ac:dyDescent="0.2">
      <c r="A116" s="43">
        <v>45107</v>
      </c>
      <c r="B116" s="44">
        <f>Inputs!D137</f>
        <v>23955844</v>
      </c>
      <c r="C116" s="44">
        <f t="shared" si="15"/>
        <v>79.27272727272728</v>
      </c>
      <c r="D116" s="44">
        <v>30</v>
      </c>
      <c r="E116" s="109">
        <v>0</v>
      </c>
      <c r="F116" s="130">
        <v>0</v>
      </c>
      <c r="G116" s="137">
        <f>Inputs!G137+Inputs!I137+Inputs!L137</f>
        <v>14450</v>
      </c>
      <c r="H116" s="137">
        <v>0</v>
      </c>
      <c r="I116" s="44">
        <f t="shared" si="10"/>
        <v>22554437.178850807</v>
      </c>
      <c r="J116" s="27">
        <f t="shared" si="8"/>
        <v>-1401406.8211491928</v>
      </c>
      <c r="K116" s="36">
        <f t="shared" si="9"/>
        <v>-5.8499580359147138E-2</v>
      </c>
      <c r="L116" s="10">
        <f t="shared" si="11"/>
        <v>5.8499580359147138E-2</v>
      </c>
      <c r="M116" s="135">
        <f t="shared" si="12"/>
        <v>1963941078363.4856</v>
      </c>
      <c r="N116" s="135">
        <f t="shared" si="13"/>
        <v>-1286922.2881685495</v>
      </c>
      <c r="O116" s="135">
        <f t="shared" si="14"/>
        <v>1656168975784.9753</v>
      </c>
      <c r="P116"/>
    </row>
    <row r="117" spans="1:16" x14ac:dyDescent="0.2">
      <c r="A117" s="43">
        <v>45138</v>
      </c>
      <c r="B117" s="44">
        <f>Inputs!D138</f>
        <v>25445214</v>
      </c>
      <c r="C117" s="44">
        <f t="shared" si="15"/>
        <v>27.636363636363637</v>
      </c>
      <c r="D117" s="44">
        <v>31</v>
      </c>
      <c r="E117" s="109">
        <v>0</v>
      </c>
      <c r="F117" s="130">
        <v>1</v>
      </c>
      <c r="G117" s="137">
        <f>Inputs!G138+Inputs!I138+Inputs!L138</f>
        <v>14453</v>
      </c>
      <c r="H117" s="137">
        <v>0</v>
      </c>
      <c r="I117" s="44">
        <f t="shared" si="10"/>
        <v>25404620.811503608</v>
      </c>
      <c r="J117" s="27">
        <f t="shared" si="8"/>
        <v>-40593.18849639222</v>
      </c>
      <c r="K117" s="36">
        <f t="shared" si="9"/>
        <v>-1.5953172371194135E-3</v>
      </c>
      <c r="L117" s="10">
        <f t="shared" si="11"/>
        <v>1.5953172371194135E-3</v>
      </c>
      <c r="M117" s="135">
        <f t="shared" si="12"/>
        <v>1647806952.3036296</v>
      </c>
      <c r="N117" s="135">
        <f t="shared" si="13"/>
        <v>1360813.6326528005</v>
      </c>
      <c r="O117" s="135">
        <f t="shared" si="14"/>
        <v>1851813742813.7112</v>
      </c>
      <c r="P117"/>
    </row>
    <row r="118" spans="1:16" x14ac:dyDescent="0.2">
      <c r="A118" s="43">
        <v>45169</v>
      </c>
      <c r="B118" s="44">
        <f>Inputs!D139</f>
        <v>24199133</v>
      </c>
      <c r="C118" s="44">
        <f t="shared" si="15"/>
        <v>40.327272727272721</v>
      </c>
      <c r="D118" s="44">
        <v>31</v>
      </c>
      <c r="E118" s="109">
        <v>0</v>
      </c>
      <c r="F118" s="130">
        <v>1</v>
      </c>
      <c r="G118" s="137">
        <f>Inputs!G139+Inputs!I139+Inputs!L139</f>
        <v>14476</v>
      </c>
      <c r="H118" s="137">
        <v>0</v>
      </c>
      <c r="I118" s="44">
        <f t="shared" si="10"/>
        <v>25583526.188878048</v>
      </c>
      <c r="J118" s="27">
        <f t="shared" si="8"/>
        <v>1384393.1888780482</v>
      </c>
      <c r="K118" s="36">
        <f t="shared" si="9"/>
        <v>5.7208379691869468E-2</v>
      </c>
      <c r="L118" s="10">
        <f t="shared" si="11"/>
        <v>5.7208379691869468E-2</v>
      </c>
      <c r="M118" s="135">
        <f t="shared" si="12"/>
        <v>1916544501411.9312</v>
      </c>
      <c r="N118" s="135">
        <f t="shared" si="13"/>
        <v>1424986.3773744404</v>
      </c>
      <c r="O118" s="135">
        <f t="shared" si="14"/>
        <v>2030586175702.7312</v>
      </c>
      <c r="P118"/>
    </row>
    <row r="119" spans="1:16" x14ac:dyDescent="0.2">
      <c r="A119" s="43">
        <v>45199</v>
      </c>
      <c r="B119" s="44">
        <f>Inputs!D140</f>
        <v>22957346</v>
      </c>
      <c r="C119" s="44">
        <f t="shared" si="15"/>
        <v>123.35454545454546</v>
      </c>
      <c r="D119" s="44">
        <v>30</v>
      </c>
      <c r="E119" s="109">
        <v>0</v>
      </c>
      <c r="F119" s="130">
        <v>0</v>
      </c>
      <c r="G119" s="137">
        <f>Inputs!G140+Inputs!I140+Inputs!L140</f>
        <v>14518</v>
      </c>
      <c r="H119" s="137">
        <v>0</v>
      </c>
      <c r="I119" s="44">
        <f t="shared" si="10"/>
        <v>23163106.450999387</v>
      </c>
      <c r="J119" s="27">
        <f t="shared" si="8"/>
        <v>205760.45099938661</v>
      </c>
      <c r="K119" s="36">
        <f t="shared" si="9"/>
        <v>8.9627281393670939E-3</v>
      </c>
      <c r="L119" s="10">
        <f t="shared" si="11"/>
        <v>8.9627281393670939E-3</v>
      </c>
      <c r="M119" s="135">
        <f t="shared" si="12"/>
        <v>42337363195.470978</v>
      </c>
      <c r="N119" s="135">
        <f t="shared" si="13"/>
        <v>-1178632.7378786616</v>
      </c>
      <c r="O119" s="135">
        <f t="shared" si="14"/>
        <v>1389175130799.3499</v>
      </c>
      <c r="P119"/>
    </row>
    <row r="120" spans="1:16" x14ac:dyDescent="0.2">
      <c r="A120" s="43">
        <v>45230</v>
      </c>
      <c r="B120" s="44">
        <f>Inputs!D141</f>
        <v>24656330</v>
      </c>
      <c r="C120" s="44">
        <f t="shared" si="15"/>
        <v>312.07272727272726</v>
      </c>
      <c r="D120" s="44">
        <v>31</v>
      </c>
      <c r="E120" s="109">
        <v>1</v>
      </c>
      <c r="F120" s="130">
        <v>0</v>
      </c>
      <c r="G120" s="137">
        <f>Inputs!G141+Inputs!I141+Inputs!L141</f>
        <v>14534</v>
      </c>
      <c r="H120" s="137">
        <v>0</v>
      </c>
      <c r="I120" s="44">
        <f t="shared" si="10"/>
        <v>24962595.487179212</v>
      </c>
      <c r="J120" s="27">
        <f t="shared" si="8"/>
        <v>306265.48717921227</v>
      </c>
      <c r="K120" s="36">
        <f t="shared" si="9"/>
        <v>1.2421373626132205E-2</v>
      </c>
      <c r="L120" s="10">
        <f t="shared" si="11"/>
        <v>1.2421373626132205E-2</v>
      </c>
      <c r="M120" s="135">
        <f t="shared" si="12"/>
        <v>93798548637.120239</v>
      </c>
      <c r="N120" s="135">
        <f t="shared" si="13"/>
        <v>100505.03617982566</v>
      </c>
      <c r="O120" s="135">
        <f t="shared" si="14"/>
        <v>10101262297.508066</v>
      </c>
      <c r="P120"/>
    </row>
    <row r="121" spans="1:16" x14ac:dyDescent="0.2">
      <c r="A121" s="43">
        <v>45260</v>
      </c>
      <c r="B121" s="44">
        <f>Inputs!D142</f>
        <v>27066324</v>
      </c>
      <c r="C121" s="44">
        <f t="shared" si="15"/>
        <v>496.43636363636364</v>
      </c>
      <c r="D121" s="44">
        <v>30</v>
      </c>
      <c r="E121" s="109">
        <v>1</v>
      </c>
      <c r="F121" s="130">
        <v>0</v>
      </c>
      <c r="G121" s="137">
        <f>Inputs!G142+Inputs!I142+Inputs!L142</f>
        <v>14568</v>
      </c>
      <c r="H121" s="137">
        <v>0</v>
      </c>
      <c r="I121" s="44">
        <f t="shared" si="10"/>
        <v>26690000.280018028</v>
      </c>
      <c r="J121" s="27">
        <f t="shared" si="8"/>
        <v>-376323.71998197213</v>
      </c>
      <c r="K121" s="36">
        <f t="shared" si="9"/>
        <v>-1.3903761736613075E-2</v>
      </c>
      <c r="L121" s="10">
        <f t="shared" si="11"/>
        <v>1.3903761736613075E-2</v>
      </c>
      <c r="M121" s="135">
        <f t="shared" si="12"/>
        <v>141619542221.06976</v>
      </c>
      <c r="N121" s="135">
        <f t="shared" si="13"/>
        <v>-682589.2071611844</v>
      </c>
      <c r="O121" s="135">
        <f t="shared" si="14"/>
        <v>465928025732.93433</v>
      </c>
      <c r="P121"/>
    </row>
    <row r="122" spans="1:16" x14ac:dyDescent="0.2">
      <c r="A122" s="43">
        <v>45291</v>
      </c>
      <c r="B122" s="44">
        <f>Inputs!D143</f>
        <v>28270776</v>
      </c>
      <c r="C122" s="44">
        <f t="shared" si="15"/>
        <v>679.73636363636365</v>
      </c>
      <c r="D122" s="44">
        <v>31</v>
      </c>
      <c r="E122" s="109">
        <v>0</v>
      </c>
      <c r="F122" s="130">
        <v>0</v>
      </c>
      <c r="G122" s="137">
        <f>Inputs!G143+Inputs!I143+Inputs!L143</f>
        <v>14594</v>
      </c>
      <c r="H122" s="137">
        <v>0</v>
      </c>
      <c r="I122" s="44">
        <f t="shared" si="10"/>
        <v>30555710.462497629</v>
      </c>
      <c r="J122" s="27">
        <f t="shared" si="8"/>
        <v>2284934.4624976292</v>
      </c>
      <c r="K122" s="36">
        <f t="shared" si="9"/>
        <v>8.0823195744525345E-2</v>
      </c>
      <c r="L122" s="10">
        <f t="shared" si="11"/>
        <v>8.0823195744525345E-2</v>
      </c>
      <c r="M122" s="135">
        <f t="shared" si="12"/>
        <v>5220925497909.3301</v>
      </c>
      <c r="N122" s="135">
        <f t="shared" si="13"/>
        <v>2661258.1824796014</v>
      </c>
      <c r="O122" s="135">
        <f t="shared" si="14"/>
        <v>7082295113814.6309</v>
      </c>
      <c r="P122"/>
    </row>
    <row r="123" spans="1:16" x14ac:dyDescent="0.2">
      <c r="A123" s="43">
        <v>45322</v>
      </c>
      <c r="B123" s="44">
        <f>Inputs!D144</f>
        <v>31081694</v>
      </c>
      <c r="C123" s="44">
        <f t="shared" si="15"/>
        <v>834.24545454545466</v>
      </c>
      <c r="D123" s="99">
        <v>31</v>
      </c>
      <c r="E123" s="109">
        <v>0</v>
      </c>
      <c r="F123" s="130">
        <v>0</v>
      </c>
      <c r="G123" s="137">
        <f>Inputs!G144+Inputs!I144+Inputs!L144</f>
        <v>14622</v>
      </c>
      <c r="H123" s="137">
        <v>0</v>
      </c>
      <c r="I123" s="44">
        <f t="shared" si="10"/>
        <v>32463440.460809767</v>
      </c>
      <c r="J123" s="27">
        <f t="shared" si="8"/>
        <v>1381746.4608097672</v>
      </c>
      <c r="K123" s="36">
        <f t="shared" si="9"/>
        <v>4.4455313819438777E-2</v>
      </c>
      <c r="L123" s="10">
        <f t="shared" si="11"/>
        <v>4.4455313819438777E-2</v>
      </c>
      <c r="M123" s="135">
        <f t="shared" si="12"/>
        <v>1909223281960.3176</v>
      </c>
      <c r="N123" s="135">
        <f t="shared" si="13"/>
        <v>-903188.00168786198</v>
      </c>
      <c r="O123" s="135">
        <f t="shared" si="14"/>
        <v>815748566392.91333</v>
      </c>
    </row>
    <row r="124" spans="1:16" x14ac:dyDescent="0.2">
      <c r="A124" s="43">
        <v>45351</v>
      </c>
      <c r="B124" s="44">
        <f>Inputs!D145</f>
        <v>28269261</v>
      </c>
      <c r="C124" s="44">
        <f t="shared" si="15"/>
        <v>763.4909090909091</v>
      </c>
      <c r="D124" s="99">
        <v>29</v>
      </c>
      <c r="E124" s="109">
        <v>0</v>
      </c>
      <c r="F124" s="130">
        <v>0</v>
      </c>
      <c r="G124" s="137">
        <f>Inputs!G145+Inputs!I145+Inputs!L145</f>
        <v>14633</v>
      </c>
      <c r="H124" s="137">
        <v>0</v>
      </c>
      <c r="I124" s="44">
        <f t="shared" si="10"/>
        <v>30516244.491141409</v>
      </c>
      <c r="J124" s="27">
        <f t="shared" si="8"/>
        <v>2246983.4911414087</v>
      </c>
      <c r="K124" s="36">
        <f t="shared" si="9"/>
        <v>7.9485045298545609E-2</v>
      </c>
      <c r="L124" s="10">
        <f t="shared" si="11"/>
        <v>7.9485045298545609E-2</v>
      </c>
      <c r="M124" s="135">
        <f t="shared" si="12"/>
        <v>5048934809462.0332</v>
      </c>
      <c r="N124" s="135">
        <f t="shared" si="13"/>
        <v>865237.03033164144</v>
      </c>
      <c r="O124" s="135">
        <f t="shared" si="14"/>
        <v>748635118657.1178</v>
      </c>
      <c r="P124"/>
    </row>
    <row r="125" spans="1:16" x14ac:dyDescent="0.2">
      <c r="A125" s="43">
        <v>45382</v>
      </c>
      <c r="B125" s="44">
        <f>Inputs!D146</f>
        <v>28028742</v>
      </c>
      <c r="C125" s="44">
        <f t="shared" si="15"/>
        <v>663.67272727272734</v>
      </c>
      <c r="D125" s="99">
        <v>31</v>
      </c>
      <c r="E125" s="109">
        <v>1</v>
      </c>
      <c r="F125" s="130">
        <v>0</v>
      </c>
      <c r="G125" s="137">
        <f>Inputs!G146+Inputs!I146+Inputs!L146</f>
        <v>14633</v>
      </c>
      <c r="H125" s="137">
        <v>0</v>
      </c>
      <c r="I125" s="44">
        <f t="shared" si="10"/>
        <v>29341672.142668471</v>
      </c>
      <c r="J125" s="27">
        <f t="shared" si="8"/>
        <v>1312930.1426684707</v>
      </c>
      <c r="K125" s="36">
        <f t="shared" si="9"/>
        <v>4.6842278639136599E-2</v>
      </c>
      <c r="L125" s="10">
        <f t="shared" si="11"/>
        <v>4.6842278639136599E-2</v>
      </c>
      <c r="M125" s="135">
        <f t="shared" si="12"/>
        <v>1723785559527.4509</v>
      </c>
      <c r="N125" s="135">
        <f t="shared" si="13"/>
        <v>-934053.34847293794</v>
      </c>
      <c r="O125" s="135">
        <f t="shared" si="14"/>
        <v>872455657793.50769</v>
      </c>
      <c r="P125"/>
    </row>
    <row r="126" spans="1:16" x14ac:dyDescent="0.2">
      <c r="A126" s="43">
        <v>45412</v>
      </c>
      <c r="B126" s="44">
        <f>Inputs!D147</f>
        <v>24581293</v>
      </c>
      <c r="C126" s="44">
        <f t="shared" si="15"/>
        <v>423.24545454545455</v>
      </c>
      <c r="D126" s="99">
        <v>30</v>
      </c>
      <c r="E126" s="109">
        <v>1</v>
      </c>
      <c r="F126" s="130">
        <v>0</v>
      </c>
      <c r="G126" s="137">
        <f>Inputs!G147+Inputs!I147+Inputs!L147</f>
        <v>14658</v>
      </c>
      <c r="H126" s="137">
        <v>0</v>
      </c>
      <c r="I126" s="44">
        <f t="shared" si="10"/>
        <v>25897105.671674047</v>
      </c>
      <c r="J126" s="27">
        <f t="shared" si="8"/>
        <v>1315812.6716740467</v>
      </c>
      <c r="K126" s="36">
        <f t="shared" si="9"/>
        <v>5.3529025982239693E-2</v>
      </c>
      <c r="L126" s="10">
        <f t="shared" si="11"/>
        <v>5.3529025982239693E-2</v>
      </c>
      <c r="M126" s="135">
        <f t="shared" si="12"/>
        <v>1731362986937.9924</v>
      </c>
      <c r="N126" s="135">
        <f t="shared" si="13"/>
        <v>2882.5290055759251</v>
      </c>
      <c r="O126" s="135">
        <f t="shared" si="14"/>
        <v>8308973.4679865316</v>
      </c>
      <c r="P126"/>
    </row>
    <row r="127" spans="1:16" x14ac:dyDescent="0.2">
      <c r="A127" s="43">
        <v>45443</v>
      </c>
      <c r="B127" s="44">
        <f>Inputs!D148</f>
        <v>23038858</v>
      </c>
      <c r="C127" s="44">
        <f t="shared" si="15"/>
        <v>211.25454545454542</v>
      </c>
      <c r="D127" s="99">
        <v>31</v>
      </c>
      <c r="E127" s="109">
        <v>1</v>
      </c>
      <c r="F127" s="130">
        <v>0</v>
      </c>
      <c r="G127" s="137">
        <f>Inputs!G148+Inputs!I148+Inputs!L148</f>
        <v>14670</v>
      </c>
      <c r="H127" s="137">
        <v>0</v>
      </c>
      <c r="I127" s="44">
        <f t="shared" si="10"/>
        <v>23883313.264786251</v>
      </c>
      <c r="J127" s="27">
        <f t="shared" si="8"/>
        <v>844455.26478625089</v>
      </c>
      <c r="K127" s="36">
        <f t="shared" si="9"/>
        <v>3.6653520968194298E-2</v>
      </c>
      <c r="L127" s="10">
        <f t="shared" si="11"/>
        <v>3.6653520968194298E-2</v>
      </c>
      <c r="M127" s="135">
        <f t="shared" si="12"/>
        <v>713104694225.21704</v>
      </c>
      <c r="N127" s="135">
        <f t="shared" si="13"/>
        <v>-471357.40688779578</v>
      </c>
      <c r="O127" s="135">
        <f t="shared" si="14"/>
        <v>222177805027.98706</v>
      </c>
      <c r="P127"/>
    </row>
    <row r="128" spans="1:16" x14ac:dyDescent="0.2">
      <c r="A128" s="43">
        <v>45473</v>
      </c>
      <c r="B128" s="44">
        <f>Inputs!D149</f>
        <v>23532824</v>
      </c>
      <c r="C128" s="44">
        <f t="shared" si="15"/>
        <v>79.27272727272728</v>
      </c>
      <c r="D128" s="99">
        <v>30</v>
      </c>
      <c r="E128" s="109">
        <v>0</v>
      </c>
      <c r="F128" s="130">
        <v>0</v>
      </c>
      <c r="G128" s="137">
        <f>Inputs!G149+Inputs!I149+Inputs!L149</f>
        <v>14675</v>
      </c>
      <c r="H128" s="137">
        <v>0</v>
      </c>
      <c r="I128" s="44">
        <f t="shared" si="10"/>
        <v>22795850.575325623</v>
      </c>
      <c r="J128" s="27">
        <f t="shared" si="8"/>
        <v>-736973.42467437685</v>
      </c>
      <c r="K128" s="36">
        <f t="shared" si="9"/>
        <v>-3.1316828982122027E-2</v>
      </c>
      <c r="L128" s="10">
        <f t="shared" si="11"/>
        <v>3.1316828982122027E-2</v>
      </c>
      <c r="M128" s="135">
        <f t="shared" si="12"/>
        <v>543129828676.27942</v>
      </c>
      <c r="N128" s="135">
        <f t="shared" si="13"/>
        <v>-1581428.6894606277</v>
      </c>
      <c r="O128" s="135">
        <f t="shared" si="14"/>
        <v>2500916699849.1587</v>
      </c>
      <c r="P128"/>
    </row>
    <row r="129" spans="1:16" x14ac:dyDescent="0.2">
      <c r="A129" s="43">
        <v>45504</v>
      </c>
      <c r="B129" s="44">
        <f>Inputs!D150</f>
        <v>26577704</v>
      </c>
      <c r="C129" s="44">
        <f t="shared" si="15"/>
        <v>27.636363636363637</v>
      </c>
      <c r="D129" s="99">
        <v>31</v>
      </c>
      <c r="E129" s="109">
        <v>0</v>
      </c>
      <c r="F129" s="130">
        <v>1</v>
      </c>
      <c r="G129" s="137">
        <f>Inputs!G150+Inputs!I150+Inputs!L150</f>
        <v>14668</v>
      </c>
      <c r="H129" s="137">
        <v>0</v>
      </c>
      <c r="I129" s="44">
        <f t="shared" si="10"/>
        <v>25635304.723690651</v>
      </c>
      <c r="J129" s="27">
        <f t="shared" si="8"/>
        <v>-942399.27630934864</v>
      </c>
      <c r="K129" s="36">
        <f t="shared" si="9"/>
        <v>-3.5458265180067797E-2</v>
      </c>
      <c r="L129" s="10">
        <f t="shared" si="11"/>
        <v>3.5458265180067797E-2</v>
      </c>
      <c r="M129" s="135">
        <f t="shared" si="12"/>
        <v>888116395988.38403</v>
      </c>
      <c r="N129" s="135">
        <f t="shared" si="13"/>
        <v>-205425.8516349718</v>
      </c>
      <c r="O129" s="135">
        <f t="shared" si="14"/>
        <v>42199780519.953445</v>
      </c>
      <c r="P129"/>
    </row>
    <row r="130" spans="1:16" x14ac:dyDescent="0.2">
      <c r="A130" s="43">
        <v>45535</v>
      </c>
      <c r="B130" s="44">
        <f>Inputs!D151</f>
        <v>26337062</v>
      </c>
      <c r="C130" s="44">
        <f t="shared" si="15"/>
        <v>40.327272727272721</v>
      </c>
      <c r="D130" s="99">
        <v>31</v>
      </c>
      <c r="E130" s="109">
        <v>0</v>
      </c>
      <c r="F130" s="130">
        <v>1</v>
      </c>
      <c r="G130" s="137">
        <f>Inputs!G151+Inputs!I151+Inputs!L151</f>
        <v>14710</v>
      </c>
      <c r="H130" s="137">
        <v>0</v>
      </c>
      <c r="I130" s="44">
        <f t="shared" si="10"/>
        <v>25834596.121211853</v>
      </c>
      <c r="J130" s="27">
        <f t="shared" si="8"/>
        <v>-502465.87878814712</v>
      </c>
      <c r="K130" s="36">
        <f t="shared" si="9"/>
        <v>-1.9078281350750025E-2</v>
      </c>
      <c r="L130" s="10">
        <f t="shared" si="11"/>
        <v>1.9078281350750025E-2</v>
      </c>
      <c r="M130" s="135">
        <f t="shared" si="12"/>
        <v>252471959346.34497</v>
      </c>
      <c r="N130" s="135">
        <f t="shared" si="13"/>
        <v>439933.39752120152</v>
      </c>
      <c r="O130" s="135">
        <f t="shared" si="14"/>
        <v>193541394254.54752</v>
      </c>
      <c r="P130"/>
    </row>
    <row r="131" spans="1:16" x14ac:dyDescent="0.2">
      <c r="A131" s="43">
        <v>45565</v>
      </c>
      <c r="B131" s="44">
        <f>Inputs!D152</f>
        <v>23770050</v>
      </c>
      <c r="C131" s="44">
        <f t="shared" si="15"/>
        <v>123.35454545454546</v>
      </c>
      <c r="D131" s="99">
        <v>30</v>
      </c>
      <c r="E131" s="109">
        <v>0</v>
      </c>
      <c r="F131" s="130">
        <v>0</v>
      </c>
      <c r="G131" s="137">
        <f>Inputs!G152+Inputs!I152+Inputs!L152</f>
        <v>14736</v>
      </c>
      <c r="H131" s="137">
        <v>0</v>
      </c>
      <c r="I131" s="44">
        <f t="shared" si="10"/>
        <v>23397009.208472759</v>
      </c>
      <c r="J131" s="27">
        <f t="shared" ref="J131:J134" si="16">I131-B131</f>
        <v>-373040.79152724147</v>
      </c>
      <c r="K131" s="36">
        <f t="shared" ref="K131:K134" si="17">J131/B131</f>
        <v>-1.5693731882231693E-2</v>
      </c>
      <c r="L131" s="10">
        <f t="shared" si="11"/>
        <v>1.5693731882231693E-2</v>
      </c>
      <c r="M131" s="135">
        <f t="shared" si="12"/>
        <v>139159432143.27084</v>
      </c>
      <c r="N131" s="135">
        <f t="shared" si="13"/>
        <v>129425.08726090565</v>
      </c>
      <c r="O131" s="135">
        <f t="shared" si="14"/>
        <v>16750853212.493042</v>
      </c>
      <c r="P131"/>
    </row>
    <row r="132" spans="1:16" x14ac:dyDescent="0.2">
      <c r="A132" s="43">
        <v>45596</v>
      </c>
      <c r="B132" s="44">
        <f>Inputs!D153</f>
        <v>24811935</v>
      </c>
      <c r="C132" s="44">
        <f t="shared" si="15"/>
        <v>312.07272727272726</v>
      </c>
      <c r="D132" s="99">
        <v>31</v>
      </c>
      <c r="E132" s="109">
        <v>1</v>
      </c>
      <c r="F132" s="130">
        <v>0</v>
      </c>
      <c r="G132" s="137">
        <f>Inputs!G153+Inputs!I153+Inputs!L153</f>
        <v>14744</v>
      </c>
      <c r="H132" s="137">
        <v>0</v>
      </c>
      <c r="I132" s="44">
        <f t="shared" ref="I132:I146" si="18">$R$18+$R$19*C132+$R$20*D132+$R$21*E132+$R$22*F132+$R$23*G132+$R$24*H132</f>
        <v>25187914.657222368</v>
      </c>
      <c r="J132" s="27">
        <f t="shared" si="16"/>
        <v>375979.65722236782</v>
      </c>
      <c r="K132" s="36">
        <f t="shared" si="17"/>
        <v>1.515317758257741E-2</v>
      </c>
      <c r="L132" s="10">
        <f t="shared" ref="L132:L134" si="19">ABS(K132)</f>
        <v>1.515317758257741E-2</v>
      </c>
      <c r="M132" s="135">
        <f t="shared" ref="M132:M134" si="20">J132*J132</f>
        <v>141360702645.04919</v>
      </c>
      <c r="N132" s="135">
        <f t="shared" si="13"/>
        <v>749020.44874960929</v>
      </c>
      <c r="O132" s="135">
        <f t="shared" si="14"/>
        <v>561031632645.06604</v>
      </c>
      <c r="P132"/>
    </row>
    <row r="133" spans="1:16" x14ac:dyDescent="0.2">
      <c r="A133" s="43">
        <v>45626</v>
      </c>
      <c r="B133" s="44">
        <f>Inputs!D154</f>
        <v>26163462</v>
      </c>
      <c r="C133" s="44">
        <f t="shared" si="15"/>
        <v>496.43636363636364</v>
      </c>
      <c r="D133" s="99">
        <v>30</v>
      </c>
      <c r="E133" s="109">
        <v>1</v>
      </c>
      <c r="F133" s="130">
        <v>0</v>
      </c>
      <c r="G133" s="137">
        <f>Inputs!G154+Inputs!I154+Inputs!L154</f>
        <v>14771</v>
      </c>
      <c r="H133" s="137">
        <v>0</v>
      </c>
      <c r="I133" s="44">
        <f t="shared" si="18"/>
        <v>26907808.811059747</v>
      </c>
      <c r="J133" s="27">
        <f t="shared" si="16"/>
        <v>744346.81105974689</v>
      </c>
      <c r="K133" s="36">
        <f t="shared" si="17"/>
        <v>2.8449859237273219E-2</v>
      </c>
      <c r="L133" s="10">
        <f t="shared" si="19"/>
        <v>2.8449859237273219E-2</v>
      </c>
      <c r="M133" s="135">
        <f t="shared" si="20"/>
        <v>554052175134.81458</v>
      </c>
      <c r="N133" s="135">
        <f t="shared" ref="N133:N134" si="21">J133-J132</f>
        <v>368367.15383737907</v>
      </c>
      <c r="O133" s="135">
        <f t="shared" ref="O133:O134" si="22">N133*N133</f>
        <v>135694360026.2513</v>
      </c>
      <c r="P133"/>
    </row>
    <row r="134" spans="1:16" x14ac:dyDescent="0.2">
      <c r="A134" s="43">
        <v>45657</v>
      </c>
      <c r="B134" s="44">
        <f>Inputs!D155</f>
        <v>31129577</v>
      </c>
      <c r="C134" s="44">
        <f t="shared" si="15"/>
        <v>679.73636363636365</v>
      </c>
      <c r="D134" s="99">
        <v>31</v>
      </c>
      <c r="E134" s="109">
        <v>0</v>
      </c>
      <c r="F134" s="130">
        <v>0</v>
      </c>
      <c r="G134" s="137">
        <f>Inputs!G155+Inputs!I155+Inputs!L155</f>
        <v>14773</v>
      </c>
      <c r="H134" s="137">
        <v>0</v>
      </c>
      <c r="I134" s="44">
        <f t="shared" si="18"/>
        <v>30747768.231248703</v>
      </c>
      <c r="J134" s="27">
        <f t="shared" si="16"/>
        <v>-381808.76875129715</v>
      </c>
      <c r="K134" s="36">
        <f t="shared" si="17"/>
        <v>-1.2265144776984831E-2</v>
      </c>
      <c r="L134" s="10">
        <f t="shared" si="19"/>
        <v>1.2265144776984831E-2</v>
      </c>
      <c r="M134" s="135">
        <f t="shared" si="20"/>
        <v>145777935895.3815</v>
      </c>
      <c r="N134" s="135">
        <f t="shared" si="21"/>
        <v>-1126155.579811044</v>
      </c>
      <c r="O134" s="135">
        <f t="shared" si="22"/>
        <v>1268226389939.5488</v>
      </c>
      <c r="P134"/>
    </row>
    <row r="135" spans="1:16" x14ac:dyDescent="0.2">
      <c r="A135" s="43">
        <v>45688</v>
      </c>
      <c r="B135" s="44"/>
      <c r="C135" s="44">
        <f t="shared" si="15"/>
        <v>834.24545454545466</v>
      </c>
      <c r="D135" s="99">
        <v>31</v>
      </c>
      <c r="E135" s="109">
        <v>0</v>
      </c>
      <c r="F135" s="130">
        <v>0</v>
      </c>
      <c r="G135" s="137">
        <f>'Rate Class Customer Model'!O4</f>
        <v>14774.001235799718</v>
      </c>
      <c r="H135" s="137">
        <v>0</v>
      </c>
      <c r="I135" s="44">
        <f t="shared" si="18"/>
        <v>32626529.947933227</v>
      </c>
      <c r="J135" s="27"/>
      <c r="K135" s="38" t="s">
        <v>51</v>
      </c>
      <c r="L135" s="4">
        <f>AVERAGE(L3:L134)</f>
        <v>3.4934108673926351E-2</v>
      </c>
      <c r="M135" s="5">
        <f>SUM(M3:M134)</f>
        <v>201523667528195.22</v>
      </c>
      <c r="N135" s="135"/>
      <c r="O135" s="5">
        <f>SUM(O3:O134)</f>
        <v>220687857384421.88</v>
      </c>
      <c r="P135"/>
    </row>
    <row r="136" spans="1:16" x14ac:dyDescent="0.2">
      <c r="A136" s="43">
        <v>45716</v>
      </c>
      <c r="B136" s="44"/>
      <c r="C136" s="44">
        <f t="shared" si="15"/>
        <v>763.4909090909091</v>
      </c>
      <c r="D136" s="99">
        <v>28</v>
      </c>
      <c r="E136" s="109">
        <v>0</v>
      </c>
      <c r="F136" s="130">
        <v>0</v>
      </c>
      <c r="G136" s="137">
        <f>'Rate Class Customer Model'!O5</f>
        <v>14792.258942365021</v>
      </c>
      <c r="H136" s="137">
        <v>0</v>
      </c>
      <c r="I136" s="44">
        <f t="shared" si="18"/>
        <v>30137547.82694909</v>
      </c>
      <c r="J136" s="27"/>
      <c r="K136"/>
      <c r="L136"/>
      <c r="M136"/>
      <c r="N136" s="135"/>
      <c r="O136"/>
      <c r="P136"/>
    </row>
    <row r="137" spans="1:16" x14ac:dyDescent="0.2">
      <c r="A137" s="43">
        <v>45747</v>
      </c>
      <c r="B137" s="44"/>
      <c r="C137" s="44">
        <f t="shared" si="15"/>
        <v>663.67272727272734</v>
      </c>
      <c r="D137" s="99">
        <v>31</v>
      </c>
      <c r="E137" s="109">
        <v>1</v>
      </c>
      <c r="F137" s="130">
        <v>0</v>
      </c>
      <c r="G137" s="137">
        <f>'Rate Class Customer Model'!O6</f>
        <v>14810.539211798952</v>
      </c>
      <c r="H137" s="137">
        <v>0</v>
      </c>
      <c r="I137" s="44">
        <f t="shared" si="18"/>
        <v>29532162.561014451</v>
      </c>
      <c r="J137" s="27"/>
      <c r="K137"/>
      <c r="L137"/>
      <c r="M137"/>
      <c r="N137" s="135"/>
      <c r="O137"/>
      <c r="P137"/>
    </row>
    <row r="138" spans="1:16" x14ac:dyDescent="0.2">
      <c r="A138" s="43">
        <v>45777</v>
      </c>
      <c r="B138" s="44"/>
      <c r="C138" s="44">
        <f t="shared" si="15"/>
        <v>423.24545454545455</v>
      </c>
      <c r="D138" s="99">
        <v>30</v>
      </c>
      <c r="E138" s="109">
        <v>1</v>
      </c>
      <c r="F138" s="130">
        <v>0</v>
      </c>
      <c r="G138" s="137">
        <f>'Rate Class Customer Model'!O7</f>
        <v>14828.8420719847</v>
      </c>
      <c r="H138" s="137">
        <v>0</v>
      </c>
      <c r="I138" s="44">
        <f t="shared" si="18"/>
        <v>26080410.404379029</v>
      </c>
      <c r="J138" s="27"/>
      <c r="K138"/>
      <c r="L138"/>
      <c r="M138"/>
      <c r="N138" s="135"/>
      <c r="O138"/>
      <c r="P138"/>
    </row>
    <row r="139" spans="1:16" x14ac:dyDescent="0.2">
      <c r="A139" s="43">
        <v>45808</v>
      </c>
      <c r="B139" s="44"/>
      <c r="C139" s="44">
        <f t="shared" si="15"/>
        <v>211.25454545454542</v>
      </c>
      <c r="D139" s="99">
        <v>31</v>
      </c>
      <c r="E139" s="109">
        <v>1</v>
      </c>
      <c r="F139" s="130">
        <v>0</v>
      </c>
      <c r="G139" s="137">
        <f>'Rate Class Customer Model'!O8</f>
        <v>14847.167550839909</v>
      </c>
      <c r="H139" s="137">
        <v>0</v>
      </c>
      <c r="I139" s="44">
        <f t="shared" si="18"/>
        <v>24073404.910090193</v>
      </c>
      <c r="J139" s="27"/>
      <c r="K139"/>
      <c r="L139"/>
      <c r="M139"/>
      <c r="N139" s="135"/>
      <c r="O139"/>
      <c r="P139"/>
    </row>
    <row r="140" spans="1:16" x14ac:dyDescent="0.2">
      <c r="A140" s="43">
        <v>45838</v>
      </c>
      <c r="B140" s="44"/>
      <c r="C140" s="44">
        <f t="shared" si="15"/>
        <v>79.27272727272728</v>
      </c>
      <c r="D140" s="99">
        <v>30</v>
      </c>
      <c r="E140" s="109">
        <v>0</v>
      </c>
      <c r="F140" s="130">
        <v>0</v>
      </c>
      <c r="G140" s="137">
        <f>'Rate Class Customer Model'!O9</f>
        <v>14865.515676316727</v>
      </c>
      <c r="H140" s="137">
        <v>0</v>
      </c>
      <c r="I140" s="44">
        <f t="shared" si="18"/>
        <v>23000264.070887029</v>
      </c>
      <c r="J140" s="27"/>
      <c r="K140"/>
      <c r="L140"/>
      <c r="M140"/>
      <c r="N140" s="135"/>
      <c r="O140"/>
      <c r="P140"/>
    </row>
    <row r="141" spans="1:16" x14ac:dyDescent="0.2">
      <c r="A141" s="43">
        <v>45869</v>
      </c>
      <c r="B141" s="44"/>
      <c r="C141" s="44">
        <f t="shared" si="15"/>
        <v>27.636363636363637</v>
      </c>
      <c r="D141" s="99">
        <v>31</v>
      </c>
      <c r="E141" s="109">
        <v>0</v>
      </c>
      <c r="F141" s="130">
        <v>1</v>
      </c>
      <c r="G141" s="137">
        <f>'Rate Class Customer Model'!O10</f>
        <v>14883.88647640184</v>
      </c>
      <c r="H141" s="137">
        <v>0</v>
      </c>
      <c r="I141" s="44">
        <f t="shared" si="18"/>
        <v>25866939.779340193</v>
      </c>
      <c r="J141" s="27"/>
      <c r="K141"/>
      <c r="L141"/>
      <c r="M141"/>
      <c r="N141" s="135"/>
      <c r="O141"/>
      <c r="P141"/>
    </row>
    <row r="142" spans="1:16" x14ac:dyDescent="0.2">
      <c r="A142" s="43">
        <v>45900</v>
      </c>
      <c r="B142" s="44"/>
      <c r="C142" s="44">
        <f t="shared" si="15"/>
        <v>40.327272727272721</v>
      </c>
      <c r="D142" s="99">
        <v>31</v>
      </c>
      <c r="E142" s="109">
        <v>0</v>
      </c>
      <c r="F142" s="130">
        <v>1</v>
      </c>
      <c r="G142" s="137">
        <f>'Rate Class Customer Model'!O11</f>
        <v>14902.279979116522</v>
      </c>
      <c r="H142" s="137">
        <v>0</v>
      </c>
      <c r="I142" s="44">
        <f t="shared" si="18"/>
        <v>26040902.62269019</v>
      </c>
      <c r="J142" s="27"/>
      <c r="K142"/>
      <c r="L142"/>
      <c r="M142"/>
      <c r="N142" s="135"/>
      <c r="O142"/>
      <c r="P142"/>
    </row>
    <row r="143" spans="1:16" x14ac:dyDescent="0.2">
      <c r="A143" s="43">
        <v>45930</v>
      </c>
      <c r="B143" s="44"/>
      <c r="C143" s="44">
        <f t="shared" si="15"/>
        <v>123.35454545454546</v>
      </c>
      <c r="D143" s="99">
        <v>30</v>
      </c>
      <c r="E143" s="109">
        <v>0</v>
      </c>
      <c r="F143" s="130">
        <v>0</v>
      </c>
      <c r="G143" s="137">
        <f>'Rate Class Customer Model'!O12</f>
        <v>14920.696212516677</v>
      </c>
      <c r="H143" s="137">
        <v>0</v>
      </c>
      <c r="I143" s="44">
        <f t="shared" si="18"/>
        <v>23595178.719493579</v>
      </c>
      <c r="J143" s="27"/>
      <c r="K143"/>
      <c r="L143"/>
      <c r="M143"/>
      <c r="N143" s="135"/>
      <c r="O143"/>
      <c r="P143"/>
    </row>
    <row r="144" spans="1:16" x14ac:dyDescent="0.2">
      <c r="A144" s="43">
        <v>45961</v>
      </c>
      <c r="B144" s="44"/>
      <c r="C144" s="44">
        <f t="shared" ref="C144:C146" si="23">C132</f>
        <v>312.07272727272726</v>
      </c>
      <c r="D144" s="99">
        <v>31</v>
      </c>
      <c r="E144" s="109">
        <v>1</v>
      </c>
      <c r="F144" s="130">
        <v>0</v>
      </c>
      <c r="G144" s="137">
        <f>'Rate Class Customer Model'!O13</f>
        <v>14939.135204692881</v>
      </c>
      <c r="H144" s="137">
        <v>0</v>
      </c>
      <c r="I144" s="44">
        <f t="shared" si="18"/>
        <v>25397284.668496665</v>
      </c>
      <c r="J144" s="27"/>
      <c r="K144"/>
      <c r="L144"/>
      <c r="M144"/>
      <c r="N144" s="135"/>
      <c r="O144"/>
      <c r="P144"/>
    </row>
    <row r="145" spans="1:16" x14ac:dyDescent="0.2">
      <c r="A145" s="43">
        <v>45991</v>
      </c>
      <c r="B145" s="44"/>
      <c r="C145" s="44">
        <f t="shared" si="23"/>
        <v>496.43636363636364</v>
      </c>
      <c r="D145" s="99">
        <v>30</v>
      </c>
      <c r="E145" s="109">
        <v>1</v>
      </c>
      <c r="F145" s="130">
        <v>0</v>
      </c>
      <c r="G145" s="137">
        <f>'Rate Class Customer Model'!O14</f>
        <v>14957.596983770422</v>
      </c>
      <c r="H145" s="137">
        <v>0</v>
      </c>
      <c r="I145" s="44">
        <f t="shared" si="18"/>
        <v>27108017.751610741</v>
      </c>
      <c r="J145" s="27"/>
      <c r="N145" s="135"/>
      <c r="P145"/>
    </row>
    <row r="146" spans="1:16" x14ac:dyDescent="0.2">
      <c r="A146" s="43">
        <v>46022</v>
      </c>
      <c r="B146" s="44"/>
      <c r="C146" s="44">
        <f t="shared" si="23"/>
        <v>679.73636363636365</v>
      </c>
      <c r="D146" s="99">
        <v>31</v>
      </c>
      <c r="E146" s="109">
        <v>0</v>
      </c>
      <c r="F146" s="130">
        <v>0</v>
      </c>
      <c r="G146" s="137">
        <f>'Rate Class Customer Model'!O15</f>
        <v>14976.081577909345</v>
      </c>
      <c r="H146" s="137">
        <v>0</v>
      </c>
      <c r="I146" s="44">
        <f t="shared" si="18"/>
        <v>30965664.291180078</v>
      </c>
      <c r="J146" s="27"/>
      <c r="N146" s="135"/>
      <c r="P146"/>
    </row>
    <row r="147" spans="1:16" x14ac:dyDescent="0.2">
      <c r="A147" s="28"/>
      <c r="D147" s="8"/>
      <c r="E147" s="53"/>
      <c r="P147"/>
    </row>
    <row r="148" spans="1:16" x14ac:dyDescent="0.2">
      <c r="A148" s="28"/>
      <c r="D148" s="8"/>
      <c r="E148" s="53"/>
      <c r="P148"/>
    </row>
    <row r="149" spans="1:16" x14ac:dyDescent="0.2">
      <c r="A149" s="28"/>
      <c r="C149" s="101" t="s">
        <v>123</v>
      </c>
      <c r="D149" s="8"/>
      <c r="E149" s="53"/>
      <c r="L149" s="47" t="s">
        <v>140</v>
      </c>
      <c r="P149"/>
    </row>
    <row r="150" spans="1:16" x14ac:dyDescent="0.2">
      <c r="A150" s="28"/>
      <c r="C150" s="102" t="s">
        <v>89</v>
      </c>
      <c r="D150" s="8"/>
      <c r="E150" s="53"/>
      <c r="I150" s="27">
        <f>SUM(I2:I146)</f>
        <v>3740717463.0240631</v>
      </c>
      <c r="L150" s="47" t="s">
        <v>142</v>
      </c>
      <c r="P150"/>
    </row>
    <row r="151" spans="1:16" x14ac:dyDescent="0.2">
      <c r="A151" s="28"/>
      <c r="D151" s="8"/>
      <c r="E151" s="53"/>
      <c r="L151" s="47" t="s">
        <v>141</v>
      </c>
      <c r="P151"/>
    </row>
    <row r="152" spans="1:16" x14ac:dyDescent="0.2">
      <c r="A152" s="22">
        <v>2014</v>
      </c>
      <c r="B152" s="5">
        <f>SUM(B3:B14)</f>
        <v>319149657</v>
      </c>
      <c r="I152" s="5">
        <f>SUM(I3:I14)</f>
        <v>303402027.78356653</v>
      </c>
      <c r="J152" s="31">
        <f>'Power Purchased Model'!I152</f>
        <v>309053650.44764197</v>
      </c>
      <c r="K152"/>
      <c r="L152" s="4">
        <f>I152/J152</f>
        <v>0.98171313409212457</v>
      </c>
      <c r="M152"/>
      <c r="N152" s="4"/>
      <c r="O152" s="4"/>
      <c r="P152"/>
    </row>
    <row r="153" spans="1:16" x14ac:dyDescent="0.2">
      <c r="A153" s="22">
        <v>2015</v>
      </c>
      <c r="B153" s="5">
        <f>SUM(B15:B26)</f>
        <v>308961454</v>
      </c>
      <c r="G153" s="36"/>
      <c r="H153" s="36"/>
      <c r="I153" s="5">
        <f>SUM(I15:I26)</f>
        <v>304267897.16558957</v>
      </c>
      <c r="J153" s="31">
        <f>'Power Purchased Model'!I153</f>
        <v>306881369.40230405</v>
      </c>
      <c r="K153"/>
      <c r="L153" s="4">
        <f t="shared" ref="L153:L162" si="24">I153/J153</f>
        <v>0.99148377028620338</v>
      </c>
      <c r="M153"/>
      <c r="N153" s="4"/>
      <c r="O153" s="4"/>
      <c r="P153"/>
    </row>
    <row r="154" spans="1:16" x14ac:dyDescent="0.2">
      <c r="A154" s="22">
        <v>2016</v>
      </c>
      <c r="B154" s="5">
        <f>SUM(B27:B38)</f>
        <v>302232068</v>
      </c>
      <c r="G154" s="36"/>
      <c r="H154" s="36"/>
      <c r="I154" s="5">
        <f>SUM(I27:I38)</f>
        <v>305539564.75432801</v>
      </c>
      <c r="J154" s="31">
        <f>'Power Purchased Model'!I154</f>
        <v>303651713.3178646</v>
      </c>
      <c r="K154"/>
      <c r="L154" s="4">
        <f t="shared" si="24"/>
        <v>1.0062171604956076</v>
      </c>
      <c r="M154"/>
      <c r="N154" s="4"/>
      <c r="O154" s="4"/>
      <c r="P154"/>
    </row>
    <row r="155" spans="1:16" x14ac:dyDescent="0.2">
      <c r="A155" s="22">
        <v>2017</v>
      </c>
      <c r="B155" s="5">
        <f>SUM(B39:B50)</f>
        <v>297287399</v>
      </c>
      <c r="G155" s="36"/>
      <c r="H155" s="36"/>
      <c r="I155" s="5">
        <f>SUM(I39:I50)</f>
        <v>306092982.44293922</v>
      </c>
      <c r="J155" s="31">
        <f>'Power Purchased Model'!I155</f>
        <v>304745921.78254604</v>
      </c>
      <c r="K155"/>
      <c r="L155" s="4">
        <f t="shared" si="24"/>
        <v>1.0044202746094644</v>
      </c>
      <c r="M155"/>
      <c r="N155" s="4"/>
      <c r="O155" s="4"/>
      <c r="P155"/>
    </row>
    <row r="156" spans="1:16" x14ac:dyDescent="0.2">
      <c r="A156" s="22">
        <v>2018</v>
      </c>
      <c r="B156" s="5">
        <f>SUM(B51:B62)</f>
        <v>309247473</v>
      </c>
      <c r="G156" s="36"/>
      <c r="H156" s="36"/>
      <c r="I156" s="5">
        <f>SUM(I51:I62)</f>
        <v>307817210.56798369</v>
      </c>
      <c r="J156" s="31">
        <f>'Power Purchased Model'!I156</f>
        <v>310470786.39033937</v>
      </c>
      <c r="K156"/>
      <c r="L156" s="4">
        <f t="shared" si="24"/>
        <v>0.99145305794078975</v>
      </c>
      <c r="M156"/>
      <c r="N156" s="4"/>
      <c r="O156" s="4"/>
      <c r="P156"/>
    </row>
    <row r="157" spans="1:16" x14ac:dyDescent="0.2">
      <c r="A157" s="22">
        <v>2019</v>
      </c>
      <c r="B157" s="5">
        <f>SUM(B63:B74)</f>
        <v>309952095.46999997</v>
      </c>
      <c r="G157" s="36"/>
      <c r="H157" s="36"/>
      <c r="I157" s="5">
        <f>SUM(I63:I74)</f>
        <v>309565043.55846137</v>
      </c>
      <c r="J157" s="31">
        <f>'Power Purchased Model'!I157</f>
        <v>315285936.05228049</v>
      </c>
      <c r="K157"/>
      <c r="L157" s="4">
        <f t="shared" si="24"/>
        <v>0.98185490743592674</v>
      </c>
      <c r="M157"/>
      <c r="N157" s="4"/>
      <c r="O157" s="4"/>
      <c r="P157"/>
    </row>
    <row r="158" spans="1:16" x14ac:dyDescent="0.2">
      <c r="A158" s="22">
        <v>2020</v>
      </c>
      <c r="B158" s="5">
        <f>SUM(B75:B86)</f>
        <v>304387702</v>
      </c>
      <c r="G158" s="36"/>
      <c r="H158" s="36"/>
      <c r="I158" s="5">
        <f>SUM(I75:I86)</f>
        <v>307792642.10107827</v>
      </c>
      <c r="J158" s="31">
        <f>'Power Purchased Model'!I158</f>
        <v>307539315.59453505</v>
      </c>
      <c r="K158"/>
      <c r="L158" s="4">
        <f t="shared" si="24"/>
        <v>1.0008237207202386</v>
      </c>
      <c r="M158"/>
      <c r="N158" s="4"/>
      <c r="O158" s="4"/>
      <c r="P158"/>
    </row>
    <row r="159" spans="1:16" x14ac:dyDescent="0.2">
      <c r="A159" s="22">
        <v>2021</v>
      </c>
      <c r="B159" s="5">
        <f>SUM(B87:B98)</f>
        <v>309941422</v>
      </c>
      <c r="G159" s="36"/>
      <c r="H159" s="36"/>
      <c r="I159" s="5">
        <f>SUM(I87:I98)</f>
        <v>313772074.34769577</v>
      </c>
      <c r="J159" s="31">
        <f>'Power Purchased Model'!I159</f>
        <v>310944826.79909241</v>
      </c>
      <c r="K159"/>
      <c r="L159" s="4">
        <f t="shared" si="24"/>
        <v>1.0090924411822748</v>
      </c>
      <c r="M159"/>
      <c r="N159" s="4"/>
      <c r="O159" s="4"/>
      <c r="P159"/>
    </row>
    <row r="160" spans="1:16" x14ac:dyDescent="0.2">
      <c r="A160" s="22">
        <v>2022</v>
      </c>
      <c r="B160" s="5">
        <f>SUM(B99:B110)</f>
        <v>322673989</v>
      </c>
      <c r="G160" s="36"/>
      <c r="H160" s="36"/>
      <c r="I160" s="5">
        <f>SUM(I99:I110)</f>
        <v>316329983.40189999</v>
      </c>
      <c r="J160" s="31">
        <f>'Power Purchased Model'!I160</f>
        <v>317030636.12954813</v>
      </c>
      <c r="K160"/>
      <c r="L160" s="4">
        <f t="shared" si="24"/>
        <v>0.99778995261719172</v>
      </c>
      <c r="M160"/>
      <c r="N160" s="4"/>
      <c r="O160" s="4"/>
      <c r="P160"/>
    </row>
    <row r="161" spans="1:18" x14ac:dyDescent="0.2">
      <c r="A161" s="22">
        <v>2023</v>
      </c>
      <c r="B161" s="5">
        <f>SUM(B111:B122)</f>
        <v>315137434</v>
      </c>
      <c r="G161" s="36"/>
      <c r="H161" s="36"/>
      <c r="I161" s="5">
        <f>SUM(I111:I122)</f>
        <v>319105700.98714596</v>
      </c>
      <c r="J161" s="31">
        <f>'Power Purchased Model'!I161</f>
        <v>315136108.87785494</v>
      </c>
      <c r="K161"/>
      <c r="L161" s="4">
        <f t="shared" si="24"/>
        <v>1.0125964368965081</v>
      </c>
      <c r="M161"/>
      <c r="N161" s="4"/>
      <c r="O161" s="4"/>
      <c r="P161"/>
    </row>
    <row r="162" spans="1:18" x14ac:dyDescent="0.2">
      <c r="A162" s="22">
        <v>2024</v>
      </c>
      <c r="B162" s="5">
        <f>SUM(B123:B134)</f>
        <v>317322462</v>
      </c>
      <c r="G162" s="36"/>
      <c r="H162" s="36"/>
      <c r="I162" s="5">
        <f>SUM(I123:I134)</f>
        <v>322608028.35931164</v>
      </c>
      <c r="J162" s="31">
        <f>'Power Purchased Model'!I162</f>
        <v>315552890.67599291</v>
      </c>
      <c r="K162"/>
      <c r="L162" s="4">
        <f t="shared" si="24"/>
        <v>1.0223580195009618</v>
      </c>
      <c r="M162"/>
      <c r="N162" s="4"/>
      <c r="O162" s="4"/>
      <c r="P162"/>
    </row>
    <row r="163" spans="1:18" x14ac:dyDescent="0.2">
      <c r="A163" s="22">
        <v>2025</v>
      </c>
      <c r="G163" s="36"/>
      <c r="H163" s="36"/>
      <c r="I163" s="13">
        <f>SUM(I135:I146)</f>
        <v>324424307.55406445</v>
      </c>
      <c r="J163" s="31"/>
      <c r="K163" s="4"/>
      <c r="L163" s="4"/>
      <c r="M163" s="4"/>
      <c r="N163" s="4"/>
      <c r="O163" s="4"/>
      <c r="P163"/>
      <c r="Q163" s="5"/>
      <c r="R163" s="31"/>
    </row>
    <row r="164" spans="1:18" x14ac:dyDescent="0.2">
      <c r="I164" s="5"/>
      <c r="P164"/>
      <c r="Q164" s="5"/>
      <c r="R164" s="31"/>
    </row>
    <row r="165" spans="1:18" x14ac:dyDescent="0.2">
      <c r="A165" s="37" t="s">
        <v>5</v>
      </c>
      <c r="B165" s="5">
        <f>SUM(B152:B162)</f>
        <v>3416293155.4700003</v>
      </c>
      <c r="I165" s="5">
        <f>SUM(I152:I162)</f>
        <v>3416293155.4699998</v>
      </c>
      <c r="J165" s="27">
        <f>I165-B165</f>
        <v>0</v>
      </c>
      <c r="K165" s="1" t="s">
        <v>64</v>
      </c>
      <c r="P165" s="4"/>
      <c r="Q165" s="5"/>
      <c r="R165" s="31"/>
    </row>
    <row r="166" spans="1:18" x14ac:dyDescent="0.2">
      <c r="P166" s="4"/>
      <c r="Q166" s="5"/>
      <c r="R166" s="31"/>
    </row>
    <row r="167" spans="1:18" x14ac:dyDescent="0.2">
      <c r="I167" s="5">
        <f>SUM(I152:I163)</f>
        <v>3740717463.0240641</v>
      </c>
      <c r="J167" s="27">
        <f>I150-I167</f>
        <v>0</v>
      </c>
      <c r="P167" s="4"/>
      <c r="Q167" s="5"/>
      <c r="R167" s="31"/>
    </row>
    <row r="168" spans="1:18" x14ac:dyDescent="0.2">
      <c r="I168" s="157"/>
      <c r="J168" s="157"/>
      <c r="K168"/>
      <c r="L168"/>
      <c r="M168"/>
      <c r="N168"/>
      <c r="O168"/>
      <c r="P168" s="4"/>
      <c r="Q168" s="5"/>
      <c r="R168" s="31"/>
    </row>
    <row r="169" spans="1:18" x14ac:dyDescent="0.2">
      <c r="P169" s="5"/>
      <c r="Q169" s="5"/>
      <c r="R169" s="31"/>
    </row>
    <row r="170" spans="1:18" x14ac:dyDescent="0.2">
      <c r="P170" s="5"/>
      <c r="Q170" s="5"/>
      <c r="R170" s="31"/>
    </row>
    <row r="171" spans="1:18" x14ac:dyDescent="0.2">
      <c r="A171"/>
      <c r="B171"/>
      <c r="C171"/>
      <c r="D171"/>
      <c r="F171"/>
      <c r="G171"/>
      <c r="H171"/>
      <c r="I171"/>
      <c r="J171"/>
    </row>
    <row r="172" spans="1:18" x14ac:dyDescent="0.2">
      <c r="A172"/>
      <c r="B172" t="s">
        <v>100</v>
      </c>
      <c r="C172"/>
      <c r="D172"/>
      <c r="F172"/>
      <c r="G172"/>
      <c r="H172"/>
      <c r="I172"/>
      <c r="J172"/>
    </row>
    <row r="173" spans="1:18" x14ac:dyDescent="0.2">
      <c r="A173"/>
      <c r="B173"/>
      <c r="C173"/>
      <c r="D173"/>
      <c r="F173"/>
      <c r="G173"/>
      <c r="H173"/>
      <c r="I173"/>
      <c r="J173"/>
    </row>
    <row r="174" spans="1:18" x14ac:dyDescent="0.2">
      <c r="A174"/>
      <c r="B174"/>
      <c r="C174"/>
      <c r="D174"/>
      <c r="F174"/>
      <c r="G174"/>
      <c r="H174"/>
      <c r="I174"/>
      <c r="J174"/>
    </row>
    <row r="175" spans="1:18" x14ac:dyDescent="0.2">
      <c r="A175"/>
      <c r="B175"/>
      <c r="C175"/>
      <c r="D175"/>
      <c r="F175"/>
      <c r="G175"/>
      <c r="H175"/>
      <c r="I175"/>
      <c r="J175"/>
    </row>
    <row r="176" spans="1:18" x14ac:dyDescent="0.2">
      <c r="A176"/>
      <c r="B176"/>
      <c r="C176"/>
      <c r="D176"/>
      <c r="F176"/>
      <c r="G176"/>
      <c r="H176" s="146"/>
      <c r="I176"/>
      <c r="J176"/>
    </row>
    <row r="177" spans="1:16" x14ac:dyDescent="0.2">
      <c r="A177"/>
      <c r="B177"/>
      <c r="C177"/>
      <c r="D177"/>
      <c r="F177"/>
      <c r="G177"/>
      <c r="H177"/>
      <c r="I177"/>
      <c r="J177"/>
    </row>
    <row r="178" spans="1:16" x14ac:dyDescent="0.2">
      <c r="A178"/>
      <c r="B178"/>
      <c r="C178"/>
      <c r="D178"/>
      <c r="F178"/>
      <c r="G178"/>
      <c r="H178"/>
      <c r="I178"/>
      <c r="J178"/>
    </row>
    <row r="179" spans="1:16" x14ac:dyDescent="0.2">
      <c r="A179"/>
      <c r="B179"/>
      <c r="C179"/>
      <c r="D179"/>
      <c r="F179"/>
      <c r="G179"/>
      <c r="H179"/>
      <c r="I179"/>
      <c r="J179"/>
      <c r="K179"/>
      <c r="L179"/>
      <c r="M179"/>
      <c r="N179"/>
      <c r="O179"/>
      <c r="P179"/>
    </row>
    <row r="180" spans="1:16" x14ac:dyDescent="0.2">
      <c r="A180"/>
      <c r="B180"/>
      <c r="C180"/>
      <c r="D180"/>
      <c r="F180"/>
      <c r="G180"/>
      <c r="H180"/>
      <c r="I180"/>
      <c r="J180"/>
      <c r="K180"/>
      <c r="L180"/>
      <c r="M180"/>
      <c r="N180"/>
      <c r="O180"/>
      <c r="P180"/>
    </row>
    <row r="181" spans="1:16" x14ac:dyDescent="0.2">
      <c r="A181"/>
      <c r="B181"/>
      <c r="C181"/>
      <c r="D181"/>
      <c r="F181"/>
      <c r="G181"/>
      <c r="H181"/>
      <c r="I181"/>
      <c r="J181"/>
      <c r="K181"/>
      <c r="L181"/>
      <c r="M181"/>
      <c r="N181"/>
      <c r="O181"/>
      <c r="P181"/>
    </row>
    <row r="182" spans="1:16" x14ac:dyDescent="0.2">
      <c r="A182"/>
      <c r="B182"/>
      <c r="C182"/>
      <c r="D182"/>
      <c r="F182"/>
      <c r="G182"/>
      <c r="H182"/>
      <c r="I182"/>
      <c r="J182"/>
      <c r="K182"/>
      <c r="L182"/>
      <c r="M182"/>
      <c r="N182"/>
      <c r="O182"/>
      <c r="P182"/>
    </row>
    <row r="183" spans="1:16" x14ac:dyDescent="0.2">
      <c r="A183"/>
      <c r="B183"/>
      <c r="C183"/>
      <c r="D183"/>
      <c r="F183"/>
      <c r="G183"/>
      <c r="H183"/>
      <c r="I183"/>
      <c r="J183"/>
      <c r="K183"/>
      <c r="L183"/>
      <c r="M183"/>
      <c r="N183"/>
      <c r="O183"/>
      <c r="P183"/>
    </row>
    <row r="184" spans="1:16" x14ac:dyDescent="0.2">
      <c r="A184"/>
      <c r="K184"/>
      <c r="L184"/>
      <c r="M184"/>
      <c r="N184"/>
      <c r="O184"/>
      <c r="P184"/>
    </row>
    <row r="185" spans="1:16" x14ac:dyDescent="0.2">
      <c r="A185"/>
      <c r="K185"/>
      <c r="L185"/>
      <c r="M185"/>
      <c r="N185"/>
      <c r="O185"/>
      <c r="P185"/>
    </row>
    <row r="186" spans="1:16" x14ac:dyDescent="0.2">
      <c r="A186"/>
      <c r="K186"/>
      <c r="L186"/>
      <c r="M186"/>
      <c r="N186"/>
      <c r="O186"/>
      <c r="P186"/>
    </row>
    <row r="187" spans="1:16" x14ac:dyDescent="0.2">
      <c r="A187"/>
      <c r="K187"/>
      <c r="L187"/>
      <c r="M187"/>
      <c r="N187"/>
      <c r="O187"/>
      <c r="P187"/>
    </row>
    <row r="188" spans="1:16" x14ac:dyDescent="0.2">
      <c r="A188"/>
      <c r="K188"/>
      <c r="L188"/>
      <c r="M188"/>
      <c r="N188"/>
      <c r="O188"/>
      <c r="P188"/>
    </row>
    <row r="189" spans="1:16" x14ac:dyDescent="0.2">
      <c r="A189"/>
      <c r="K189"/>
      <c r="L189"/>
      <c r="M189"/>
      <c r="N189"/>
      <c r="O189"/>
      <c r="P189"/>
    </row>
    <row r="190" spans="1:16" x14ac:dyDescent="0.2">
      <c r="A190"/>
      <c r="K190"/>
      <c r="L190"/>
      <c r="M190"/>
      <c r="N190"/>
      <c r="O190"/>
      <c r="P190"/>
    </row>
    <row r="191" spans="1:16" x14ac:dyDescent="0.2">
      <c r="A191"/>
      <c r="K191"/>
      <c r="L191"/>
      <c r="M191"/>
      <c r="N191"/>
      <c r="O191"/>
      <c r="P191"/>
    </row>
    <row r="192" spans="1:16" x14ac:dyDescent="0.2">
      <c r="A192"/>
      <c r="K192"/>
      <c r="L192"/>
      <c r="M192"/>
      <c r="N192"/>
      <c r="O192"/>
      <c r="P192"/>
    </row>
    <row r="193" spans="1:16" x14ac:dyDescent="0.2">
      <c r="A193"/>
      <c r="K193"/>
      <c r="L193"/>
      <c r="M193"/>
      <c r="N193"/>
      <c r="O193"/>
      <c r="P193"/>
    </row>
    <row r="194" spans="1:16" x14ac:dyDescent="0.2">
      <c r="A194"/>
      <c r="K194"/>
      <c r="L194"/>
      <c r="M194"/>
      <c r="N194"/>
      <c r="O194"/>
      <c r="P194"/>
    </row>
    <row r="195" spans="1:16" customFormat="1" x14ac:dyDescent="0.2">
      <c r="E195" s="52"/>
    </row>
    <row r="196" spans="1:16" customFormat="1" x14ac:dyDescent="0.2">
      <c r="E196" s="52"/>
    </row>
  </sheetData>
  <mergeCells count="1">
    <mergeCell ref="I168:J168"/>
  </mergeCells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2:U63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7" sqref="E37"/>
    </sheetView>
  </sheetViews>
  <sheetFormatPr defaultRowHeight="12.75" x14ac:dyDescent="0.2"/>
  <cols>
    <col min="1" max="1" width="21.5703125" customWidth="1"/>
    <col min="2" max="5" width="18" style="1" customWidth="1"/>
    <col min="6" max="6" width="15.5703125" style="1" customWidth="1"/>
    <col min="7" max="7" width="15.5703125" style="5" customWidth="1"/>
    <col min="8" max="8" width="15" style="5" customWidth="1"/>
    <col min="9" max="10" width="14.140625" style="5" bestFit="1" customWidth="1"/>
    <col min="11" max="11" width="11.42578125" style="5" customWidth="1"/>
    <col min="12" max="12" width="12.42578125" style="5" customWidth="1"/>
    <col min="13" max="13" width="16.85546875" style="5" bestFit="1" customWidth="1"/>
    <col min="14" max="15" width="16.85546875" customWidth="1"/>
    <col min="16" max="16" width="14.42578125" customWidth="1"/>
    <col min="17" max="17" width="12.5703125" bestFit="1" customWidth="1"/>
    <col min="18" max="18" width="11.5703125" bestFit="1" customWidth="1"/>
    <col min="19" max="19" width="14" customWidth="1"/>
    <col min="20" max="20" width="10.140625" bestFit="1" customWidth="1"/>
    <col min="21" max="21" width="12.5703125" style="5" bestFit="1" customWidth="1"/>
  </cols>
  <sheetData>
    <row r="2" spans="1:21" s="124" customFormat="1" ht="38.25" x14ac:dyDescent="0.2">
      <c r="B2" s="125" t="s">
        <v>2</v>
      </c>
      <c r="C2" s="125" t="s">
        <v>3</v>
      </c>
      <c r="D2" s="125" t="s">
        <v>28</v>
      </c>
      <c r="E2" s="125" t="s">
        <v>4</v>
      </c>
      <c r="F2" s="125" t="s">
        <v>0</v>
      </c>
      <c r="G2" s="126" t="s">
        <v>1</v>
      </c>
      <c r="H2" s="127" t="str">
        <f>Inputs!B4</f>
        <v>Residential</v>
      </c>
      <c r="I2" s="127" t="str">
        <f>Inputs!C4</f>
        <v>General Service &lt; 50 kW</v>
      </c>
      <c r="J2" s="127" t="str">
        <f>Inputs!D4</f>
        <v>General Service &gt; 50 to 4999 kW</v>
      </c>
      <c r="K2" s="127" t="str">
        <f>Inputs!E4</f>
        <v>USL</v>
      </c>
      <c r="L2" s="127" t="str">
        <f>Inputs!F4</f>
        <v>Sentinel Lighting</v>
      </c>
      <c r="M2" s="127" t="str">
        <f>Inputs!G4</f>
        <v>Street Lighting</v>
      </c>
      <c r="U2" s="128"/>
    </row>
    <row r="3" spans="1:21" x14ac:dyDescent="0.2">
      <c r="A3">
        <v>2014</v>
      </c>
      <c r="B3" s="55">
        <f>+'Power Purchased Model'!B152</f>
        <v>319149657</v>
      </c>
      <c r="C3" s="55">
        <f>+'Power Purchased Model'!I152</f>
        <v>309053650.44764197</v>
      </c>
      <c r="D3" s="21">
        <f>C3-B3</f>
        <v>-10096006.552358031</v>
      </c>
      <c r="E3" s="4">
        <f>D3/B3</f>
        <v>-3.1634082415316622E-2</v>
      </c>
      <c r="F3" s="15">
        <f>1 +(B3-G3)/G3</f>
        <v>1.0731384565559634</v>
      </c>
      <c r="G3" s="5">
        <f t="shared" ref="G3:G11" si="0">SUM(H3:M3)</f>
        <v>297398397.24340039</v>
      </c>
      <c r="H3" s="33">
        <f>SUMIF(Inputs!A$24:A$143,'Rate Class Energy Model'!A3,Inputs!F$24:F$143)</f>
        <v>114433382.22499122</v>
      </c>
      <c r="I3" s="33">
        <f>SUMIF(Inputs!A$24:A$143,'Rate Class Energy Model'!A3,Inputs!H$24:H$143)</f>
        <v>58443482.099599421</v>
      </c>
      <c r="J3" s="33">
        <f>SUMIF(Inputs!A$24:A$143,'Rate Class Energy Model'!A3,Inputs!J$24:J$143)</f>
        <v>121885729.22737581</v>
      </c>
      <c r="K3" s="33">
        <f>SUMIF(Inputs!A$24:A$143,'Rate Class Energy Model'!A3,Inputs!M$24:M$143)</f>
        <v>180165.06688870382</v>
      </c>
      <c r="L3" s="33">
        <f>SUMIF(Inputs!A$24:A$143,'Rate Class Energy Model'!A3,Inputs!O$24:O$143)</f>
        <v>50003.862623739478</v>
      </c>
      <c r="M3" s="33">
        <f>SUMIF(Inputs!A$24:A$143,'Rate Class Energy Model'!A3,Inputs!R$24:R$143)</f>
        <v>2405634.7619215469</v>
      </c>
    </row>
    <row r="4" spans="1:21" x14ac:dyDescent="0.2">
      <c r="A4">
        <v>2015</v>
      </c>
      <c r="B4" s="55">
        <f>+'Power Purchased Model'!B153</f>
        <v>308961454</v>
      </c>
      <c r="C4" s="55">
        <f>+'Power Purchased Model'!I153</f>
        <v>306881369.40230405</v>
      </c>
      <c r="D4" s="21">
        <f t="shared" ref="D4:D11" si="1">C4-B4</f>
        <v>-2080084.5976959467</v>
      </c>
      <c r="E4" s="4">
        <f t="shared" ref="E4:E11" si="2">D4/B4</f>
        <v>-6.732505206607251E-3</v>
      </c>
      <c r="F4" s="15">
        <f>1 +(B4-G4)/G4</f>
        <v>1.0699880223556937</v>
      </c>
      <c r="G4" s="5">
        <f t="shared" si="0"/>
        <v>288752254.73999995</v>
      </c>
      <c r="H4" s="33">
        <f>SUMIF(Inputs!A$24:A$143,'Rate Class Energy Model'!A4,Inputs!F$24:F$143)</f>
        <v>108243956.44</v>
      </c>
      <c r="I4" s="33">
        <f>SUMIF(Inputs!A$24:A$143,'Rate Class Energy Model'!A4,Inputs!H$24:H$143)</f>
        <v>58492111.439999998</v>
      </c>
      <c r="J4" s="33">
        <f>SUMIF(Inputs!A$24:A$143,'Rate Class Energy Model'!A4,Inputs!J$24:J$143)</f>
        <v>119763837.52000001</v>
      </c>
      <c r="K4" s="33">
        <f>SUMIF(Inputs!A$24:A$143,'Rate Class Energy Model'!A4,Inputs!M$24:M$143)</f>
        <v>173556</v>
      </c>
      <c r="L4" s="33">
        <f>SUMIF(Inputs!A$24:A$143,'Rate Class Energy Model'!A4,Inputs!O$24:O$143)</f>
        <v>49108.439999999988</v>
      </c>
      <c r="M4" s="33">
        <f>SUMIF(Inputs!A$24:A$143,'Rate Class Energy Model'!A4,Inputs!R$24:R$143)</f>
        <v>2029684.9000000004</v>
      </c>
    </row>
    <row r="5" spans="1:21" x14ac:dyDescent="0.2">
      <c r="A5">
        <v>2016</v>
      </c>
      <c r="B5" s="55">
        <f>+'Power Purchased Model'!B154</f>
        <v>302232068</v>
      </c>
      <c r="C5" s="55">
        <f>+'Power Purchased Model'!I154</f>
        <v>303651713.3178646</v>
      </c>
      <c r="D5" s="21">
        <f t="shared" si="1"/>
        <v>1419645.3178645968</v>
      </c>
      <c r="E5" s="4">
        <f t="shared" si="2"/>
        <v>4.6972028059729153E-3</v>
      </c>
      <c r="F5" s="15">
        <f>1 +(B5-G5)/G5</f>
        <v>1.0774567014787861</v>
      </c>
      <c r="G5" s="5">
        <f t="shared" si="0"/>
        <v>280505070.49164295</v>
      </c>
      <c r="H5" s="33">
        <f>SUMIF(Inputs!A$24:A$143,'Rate Class Energy Model'!A5,Inputs!F$24:F$143)</f>
        <v>104348161.31</v>
      </c>
      <c r="I5" s="33">
        <f>SUMIF(Inputs!A$24:A$143,'Rate Class Energy Model'!A5,Inputs!H$24:H$143)</f>
        <v>58168701.330000006</v>
      </c>
      <c r="J5" s="33">
        <f>SUMIF(Inputs!A$24:A$143,'Rate Class Energy Model'!A5,Inputs!J$24:J$143)</f>
        <v>116637108.60000002</v>
      </c>
      <c r="K5" s="33">
        <f>SUMIF(Inputs!A$24:A$143,'Rate Class Energy Model'!A5,Inputs!M$24:M$143)</f>
        <v>166068</v>
      </c>
      <c r="L5" s="33">
        <f>SUMIF(Inputs!A$24:A$143,'Rate Class Energy Model'!A5,Inputs!O$24:O$143)</f>
        <v>48745.789999999994</v>
      </c>
      <c r="M5" s="33">
        <f>SUMIF(Inputs!A$24:A$143,'Rate Class Energy Model'!A5,Inputs!R$24:R$143)</f>
        <v>1136285.4616429303</v>
      </c>
    </row>
    <row r="6" spans="1:21" x14ac:dyDescent="0.2">
      <c r="A6">
        <v>2017</v>
      </c>
      <c r="B6" s="55">
        <f>+'Power Purchased Model'!B155</f>
        <v>297287399</v>
      </c>
      <c r="C6" s="55">
        <f>+'Power Purchased Model'!I155</f>
        <v>304745921.78254604</v>
      </c>
      <c r="D6" s="21">
        <f t="shared" si="1"/>
        <v>7458522.7825460434</v>
      </c>
      <c r="E6" s="4">
        <f t="shared" si="2"/>
        <v>2.5088593756865032E-2</v>
      </c>
      <c r="F6" s="15">
        <f t="shared" ref="F6:F11" si="3">1 +(B6-G6)/G6</f>
        <v>1.0633970234257246</v>
      </c>
      <c r="G6" s="5">
        <f t="shared" si="0"/>
        <v>279563881.0820545</v>
      </c>
      <c r="H6" s="33">
        <f>SUMIF(Inputs!A$24:A$143,'Rate Class Energy Model'!A6,Inputs!F$24:F$143)</f>
        <v>103129632.00000001</v>
      </c>
      <c r="I6" s="33">
        <f>SUMIF(Inputs!A$24:A$143,'Rate Class Energy Model'!A6,Inputs!H$24:H$143)</f>
        <v>57585352</v>
      </c>
      <c r="J6" s="33">
        <f>SUMIF(Inputs!A$24:A$143,'Rate Class Energy Model'!A6,Inputs!J$24:J$143)</f>
        <v>117484141.48363943</v>
      </c>
      <c r="K6" s="33">
        <f>SUMIF(Inputs!A$24:A$143,'Rate Class Energy Model'!A6,Inputs!M$24:M$143)</f>
        <v>166068</v>
      </c>
      <c r="L6" s="33">
        <f>SUMIF(Inputs!A$24:A$143,'Rate Class Energy Model'!A6,Inputs!O$24:O$143)</f>
        <v>44233.600000000006</v>
      </c>
      <c r="M6" s="33">
        <f>SUMIF(Inputs!A$24:A$143,'Rate Class Energy Model'!A6,Inputs!R$24:R$143)</f>
        <v>1154453.9984150699</v>
      </c>
    </row>
    <row r="7" spans="1:21" x14ac:dyDescent="0.2">
      <c r="A7">
        <v>2018</v>
      </c>
      <c r="B7" s="55">
        <f>+'Power Purchased Model'!B156</f>
        <v>309247473</v>
      </c>
      <c r="C7" s="55">
        <f>+'Power Purchased Model'!I156</f>
        <v>310470786.39033937</v>
      </c>
      <c r="D7" s="21">
        <f t="shared" si="1"/>
        <v>1223313.3903393745</v>
      </c>
      <c r="E7" s="4">
        <f t="shared" si="2"/>
        <v>3.9557748959823339E-3</v>
      </c>
      <c r="F7" s="15">
        <f t="shared" si="3"/>
        <v>1.0677676409663948</v>
      </c>
      <c r="G7" s="5">
        <f t="shared" si="0"/>
        <v>289620570.18333334</v>
      </c>
      <c r="H7" s="33">
        <f>SUMIF(Inputs!A$24:A$143,'Rate Class Energy Model'!A7,Inputs!F$24:F$143)</f>
        <v>109427085.33333334</v>
      </c>
      <c r="I7" s="33">
        <f>SUMIF(Inputs!A$24:A$143,'Rate Class Energy Model'!A7,Inputs!H$24:H$143)</f>
        <v>59779468</v>
      </c>
      <c r="J7" s="33">
        <f>SUMIF(Inputs!A$24:A$143,'Rate Class Energy Model'!A7,Inputs!J$24:J$143)</f>
        <v>119092478.54999998</v>
      </c>
      <c r="K7" s="33">
        <f>SUMIF(Inputs!A$24:A$143,'Rate Class Energy Model'!A7,Inputs!M$24:M$143)</f>
        <v>166686</v>
      </c>
      <c r="L7" s="33">
        <f>SUMIF(Inputs!A$24:A$143,'Rate Class Energy Model'!A7,Inputs!O$24:O$143)</f>
        <v>40821.300000000003</v>
      </c>
      <c r="M7" s="33">
        <f>SUMIF(Inputs!A$24:A$143,'Rate Class Energy Model'!A7,Inputs!R$24:R$143)</f>
        <v>1114031</v>
      </c>
    </row>
    <row r="8" spans="1:21" x14ac:dyDescent="0.2">
      <c r="A8">
        <v>2019</v>
      </c>
      <c r="B8" s="55">
        <f>+'Power Purchased Model'!B157</f>
        <v>309952095.46999997</v>
      </c>
      <c r="C8" s="55">
        <f>+'Power Purchased Model'!I157</f>
        <v>315285936.05228049</v>
      </c>
      <c r="D8" s="21">
        <f t="shared" si="1"/>
        <v>5333840.5822805166</v>
      </c>
      <c r="E8" s="4">
        <f t="shared" si="2"/>
        <v>1.720859661939848E-2</v>
      </c>
      <c r="F8" s="15">
        <f t="shared" si="3"/>
        <v>1.0693142324087659</v>
      </c>
      <c r="G8" s="5">
        <f t="shared" si="0"/>
        <v>289860628.5</v>
      </c>
      <c r="H8" s="33">
        <f>SUMIF(Inputs!A$24:A$143,'Rate Class Energy Model'!A8,Inputs!F$24:F$143)</f>
        <v>110765686</v>
      </c>
      <c r="I8" s="33">
        <f>SUMIF(Inputs!A$24:A$143,'Rate Class Energy Model'!A8,Inputs!H$24:H$143)</f>
        <v>59276659</v>
      </c>
      <c r="J8" s="33">
        <f>SUMIF(Inputs!A$24:A$143,'Rate Class Energy Model'!A8,Inputs!J$24:J$143)</f>
        <v>118495415</v>
      </c>
      <c r="K8" s="33">
        <f>SUMIF(Inputs!A$24:A$143,'Rate Class Energy Model'!A8,Inputs!M$24:M$143)</f>
        <v>172797</v>
      </c>
      <c r="L8" s="33">
        <f>SUMIF(Inputs!A$24:A$143,'Rate Class Energy Model'!A8,Inputs!O$24:O$143)</f>
        <v>39113.5</v>
      </c>
      <c r="M8" s="33">
        <f>SUMIF(Inputs!A$24:A$143,'Rate Class Energy Model'!A8,Inputs!R$24:R$143)</f>
        <v>1110958</v>
      </c>
    </row>
    <row r="9" spans="1:21" x14ac:dyDescent="0.2">
      <c r="A9">
        <v>2020</v>
      </c>
      <c r="B9" s="55">
        <f>+'Power Purchased Model'!B158</f>
        <v>304387702</v>
      </c>
      <c r="C9" s="55">
        <f>+'Power Purchased Model'!I158</f>
        <v>307539315.59453505</v>
      </c>
      <c r="D9" s="21">
        <f t="shared" si="1"/>
        <v>3151613.5945350528</v>
      </c>
      <c r="E9" s="4">
        <f t="shared" si="2"/>
        <v>1.0353945227836612E-2</v>
      </c>
      <c r="F9" s="15">
        <f t="shared" si="3"/>
        <v>1.0634349594212424</v>
      </c>
      <c r="G9" s="5">
        <f t="shared" si="0"/>
        <v>286230671</v>
      </c>
      <c r="H9" s="33">
        <f>SUMIF(Inputs!A$24:A$143,'Rate Class Energy Model'!A9,Inputs!F$24:F$143)</f>
        <v>112437412</v>
      </c>
      <c r="I9" s="33">
        <f>SUMIF(Inputs!A$24:A$143,'Rate Class Energy Model'!A9,Inputs!H$24:H$143)</f>
        <v>54635310</v>
      </c>
      <c r="J9" s="33">
        <f>SUMIF(Inputs!A$24:A$143,'Rate Class Energy Model'!A9,Inputs!J$24:J$143)</f>
        <v>117859877</v>
      </c>
      <c r="K9" s="33">
        <f>SUMIF(Inputs!A$24:A$143,'Rate Class Energy Model'!A9,Inputs!M$24:M$143)</f>
        <v>173568</v>
      </c>
      <c r="L9" s="33">
        <f>SUMIF(Inputs!A$24:A$143,'Rate Class Energy Model'!A9,Inputs!O$24:O$143)</f>
        <v>37289</v>
      </c>
      <c r="M9" s="33">
        <f>SUMIF(Inputs!A$24:A$143,'Rate Class Energy Model'!A9,Inputs!R$24:R$143)</f>
        <v>1087215</v>
      </c>
    </row>
    <row r="10" spans="1:21" x14ac:dyDescent="0.2">
      <c r="A10">
        <v>2021</v>
      </c>
      <c r="B10" s="55">
        <f>+'Power Purchased Model'!B159</f>
        <v>309941422</v>
      </c>
      <c r="C10" s="55">
        <f>+'Power Purchased Model'!I159</f>
        <v>310944826.79909241</v>
      </c>
      <c r="D10" s="21">
        <f t="shared" si="1"/>
        <v>1003404.799092412</v>
      </c>
      <c r="E10" s="4">
        <f t="shared" si="2"/>
        <v>3.2374014180408966E-3</v>
      </c>
      <c r="F10" s="15">
        <f t="shared" si="3"/>
        <v>1.0678786872223791</v>
      </c>
      <c r="G10" s="5">
        <f t="shared" si="0"/>
        <v>290240292</v>
      </c>
      <c r="H10" s="33">
        <f>SUMIF(Inputs!A$24:A$143,'Rate Class Energy Model'!A10,Inputs!F$24:F$143)</f>
        <v>112958103</v>
      </c>
      <c r="I10" s="33">
        <f>SUMIF(Inputs!A$24:A$143,'Rate Class Energy Model'!A10,Inputs!H$24:H$143)</f>
        <v>56374252</v>
      </c>
      <c r="J10" s="33">
        <f>SUMIF(Inputs!A$24:A$143,'Rate Class Energy Model'!A10,Inputs!J$24:J$143)</f>
        <v>119633612</v>
      </c>
      <c r="K10" s="33">
        <f>SUMIF(Inputs!A$24:A$143,'Rate Class Energy Model'!A10,Inputs!M$24:M$143)</f>
        <v>178362</v>
      </c>
      <c r="L10" s="33">
        <f>SUMIF(Inputs!A$24:A$143,'Rate Class Energy Model'!A10,Inputs!O$24:O$143)</f>
        <v>37046</v>
      </c>
      <c r="M10" s="33">
        <f>SUMIF(Inputs!A$24:A$143,'Rate Class Energy Model'!A10,Inputs!R$24:R$143)</f>
        <v>1058917</v>
      </c>
    </row>
    <row r="11" spans="1:21" x14ac:dyDescent="0.2">
      <c r="A11">
        <v>2022</v>
      </c>
      <c r="B11" s="55">
        <f>+'Power Purchased Model'!B160</f>
        <v>322673989</v>
      </c>
      <c r="C11" s="55">
        <f>+'Power Purchased Model'!I160</f>
        <v>317030636.12954813</v>
      </c>
      <c r="D11" s="21">
        <f t="shared" si="1"/>
        <v>-5643352.8704518676</v>
      </c>
      <c r="E11" s="4">
        <f t="shared" si="2"/>
        <v>-1.7489333081793176E-2</v>
      </c>
      <c r="F11" s="15">
        <f t="shared" si="3"/>
        <v>1.0645713130027064</v>
      </c>
      <c r="G11" s="5">
        <f t="shared" si="0"/>
        <v>303102277</v>
      </c>
      <c r="H11" s="33">
        <f>SUMIF(Inputs!A$24:A$143,'Rate Class Energy Model'!A11,Inputs!F$24:F$143)</f>
        <v>116633398</v>
      </c>
      <c r="I11" s="33">
        <f>SUMIF(Inputs!A$24:A$143,'Rate Class Energy Model'!A11,Inputs!H$24:H$143)</f>
        <v>59995612</v>
      </c>
      <c r="J11" s="33">
        <f>SUMIF(Inputs!A$24:A$143,'Rate Class Energy Model'!A11,Inputs!J$24:J$143)</f>
        <v>125207062</v>
      </c>
      <c r="K11" s="33">
        <f>SUMIF(Inputs!A$24:A$143,'Rate Class Energy Model'!A11,Inputs!M$24:M$143)</f>
        <v>172344</v>
      </c>
      <c r="L11" s="33">
        <f>SUMIF(Inputs!A$24:A$143,'Rate Class Energy Model'!A11,Inputs!O$24:O$143)</f>
        <v>34937</v>
      </c>
      <c r="M11" s="33">
        <f>SUMIF(Inputs!A$24:A$143,'Rate Class Energy Model'!A11,Inputs!R$24:R$143)</f>
        <v>1058924</v>
      </c>
    </row>
    <row r="12" spans="1:21" x14ac:dyDescent="0.2">
      <c r="A12">
        <v>2023</v>
      </c>
      <c r="B12" s="55">
        <f>+'Power Purchased Model'!B161</f>
        <v>315137434</v>
      </c>
      <c r="C12" s="55">
        <f>+'Power Purchased Model'!I161</f>
        <v>315136108.87785494</v>
      </c>
      <c r="D12" s="21">
        <f>C12-B12</f>
        <v>-1325.1221450567245</v>
      </c>
      <c r="E12" s="4">
        <f>D12/B12</f>
        <v>-4.2049023762017576E-6</v>
      </c>
      <c r="F12" s="15">
        <f>1 +(B12-G12)/G12</f>
        <v>1.0614651227240468</v>
      </c>
      <c r="G12" s="5">
        <f>SUM(H12:M12)</f>
        <v>296889108.50999999</v>
      </c>
      <c r="H12" s="33">
        <f>SUMIF(Inputs!A$24:A$143,'Rate Class Energy Model'!A12,Inputs!F$24:F$143)</f>
        <v>113520370.27</v>
      </c>
      <c r="I12" s="33">
        <f>SUMIF(Inputs!A$24:A$143,'Rate Class Energy Model'!A12,Inputs!H$24:H$143)</f>
        <v>59655079</v>
      </c>
      <c r="J12" s="33">
        <f>SUMIF(Inputs!A$24:A$143,'Rate Class Energy Model'!A12,Inputs!J$24:J$143)</f>
        <v>122453774.75</v>
      </c>
      <c r="K12" s="33">
        <f>SUMIF(Inputs!A$24:A$143,'Rate Class Energy Model'!A12,Inputs!M$24:M$143)</f>
        <v>169785</v>
      </c>
      <c r="L12" s="33">
        <f>SUMIF(Inputs!A$24:A$143,'Rate Class Energy Model'!A12,Inputs!O$24:O$143)</f>
        <v>31175.760000000002</v>
      </c>
      <c r="M12" s="33">
        <f>SUMIF(Inputs!A$24:A$143,'Rate Class Energy Model'!A12,Inputs!R$24:R$143)</f>
        <v>1058923.73</v>
      </c>
    </row>
    <row r="13" spans="1:21" x14ac:dyDescent="0.2">
      <c r="A13" s="41">
        <v>2024</v>
      </c>
      <c r="B13" s="55">
        <f>+'Power Purchased Model'!B162</f>
        <v>317322462</v>
      </c>
      <c r="C13" s="55">
        <f>+'Power Purchased Model'!I162</f>
        <v>315552890.67599291</v>
      </c>
      <c r="D13" s="21">
        <f>C13-B13</f>
        <v>-1769571.3240070939</v>
      </c>
      <c r="E13" s="4">
        <f>D13/B13</f>
        <v>-5.5765712671392732E-3</v>
      </c>
      <c r="F13" s="15">
        <f>1 +(B13-G13)/G13</f>
        <v>1.070569713570833</v>
      </c>
      <c r="G13" s="5">
        <f>SUM(H13:M13)</f>
        <v>296405229.82999998</v>
      </c>
      <c r="H13" s="33">
        <f>SUMIF(Inputs!A$24:A$155,'Rate Class Energy Model'!A13,Inputs!F$24:F$155)</f>
        <v>114578411.06999999</v>
      </c>
      <c r="I13" s="33">
        <f>SUMIF(Inputs!A$24:A$155,'Rate Class Energy Model'!A13,Inputs!H$24:H$155)</f>
        <v>59818358</v>
      </c>
      <c r="J13" s="33">
        <f>SUMIF(Inputs!A$24:A$155,'Rate Class Energy Model'!A13,Inputs!J$24:J$155)</f>
        <v>120746049.11000001</v>
      </c>
      <c r="K13" s="33">
        <f>SUMIF(Inputs!A$24:A$155,'Rate Class Energy Model'!A13,Inputs!M$24:M$155)</f>
        <v>169657</v>
      </c>
      <c r="L13" s="33">
        <f>SUMIF(Inputs!A$24:A$155,'Rate Class Energy Model'!A13,Inputs!O$24:O$155)</f>
        <v>30873.080000000005</v>
      </c>
      <c r="M13" s="33">
        <f>SUMIF(Inputs!A$24:A$155,'Rate Class Energy Model'!A13,Inputs!R$24:R$155)</f>
        <v>1061881.5699999998</v>
      </c>
    </row>
    <row r="14" spans="1:21" x14ac:dyDescent="0.2">
      <c r="A14" s="41">
        <v>2025</v>
      </c>
      <c r="B14" s="55"/>
      <c r="C14" s="13">
        <f>+'Power Purchased Model'!I163</f>
        <v>324424307.55406445</v>
      </c>
      <c r="G14" s="13">
        <f>C14/$F$16</f>
        <v>303742692.05874807</v>
      </c>
      <c r="H14"/>
      <c r="I14"/>
      <c r="J14"/>
      <c r="K14"/>
      <c r="L14"/>
      <c r="M14"/>
    </row>
    <row r="15" spans="1:21" x14ac:dyDescent="0.2">
      <c r="H15" s="29"/>
      <c r="I15" s="29"/>
      <c r="J15" s="29"/>
      <c r="K15" s="29"/>
      <c r="L15" s="29"/>
      <c r="M15" s="29"/>
    </row>
    <row r="16" spans="1:21" x14ac:dyDescent="0.2">
      <c r="A16" s="12" t="s">
        <v>7</v>
      </c>
      <c r="C16" s="30"/>
      <c r="D16" s="32"/>
      <c r="E16" s="47" t="s">
        <v>122</v>
      </c>
      <c r="F16" s="15">
        <f>AVERAGE(F3:F13)</f>
        <v>1.0680892611938668</v>
      </c>
      <c r="H16" s="54"/>
      <c r="I16" s="54"/>
      <c r="J16" s="54"/>
      <c r="K16" s="54"/>
      <c r="L16" s="54"/>
      <c r="M16" s="54"/>
    </row>
    <row r="17" spans="1:16" x14ac:dyDescent="0.2">
      <c r="C17" s="30"/>
      <c r="D17" s="32"/>
      <c r="E17" s="47"/>
      <c r="F17" s="15"/>
    </row>
    <row r="18" spans="1:16" x14ac:dyDescent="0.2">
      <c r="C18" s="121">
        <f>C13/1000000</f>
        <v>315.5528906759929</v>
      </c>
      <c r="D18" s="32"/>
      <c r="G18" s="121">
        <f>G13/1000000</f>
        <v>296.40522983</v>
      </c>
    </row>
    <row r="19" spans="1:16" x14ac:dyDescent="0.2">
      <c r="A19" s="14" t="s">
        <v>9</v>
      </c>
      <c r="B19" s="9"/>
      <c r="C19" s="121">
        <f>C14/1000000</f>
        <v>324.42430755406446</v>
      </c>
      <c r="G19" s="121">
        <f>G14/1000000</f>
        <v>303.74269205874805</v>
      </c>
    </row>
    <row r="22" spans="1:16" x14ac:dyDescent="0.2">
      <c r="A22">
        <v>2024</v>
      </c>
      <c r="H22" s="5">
        <f>H13/'Rate Class Customer Model'!B13</f>
        <v>9290.6436350613549</v>
      </c>
      <c r="I22" s="5">
        <f>I13/'Rate Class Customer Model'!C13</f>
        <v>26870.56584562402</v>
      </c>
      <c r="J22" s="5">
        <f>J13/'Rate Class Customer Model'!D13</f>
        <v>913013.60385633283</v>
      </c>
      <c r="K22" s="5">
        <f>K13/'Rate Class Customer Model'!E13</f>
        <v>2692.968253968254</v>
      </c>
      <c r="L22" s="5">
        <f>L13/'Rate Class Customer Model'!F13</f>
        <v>945.094285714286</v>
      </c>
      <c r="M22" s="5">
        <f>M13/'Rate Class Customer Model'!G13</f>
        <v>372.45933707471056</v>
      </c>
    </row>
    <row r="23" spans="1:16" x14ac:dyDescent="0.2">
      <c r="A23">
        <f>A22+1</f>
        <v>2025</v>
      </c>
      <c r="H23" s="5">
        <f>H22</f>
        <v>9290.6436350613549</v>
      </c>
      <c r="I23" s="5">
        <f t="shared" ref="I23:M23" si="4">I22</f>
        <v>26870.56584562402</v>
      </c>
      <c r="J23" s="5">
        <f t="shared" si="4"/>
        <v>913013.60385633283</v>
      </c>
      <c r="K23" s="5">
        <f t="shared" si="4"/>
        <v>2692.968253968254</v>
      </c>
      <c r="L23" s="5">
        <f t="shared" si="4"/>
        <v>945.094285714286</v>
      </c>
      <c r="M23" s="5">
        <f t="shared" si="4"/>
        <v>372.45933707471056</v>
      </c>
    </row>
    <row r="24" spans="1:16" x14ac:dyDescent="0.2">
      <c r="H24"/>
      <c r="I24"/>
      <c r="J24"/>
      <c r="K24"/>
      <c r="L24"/>
      <c r="M24"/>
    </row>
    <row r="25" spans="1:16" x14ac:dyDescent="0.2">
      <c r="D25" s="5"/>
      <c r="H25" s="16"/>
      <c r="I25" s="16"/>
      <c r="J25" s="16"/>
      <c r="K25" s="16"/>
      <c r="L25" s="16"/>
      <c r="M25" s="16"/>
    </row>
    <row r="26" spans="1:16" x14ac:dyDescent="0.2">
      <c r="A26" s="12" t="s">
        <v>31</v>
      </c>
    </row>
    <row r="27" spans="1:16" x14ac:dyDescent="0.2">
      <c r="A27" s="38"/>
    </row>
    <row r="28" spans="1:16" x14ac:dyDescent="0.2">
      <c r="A28" s="38">
        <f>A23</f>
        <v>2025</v>
      </c>
      <c r="G28" s="5">
        <f>SUM(H28:M28)</f>
        <v>305460517.02275848</v>
      </c>
      <c r="H28" s="5">
        <f>H23*'Rate Class Customer Model'!B14</f>
        <v>116160917.36917213</v>
      </c>
      <c r="I28" s="5">
        <f>I23*'Rate Class Customer Model'!C14</f>
        <v>60216938.060043432</v>
      </c>
      <c r="J28" s="5">
        <f>J23*'Rate Class Customer Model'!D14</f>
        <v>127821904.53988659</v>
      </c>
      <c r="K28" s="5">
        <f>K23*'Rate Class Customer Model'!E14</f>
        <v>169657</v>
      </c>
      <c r="L28" s="5">
        <f>L23*'Rate Class Customer Model'!F14</f>
        <v>29218.483656317727</v>
      </c>
      <c r="M28" s="5">
        <f>M23*'Rate Class Customer Model'!G14</f>
        <v>1061881.5699999998</v>
      </c>
    </row>
    <row r="30" spans="1:16" x14ac:dyDescent="0.2">
      <c r="A30" s="12" t="s">
        <v>30</v>
      </c>
      <c r="O30" s="5"/>
    </row>
    <row r="31" spans="1:16" x14ac:dyDescent="0.2">
      <c r="A31" s="38"/>
      <c r="N31" s="5"/>
      <c r="O31" s="5"/>
      <c r="P31" s="5"/>
    </row>
    <row r="32" spans="1:16" x14ac:dyDescent="0.2">
      <c r="A32" s="38">
        <f>A28</f>
        <v>2025</v>
      </c>
      <c r="G32" s="13">
        <f>G14</f>
        <v>303742692.05874807</v>
      </c>
      <c r="H32" s="5">
        <f t="shared" ref="H32:M32" si="5">H28+H40</f>
        <v>115413813.42248669</v>
      </c>
      <c r="I32" s="5">
        <f t="shared" si="5"/>
        <v>59829645.043589436</v>
      </c>
      <c r="J32" s="5">
        <f t="shared" si="5"/>
        <v>127238476.53901561</v>
      </c>
      <c r="K32" s="5">
        <f t="shared" si="5"/>
        <v>169657</v>
      </c>
      <c r="L32" s="5">
        <f t="shared" si="5"/>
        <v>29218.483656317727</v>
      </c>
      <c r="M32" s="5">
        <f t="shared" si="5"/>
        <v>1061881.5699999998</v>
      </c>
      <c r="N32" s="5">
        <f>SUM(H32:M32)</f>
        <v>303742692.05874807</v>
      </c>
      <c r="O32" s="5">
        <f>N32-G32</f>
        <v>0</v>
      </c>
      <c r="P32" s="5" t="e">
        <f>O32-#REF!</f>
        <v>#REF!</v>
      </c>
    </row>
    <row r="33" spans="1:21" x14ac:dyDescent="0.2">
      <c r="O33" s="5"/>
    </row>
    <row r="34" spans="1:21" x14ac:dyDescent="0.2">
      <c r="A34" t="s">
        <v>32</v>
      </c>
      <c r="H34" s="56">
        <f>(100%+J34)/2</f>
        <v>0.77500000000000002</v>
      </c>
      <c r="I34" s="56">
        <f>H34</f>
        <v>0.77500000000000002</v>
      </c>
      <c r="J34" s="56">
        <v>0.55000000000000004</v>
      </c>
      <c r="K34" s="46">
        <v>0</v>
      </c>
      <c r="L34" s="46">
        <v>0</v>
      </c>
      <c r="M34" s="46">
        <v>0</v>
      </c>
    </row>
    <row r="35" spans="1:21" x14ac:dyDescent="0.2">
      <c r="A35" s="38"/>
      <c r="N35" s="5"/>
    </row>
    <row r="36" spans="1:21" x14ac:dyDescent="0.2">
      <c r="A36" s="38">
        <f>+A32</f>
        <v>2025</v>
      </c>
      <c r="G36" s="5">
        <f>G32-G28</f>
        <v>-1717824.9640104175</v>
      </c>
      <c r="H36" s="5">
        <f t="shared" ref="H36:M36" si="6">H28*H$34</f>
        <v>90024710.961108401</v>
      </c>
      <c r="I36" s="5">
        <f t="shared" si="6"/>
        <v>46668126.996533662</v>
      </c>
      <c r="J36" s="5">
        <f t="shared" si="6"/>
        <v>70302047.496937633</v>
      </c>
      <c r="K36" s="5">
        <f t="shared" si="6"/>
        <v>0</v>
      </c>
      <c r="L36" s="5">
        <f t="shared" si="6"/>
        <v>0</v>
      </c>
      <c r="M36" s="5">
        <f t="shared" si="6"/>
        <v>0</v>
      </c>
      <c r="N36" s="5">
        <f>SUM(H36:M36)</f>
        <v>206994885.45457971</v>
      </c>
    </row>
    <row r="37" spans="1:21" ht="12" customHeight="1" x14ac:dyDescent="0.2"/>
    <row r="38" spans="1:21" x14ac:dyDescent="0.2">
      <c r="A38" t="s">
        <v>33</v>
      </c>
    </row>
    <row r="39" spans="1:21" x14ac:dyDescent="0.2">
      <c r="A39" s="38"/>
    </row>
    <row r="40" spans="1:21" x14ac:dyDescent="0.2">
      <c r="A40" s="38">
        <f>+A36</f>
        <v>2025</v>
      </c>
      <c r="G40" s="5">
        <f>SUM(H40:M40)</f>
        <v>-1717824.9640104172</v>
      </c>
      <c r="H40" s="5">
        <f t="shared" ref="H40:M40" si="7">H36/$N36*$G36</f>
        <v>-747103.9466854264</v>
      </c>
      <c r="I40" s="5">
        <f t="shared" si="7"/>
        <v>-387293.01645399828</v>
      </c>
      <c r="J40" s="5">
        <f t="shared" si="7"/>
        <v>-583428.00087099266</v>
      </c>
      <c r="K40" s="5">
        <f t="shared" si="7"/>
        <v>0</v>
      </c>
      <c r="L40" s="5">
        <f t="shared" si="7"/>
        <v>0</v>
      </c>
      <c r="M40" s="5">
        <f t="shared" si="7"/>
        <v>0</v>
      </c>
    </row>
    <row r="41" spans="1:21" x14ac:dyDescent="0.2">
      <c r="A41" s="38"/>
      <c r="G41" s="17"/>
    </row>
    <row r="42" spans="1:21" x14ac:dyDescent="0.2">
      <c r="A42" s="12"/>
    </row>
    <row r="43" spans="1:21" x14ac:dyDescent="0.2">
      <c r="A43" s="12"/>
    </row>
    <row r="44" spans="1:21" x14ac:dyDescent="0.2">
      <c r="A44" s="12"/>
    </row>
    <row r="45" spans="1:21" x14ac:dyDescent="0.2">
      <c r="C45" s="1">
        <f>296910135-296977680</f>
        <v>-67545</v>
      </c>
    </row>
    <row r="46" spans="1:21" x14ac:dyDescent="0.2">
      <c r="B46"/>
      <c r="C46"/>
      <c r="D46"/>
      <c r="E46"/>
      <c r="F46"/>
      <c r="G46"/>
      <c r="H46"/>
      <c r="I46"/>
      <c r="J46"/>
      <c r="K46"/>
      <c r="L46"/>
      <c r="M46"/>
      <c r="U46"/>
    </row>
    <row r="47" spans="1:21" x14ac:dyDescent="0.2">
      <c r="B47"/>
      <c r="C47"/>
      <c r="D47"/>
      <c r="E47"/>
      <c r="F47"/>
      <c r="G47"/>
      <c r="H47"/>
      <c r="I47"/>
      <c r="J47"/>
      <c r="K47"/>
      <c r="L47"/>
      <c r="M47"/>
      <c r="U47"/>
    </row>
    <row r="48" spans="1:21" x14ac:dyDescent="0.2">
      <c r="B48"/>
      <c r="C48"/>
      <c r="D48"/>
      <c r="E48"/>
      <c r="F48"/>
      <c r="G48"/>
      <c r="H48"/>
      <c r="I48"/>
      <c r="J48"/>
      <c r="K48"/>
      <c r="L48"/>
      <c r="M48"/>
      <c r="U48"/>
    </row>
    <row r="49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</sheetData>
  <phoneticPr fontId="0" type="noConversion"/>
  <pageMargins left="0.38" right="0.75" top="0.73" bottom="0.74" header="0.5" footer="0.5"/>
  <pageSetup scale="62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O82"/>
  <sheetViews>
    <sheetView workbookViewId="0">
      <selection activeCell="B25" sqref="B25:B27"/>
    </sheetView>
  </sheetViews>
  <sheetFormatPr defaultRowHeight="12.75" x14ac:dyDescent="0.2"/>
  <cols>
    <col min="1" max="1" width="11" customWidth="1"/>
    <col min="2" max="2" width="15" style="5" customWidth="1"/>
    <col min="3" max="3" width="14.140625" style="5" bestFit="1" customWidth="1"/>
    <col min="4" max="4" width="17.85546875" style="5" bestFit="1" customWidth="1"/>
    <col min="5" max="5" width="12.5703125" style="5" customWidth="1"/>
    <col min="6" max="7" width="11.42578125" style="5" customWidth="1"/>
    <col min="8" max="8" width="11.5703125" customWidth="1"/>
    <col min="9" max="9" width="12.5703125" bestFit="1" customWidth="1"/>
    <col min="10" max="10" width="9.140625" customWidth="1"/>
  </cols>
  <sheetData>
    <row r="1" spans="1:15" x14ac:dyDescent="0.2">
      <c r="B1" s="158" t="s">
        <v>52</v>
      </c>
      <c r="C1" s="159"/>
      <c r="D1" s="159"/>
      <c r="E1" s="159"/>
      <c r="F1" s="159"/>
      <c r="G1" s="159"/>
    </row>
    <row r="2" spans="1:15" ht="25.5" x14ac:dyDescent="0.2">
      <c r="B2" s="7" t="str">
        <f>Inputs!B4</f>
        <v>Residential</v>
      </c>
      <c r="C2" s="7" t="str">
        <f>Inputs!C4</f>
        <v>General Service &lt; 50 kW</v>
      </c>
      <c r="D2" s="7" t="str">
        <f>Inputs!D4</f>
        <v>General Service &gt; 50 to 4999 kW</v>
      </c>
      <c r="E2" s="7" t="str">
        <f>Inputs!E4</f>
        <v>USL</v>
      </c>
      <c r="F2" s="7" t="str">
        <f>Inputs!F4</f>
        <v>Sentinel Lighting</v>
      </c>
      <c r="G2" s="7" t="str">
        <f>Inputs!G4</f>
        <v>Street Lighting</v>
      </c>
      <c r="H2" s="1" t="s">
        <v>5</v>
      </c>
      <c r="M2" s="144" t="s">
        <v>139</v>
      </c>
      <c r="O2" s="138">
        <v>2025</v>
      </c>
    </row>
    <row r="3" spans="1:15" x14ac:dyDescent="0.2">
      <c r="A3" s="3">
        <v>2014</v>
      </c>
      <c r="B3" s="34">
        <f>Inputs!B5</f>
        <v>10964.083333333334</v>
      </c>
      <c r="C3" s="34">
        <f>Inputs!C5</f>
        <v>2106</v>
      </c>
      <c r="D3" s="34">
        <f>Inputs!D5</f>
        <v>172</v>
      </c>
      <c r="E3" s="34">
        <f>Inputs!E5</f>
        <v>54.75</v>
      </c>
      <c r="F3" s="34">
        <f>Inputs!F5</f>
        <v>56.666666666666664</v>
      </c>
      <c r="G3" s="34">
        <f>Inputs!G5</f>
        <v>2843.6666666666665</v>
      </c>
      <c r="H3" s="45">
        <f>SUM(B3:G3)</f>
        <v>16197.166666666666</v>
      </c>
      <c r="M3" s="27">
        <f>'Power Purchased Model'!G134</f>
        <v>14773</v>
      </c>
      <c r="N3" t="s">
        <v>126</v>
      </c>
      <c r="O3" s="11">
        <v>1.2357997182956694E-3</v>
      </c>
    </row>
    <row r="4" spans="1:15" x14ac:dyDescent="0.2">
      <c r="A4" s="3">
        <v>2015</v>
      </c>
      <c r="B4" s="34">
        <f>Inputs!B6</f>
        <v>11020.916666666666</v>
      </c>
      <c r="C4" s="34">
        <f>Inputs!C6</f>
        <v>2132.5833333333335</v>
      </c>
      <c r="D4" s="34">
        <f>Inputs!D6</f>
        <v>155.83333333333334</v>
      </c>
      <c r="E4" s="34">
        <f>Inputs!E6</f>
        <v>52.166666666666664</v>
      </c>
      <c r="F4" s="34">
        <f>Inputs!F6</f>
        <v>53</v>
      </c>
      <c r="G4" s="34">
        <f>Inputs!G6</f>
        <v>2766.0833333333335</v>
      </c>
      <c r="H4" s="45">
        <f t="shared" ref="H4:H14" si="0">SUM(B4:G4)</f>
        <v>16180.583333333334</v>
      </c>
      <c r="N4" s="3" t="s">
        <v>127</v>
      </c>
      <c r="O4" s="139">
        <f>M3+(1+O3)</f>
        <v>14774.001235799718</v>
      </c>
    </row>
    <row r="5" spans="1:15" x14ac:dyDescent="0.2">
      <c r="A5" s="3">
        <v>2016</v>
      </c>
      <c r="B5" s="34">
        <f>Inputs!B7</f>
        <v>11078.416666666666</v>
      </c>
      <c r="C5" s="34">
        <f>Inputs!C7</f>
        <v>2137.6666666666665</v>
      </c>
      <c r="D5" s="34">
        <f>Inputs!D7</f>
        <v>149.33333333333334</v>
      </c>
      <c r="E5" s="34">
        <f>Inputs!E7</f>
        <v>51</v>
      </c>
      <c r="F5" s="34">
        <f>Inputs!F7</f>
        <v>52.333333333333336</v>
      </c>
      <c r="G5" s="34">
        <f>Inputs!G7</f>
        <v>2679.1666666666665</v>
      </c>
      <c r="H5" s="45">
        <f t="shared" si="0"/>
        <v>16147.916666666666</v>
      </c>
      <c r="N5" s="140" t="s">
        <v>128</v>
      </c>
      <c r="O5" s="139">
        <f t="shared" ref="O5" si="1">O4*(1+O3)</f>
        <v>14792.258942365021</v>
      </c>
    </row>
    <row r="6" spans="1:15" x14ac:dyDescent="0.2">
      <c r="A6" s="3">
        <v>2017</v>
      </c>
      <c r="B6" s="34">
        <f>Inputs!B8</f>
        <v>11168.75</v>
      </c>
      <c r="C6" s="34">
        <f>Inputs!C8</f>
        <v>2144.4166666666665</v>
      </c>
      <c r="D6" s="34">
        <f>Inputs!D8</f>
        <v>137.91666666666666</v>
      </c>
      <c r="E6" s="34">
        <f>Inputs!E8</f>
        <v>51</v>
      </c>
      <c r="F6" s="34">
        <f>Inputs!F8</f>
        <v>45.5</v>
      </c>
      <c r="G6" s="34">
        <f>Inputs!G8</f>
        <v>2848.3333333333335</v>
      </c>
      <c r="H6" s="45">
        <f t="shared" si="0"/>
        <v>16395.916666666664</v>
      </c>
      <c r="N6" s="140" t="s">
        <v>129</v>
      </c>
      <c r="O6" s="139">
        <f t="shared" ref="O6" si="2">O5*(1+O3)</f>
        <v>14810.539211798952</v>
      </c>
    </row>
    <row r="7" spans="1:15" x14ac:dyDescent="0.2">
      <c r="A7" s="3">
        <v>2018</v>
      </c>
      <c r="B7" s="34">
        <f>Inputs!B9</f>
        <v>11288.666666666666</v>
      </c>
      <c r="C7" s="34">
        <f>Inputs!C9</f>
        <v>2158.8333333333335</v>
      </c>
      <c r="D7" s="34">
        <f>Inputs!D9</f>
        <v>137.5</v>
      </c>
      <c r="E7" s="34">
        <f>Inputs!E9</f>
        <v>51</v>
      </c>
      <c r="F7" s="34">
        <f>Inputs!F9</f>
        <v>44</v>
      </c>
      <c r="G7" s="34">
        <f>Inputs!G9</f>
        <v>2849</v>
      </c>
      <c r="H7" s="45">
        <f t="shared" si="0"/>
        <v>16529</v>
      </c>
      <c r="N7" s="140" t="s">
        <v>130</v>
      </c>
      <c r="O7" s="139">
        <f t="shared" ref="O7" si="3">O6*(1+O3)</f>
        <v>14828.8420719847</v>
      </c>
    </row>
    <row r="8" spans="1:15" x14ac:dyDescent="0.2">
      <c r="A8" s="3">
        <v>2019</v>
      </c>
      <c r="B8" s="34">
        <f>Inputs!B10</f>
        <v>11429.75</v>
      </c>
      <c r="C8" s="34">
        <f>Inputs!C10</f>
        <v>2154.3333333333335</v>
      </c>
      <c r="D8" s="34">
        <f>Inputs!D10</f>
        <v>136.66666666666666</v>
      </c>
      <c r="E8" s="34">
        <f>Inputs!E10</f>
        <v>54.583333333333336</v>
      </c>
      <c r="F8" s="34">
        <f>Inputs!F10</f>
        <v>41.25</v>
      </c>
      <c r="G8" s="34">
        <f>Inputs!G10</f>
        <v>2849.1666666666665</v>
      </c>
      <c r="H8" s="45">
        <f t="shared" si="0"/>
        <v>16665.75</v>
      </c>
      <c r="N8" s="140" t="s">
        <v>45</v>
      </c>
      <c r="O8" s="139">
        <f t="shared" ref="O8" si="4">O7*(1+O3)</f>
        <v>14847.167550839909</v>
      </c>
    </row>
    <row r="9" spans="1:15" x14ac:dyDescent="0.2">
      <c r="A9" s="3">
        <v>2020</v>
      </c>
      <c r="B9" s="34">
        <f>Inputs!B11</f>
        <v>11566</v>
      </c>
      <c r="C9" s="34">
        <f>Inputs!C11</f>
        <v>2155.3333333333335</v>
      </c>
      <c r="D9" s="34">
        <f>Inputs!D11</f>
        <v>135.83333333333334</v>
      </c>
      <c r="E9" s="34">
        <f>Inputs!E11</f>
        <v>56</v>
      </c>
      <c r="F9" s="34">
        <f>Inputs!F11</f>
        <v>40</v>
      </c>
      <c r="G9" s="34">
        <f>Inputs!G11</f>
        <v>2851</v>
      </c>
      <c r="H9" s="45">
        <f t="shared" si="0"/>
        <v>16804.166666666668</v>
      </c>
      <c r="N9" s="140" t="s">
        <v>131</v>
      </c>
      <c r="O9" s="139">
        <f t="shared" ref="O9" si="5">O8*(1+O3)</f>
        <v>14865.515676316727</v>
      </c>
    </row>
    <row r="10" spans="1:15" x14ac:dyDescent="0.2">
      <c r="A10" s="3">
        <v>2021</v>
      </c>
      <c r="B10" s="34">
        <f>Inputs!B12</f>
        <v>11725.916666666666</v>
      </c>
      <c r="C10" s="34">
        <f>Inputs!C12</f>
        <v>2190.8333333333335</v>
      </c>
      <c r="D10" s="34">
        <f>Inputs!D12</f>
        <v>130.75</v>
      </c>
      <c r="E10" s="34">
        <f>Inputs!E12</f>
        <v>64.5</v>
      </c>
      <c r="F10" s="34">
        <f>Inputs!F12</f>
        <v>40</v>
      </c>
      <c r="G10" s="34">
        <f>Inputs!G12</f>
        <v>2851</v>
      </c>
      <c r="H10" s="45">
        <f t="shared" si="0"/>
        <v>17003</v>
      </c>
      <c r="N10" s="140" t="s">
        <v>132</v>
      </c>
      <c r="O10" s="139">
        <f t="shared" ref="O10" si="6">O9*(1+O3)</f>
        <v>14883.88647640184</v>
      </c>
    </row>
    <row r="11" spans="1:15" x14ac:dyDescent="0.2">
      <c r="A11" s="3">
        <v>2022</v>
      </c>
      <c r="B11" s="34">
        <f>Inputs!B13</f>
        <v>11911.916666666666</v>
      </c>
      <c r="C11" s="34">
        <f>Inputs!C13</f>
        <v>2205.1666666666665</v>
      </c>
      <c r="D11" s="34">
        <f>Inputs!D13</f>
        <v>129.08333333333334</v>
      </c>
      <c r="E11" s="34">
        <f>Inputs!E13</f>
        <v>64.25</v>
      </c>
      <c r="F11" s="34">
        <f>Inputs!F13</f>
        <v>37.583333333333336</v>
      </c>
      <c r="G11" s="34">
        <f>Inputs!G13</f>
        <v>2851</v>
      </c>
      <c r="H11" s="45">
        <f t="shared" si="0"/>
        <v>17199</v>
      </c>
      <c r="N11" s="140" t="s">
        <v>133</v>
      </c>
      <c r="O11" s="139">
        <f t="shared" ref="O11" si="7">O10*(1+O3)</f>
        <v>14902.279979116522</v>
      </c>
    </row>
    <row r="12" spans="1:15" x14ac:dyDescent="0.2">
      <c r="A12" s="3">
        <v>2023</v>
      </c>
      <c r="B12" s="34">
        <f>Inputs!B14</f>
        <v>12125.25</v>
      </c>
      <c r="C12" s="34">
        <f>Inputs!C14</f>
        <v>2206.4166666666665</v>
      </c>
      <c r="D12" s="34">
        <f>Inputs!D14</f>
        <v>130.08333333333334</v>
      </c>
      <c r="E12" s="34">
        <f>Inputs!E14</f>
        <v>63.333333333333336</v>
      </c>
      <c r="F12" s="34">
        <f>Inputs!F14</f>
        <v>32.5</v>
      </c>
      <c r="G12" s="34">
        <f>Inputs!G14</f>
        <v>2851</v>
      </c>
      <c r="H12" s="45">
        <f t="shared" si="0"/>
        <v>17408.583333333336</v>
      </c>
      <c r="I12" s="31"/>
      <c r="L12" s="160"/>
      <c r="M12" s="160"/>
      <c r="N12" s="140" t="s">
        <v>134</v>
      </c>
      <c r="O12" s="139">
        <f t="shared" ref="O12" si="8">O11*(1+O3)</f>
        <v>14920.696212516677</v>
      </c>
    </row>
    <row r="13" spans="1:15" x14ac:dyDescent="0.2">
      <c r="A13" s="3">
        <v>2024</v>
      </c>
      <c r="B13" s="34">
        <f>Inputs!B15</f>
        <v>12332.666666666666</v>
      </c>
      <c r="C13" s="34">
        <f>Inputs!C15</f>
        <v>2226.1666666666665</v>
      </c>
      <c r="D13" s="34">
        <f>Inputs!D15</f>
        <v>132.25</v>
      </c>
      <c r="E13" s="34">
        <f>Inputs!E15</f>
        <v>63</v>
      </c>
      <c r="F13" s="34">
        <f>Inputs!F15</f>
        <v>32.666666666666664</v>
      </c>
      <c r="G13" s="34">
        <f>Inputs!G15</f>
        <v>2851</v>
      </c>
      <c r="H13" s="45">
        <f t="shared" si="0"/>
        <v>17637.75</v>
      </c>
      <c r="I13" s="31"/>
      <c r="J13" s="31"/>
      <c r="L13" s="141"/>
      <c r="M13" s="141"/>
      <c r="N13" s="140" t="s">
        <v>135</v>
      </c>
      <c r="O13" s="139">
        <f t="shared" ref="O13" si="9">O12*(1+O3)</f>
        <v>14939.135204692881</v>
      </c>
    </row>
    <row r="14" spans="1:15" x14ac:dyDescent="0.2">
      <c r="A14" s="3">
        <v>2025</v>
      </c>
      <c r="B14" s="49">
        <v>12503</v>
      </c>
      <c r="C14" s="49">
        <v>2241</v>
      </c>
      <c r="D14" s="49">
        <v>140</v>
      </c>
      <c r="E14" s="49">
        <v>63</v>
      </c>
      <c r="F14" s="49">
        <f t="shared" ref="F14" si="10">F13*F31</f>
        <v>30.915945739990271</v>
      </c>
      <c r="G14" s="49">
        <v>2851</v>
      </c>
      <c r="H14" s="45">
        <f t="shared" si="0"/>
        <v>17828.915945739991</v>
      </c>
      <c r="I14" s="31">
        <f t="shared" ref="I14" si="11">B14+C14+D14</f>
        <v>14884</v>
      </c>
      <c r="J14" s="31">
        <f>I14-I13</f>
        <v>14884</v>
      </c>
      <c r="L14" s="141"/>
      <c r="M14" s="141"/>
      <c r="N14" s="140" t="s">
        <v>136</v>
      </c>
      <c r="O14" s="139">
        <f t="shared" ref="O14" si="12">O13*(1+O3)</f>
        <v>14957.596983770422</v>
      </c>
    </row>
    <row r="15" spans="1:15" x14ac:dyDescent="0.2">
      <c r="A15" s="12"/>
      <c r="L15" s="141"/>
      <c r="M15" s="141"/>
      <c r="N15" s="142" t="s">
        <v>137</v>
      </c>
      <c r="O15" s="143">
        <f t="shared" ref="O15" si="13">O14*(1+O3)</f>
        <v>14976.081577909345</v>
      </c>
    </row>
    <row r="16" spans="1:15" x14ac:dyDescent="0.2">
      <c r="A16" s="12" t="s">
        <v>29</v>
      </c>
      <c r="B16" s="4"/>
      <c r="C16" s="4"/>
      <c r="D16" s="4"/>
      <c r="E16" s="4"/>
      <c r="F16" s="15"/>
      <c r="G16" s="15"/>
      <c r="N16" s="140"/>
      <c r="O16" s="139"/>
    </row>
    <row r="17" spans="1:15" x14ac:dyDescent="0.2">
      <c r="A17" s="3"/>
      <c r="B17" s="15"/>
      <c r="C17" s="15"/>
      <c r="D17" s="15"/>
      <c r="E17" s="15"/>
      <c r="F17" s="15"/>
      <c r="G17" s="15"/>
      <c r="N17" s="140" t="s">
        <v>138</v>
      </c>
      <c r="O17" s="139">
        <f t="shared" ref="O17" si="14">AVERAGE(O5:O15)</f>
        <v>14883.999989792092</v>
      </c>
    </row>
    <row r="18" spans="1:15" x14ac:dyDescent="0.2">
      <c r="A18" s="3">
        <f>+A4</f>
        <v>2015</v>
      </c>
      <c r="B18" s="15">
        <f t="shared" ref="B18:G18" si="15">B4/B3</f>
        <v>1.005183591879546</v>
      </c>
      <c r="C18" s="15">
        <f t="shared" si="15"/>
        <v>1.0126226654004433</v>
      </c>
      <c r="D18" s="15">
        <f t="shared" si="15"/>
        <v>0.90600775193798455</v>
      </c>
      <c r="E18" s="15">
        <f t="shared" si="15"/>
        <v>0.95281582952815824</v>
      </c>
      <c r="F18" s="15">
        <f t="shared" si="15"/>
        <v>0.93529411764705883</v>
      </c>
      <c r="G18" s="15">
        <f t="shared" si="15"/>
        <v>0.97271714922049013</v>
      </c>
      <c r="O18" s="5">
        <f>I14</f>
        <v>14884</v>
      </c>
    </row>
    <row r="19" spans="1:15" x14ac:dyDescent="0.2">
      <c r="A19" s="3">
        <f t="shared" ref="A19:A27" si="16">+A5</f>
        <v>2016</v>
      </c>
      <c r="B19" s="15">
        <f t="shared" ref="B19:B26" si="17">B5/B4</f>
        <v>1.0052173518536722</v>
      </c>
      <c r="C19" s="15">
        <f t="shared" ref="C19:G27" si="18">C5/C4</f>
        <v>1.0023836505021295</v>
      </c>
      <c r="D19" s="15">
        <f t="shared" si="18"/>
        <v>0.9582887700534759</v>
      </c>
      <c r="E19" s="15">
        <f t="shared" si="18"/>
        <v>0.97763578274760388</v>
      </c>
      <c r="F19" s="15">
        <f t="shared" si="18"/>
        <v>0.98742138364779874</v>
      </c>
      <c r="G19" s="15">
        <f t="shared" si="18"/>
        <v>0.96857771216822808</v>
      </c>
      <c r="O19" s="5">
        <f t="shared" ref="O19" si="19">O17-O18</f>
        <v>-1.0207908417214639E-5</v>
      </c>
    </row>
    <row r="20" spans="1:15" x14ac:dyDescent="0.2">
      <c r="A20" s="3">
        <f t="shared" si="16"/>
        <v>2017</v>
      </c>
      <c r="B20" s="15">
        <f t="shared" si="17"/>
        <v>1.0081539931247696</v>
      </c>
      <c r="C20" s="15">
        <f t="shared" si="18"/>
        <v>1.0031576485264306</v>
      </c>
      <c r="D20" s="15">
        <f t="shared" si="18"/>
        <v>0.92354910714285698</v>
      </c>
      <c r="E20" s="15">
        <f t="shared" si="18"/>
        <v>1</v>
      </c>
      <c r="F20" s="15">
        <f t="shared" si="18"/>
        <v>0.86942675159235661</v>
      </c>
      <c r="G20" s="15">
        <f t="shared" si="18"/>
        <v>1.0631415241057545</v>
      </c>
    </row>
    <row r="21" spans="1:15" x14ac:dyDescent="0.2">
      <c r="A21" s="3">
        <f t="shared" si="16"/>
        <v>2018</v>
      </c>
      <c r="B21" s="15">
        <f t="shared" si="17"/>
        <v>1.0107368028352919</v>
      </c>
      <c r="C21" s="15">
        <f t="shared" si="18"/>
        <v>1.006722885011464</v>
      </c>
      <c r="D21" s="15">
        <f t="shared" si="18"/>
        <v>0.99697885196374625</v>
      </c>
      <c r="E21" s="15">
        <f t="shared" si="18"/>
        <v>1</v>
      </c>
      <c r="F21" s="15">
        <f t="shared" si="18"/>
        <v>0.96703296703296704</v>
      </c>
      <c r="G21" s="15">
        <f t="shared" si="18"/>
        <v>1.0002340550029256</v>
      </c>
    </row>
    <row r="22" spans="1:15" x14ac:dyDescent="0.2">
      <c r="A22" s="3">
        <f t="shared" si="16"/>
        <v>2019</v>
      </c>
      <c r="B22" s="15">
        <f t="shared" si="17"/>
        <v>1.0124977853894763</v>
      </c>
      <c r="C22" s="15">
        <f t="shared" si="18"/>
        <v>0.9979155408013588</v>
      </c>
      <c r="D22" s="15">
        <f t="shared" si="18"/>
        <v>0.9939393939393939</v>
      </c>
      <c r="E22" s="15">
        <f t="shared" si="18"/>
        <v>1.0702614379084967</v>
      </c>
      <c r="F22" s="15">
        <f t="shared" si="18"/>
        <v>0.9375</v>
      </c>
      <c r="G22" s="15">
        <f t="shared" si="18"/>
        <v>1.0000585000585001</v>
      </c>
    </row>
    <row r="23" spans="1:15" x14ac:dyDescent="0.2">
      <c r="A23" s="3">
        <f t="shared" si="16"/>
        <v>2020</v>
      </c>
      <c r="B23" s="15">
        <f t="shared" si="17"/>
        <v>1.011920645683414</v>
      </c>
      <c r="C23" s="15">
        <f t="shared" si="18"/>
        <v>1.0004641807210275</v>
      </c>
      <c r="D23" s="15">
        <f t="shared" si="18"/>
        <v>0.99390243902439035</v>
      </c>
      <c r="E23" s="15">
        <f t="shared" si="18"/>
        <v>1.0259541984732825</v>
      </c>
      <c r="F23" s="15">
        <f t="shared" si="18"/>
        <v>0.96969696969696972</v>
      </c>
      <c r="G23" s="15">
        <f t="shared" si="18"/>
        <v>1.0006434630008776</v>
      </c>
    </row>
    <row r="24" spans="1:15" x14ac:dyDescent="0.2">
      <c r="A24" s="3">
        <f t="shared" si="16"/>
        <v>2021</v>
      </c>
      <c r="B24" s="15">
        <f t="shared" si="17"/>
        <v>1.013826445328261</v>
      </c>
      <c r="C24" s="15">
        <f t="shared" si="18"/>
        <v>1.0164707701824931</v>
      </c>
      <c r="D24" s="15">
        <f t="shared" si="18"/>
        <v>0.9625766871165643</v>
      </c>
      <c r="E24" s="15">
        <f t="shared" si="18"/>
        <v>1.1517857142857142</v>
      </c>
      <c r="F24" s="15">
        <f t="shared" si="18"/>
        <v>1</v>
      </c>
      <c r="G24" s="15">
        <f t="shared" si="18"/>
        <v>1</v>
      </c>
    </row>
    <row r="25" spans="1:15" x14ac:dyDescent="0.2">
      <c r="A25" s="3">
        <f t="shared" si="16"/>
        <v>2022</v>
      </c>
      <c r="B25" s="15">
        <f t="shared" si="17"/>
        <v>1.0158622993227253</v>
      </c>
      <c r="C25" s="15">
        <f t="shared" si="18"/>
        <v>1.0065424115633319</v>
      </c>
      <c r="D25" s="15">
        <f t="shared" si="18"/>
        <v>0.98725302740599119</v>
      </c>
      <c r="E25" s="15">
        <f t="shared" si="18"/>
        <v>0.99612403100775193</v>
      </c>
      <c r="F25" s="15">
        <f t="shared" si="18"/>
        <v>0.93958333333333344</v>
      </c>
      <c r="G25" s="15">
        <f t="shared" si="18"/>
        <v>1</v>
      </c>
    </row>
    <row r="26" spans="1:15" x14ac:dyDescent="0.2">
      <c r="A26" s="3">
        <f t="shared" si="16"/>
        <v>2023</v>
      </c>
      <c r="B26" s="15">
        <f t="shared" si="17"/>
        <v>1.0179092365488343</v>
      </c>
      <c r="C26" s="15">
        <f t="shared" si="18"/>
        <v>1.0005668505781875</v>
      </c>
      <c r="D26" s="15">
        <f t="shared" si="18"/>
        <v>1.0077469335054874</v>
      </c>
      <c r="E26" s="15">
        <f t="shared" si="18"/>
        <v>0.9857328145265889</v>
      </c>
      <c r="F26" s="15">
        <f t="shared" si="18"/>
        <v>0.8647450110864745</v>
      </c>
      <c r="G26" s="15">
        <f t="shared" si="18"/>
        <v>1</v>
      </c>
    </row>
    <row r="27" spans="1:15" x14ac:dyDescent="0.2">
      <c r="A27" s="3">
        <f t="shared" si="16"/>
        <v>2024</v>
      </c>
      <c r="B27" s="15">
        <f>B13/B12</f>
        <v>1.0171061765049518</v>
      </c>
      <c r="C27" s="15">
        <f>C13/C12</f>
        <v>1.0089511651622163</v>
      </c>
      <c r="D27" s="15">
        <f t="shared" si="18"/>
        <v>1.0166559897501601</v>
      </c>
      <c r="E27" s="15">
        <f t="shared" si="18"/>
        <v>0.99473684210526314</v>
      </c>
      <c r="F27" s="15">
        <f t="shared" si="18"/>
        <v>1.0051282051282051</v>
      </c>
      <c r="G27" s="15">
        <f t="shared" si="18"/>
        <v>1</v>
      </c>
    </row>
    <row r="28" spans="1:15" x14ac:dyDescent="0.2">
      <c r="A28" s="3"/>
      <c r="B28" s="15"/>
      <c r="C28" s="15"/>
      <c r="D28" s="15"/>
      <c r="E28" s="15"/>
      <c r="F28" s="15"/>
      <c r="G28" s="15"/>
    </row>
    <row r="29" spans="1:15" x14ac:dyDescent="0.2">
      <c r="A29" s="3"/>
      <c r="B29" s="15"/>
      <c r="C29" s="15"/>
      <c r="D29" s="15"/>
      <c r="E29" s="15"/>
      <c r="F29" s="15"/>
      <c r="G29" s="15"/>
    </row>
    <row r="31" spans="1:15" x14ac:dyDescent="0.2">
      <c r="A31" t="s">
        <v>43</v>
      </c>
      <c r="B31" s="50">
        <f>B33</f>
        <v>1.0118321312977654</v>
      </c>
      <c r="C31" s="50">
        <f>C33</f>
        <v>1.0055644955170264</v>
      </c>
      <c r="D31" s="50">
        <f>D33</f>
        <v>0.97406227441979099</v>
      </c>
      <c r="E31" s="50">
        <f>E33</f>
        <v>1.0141346991747959</v>
      </c>
      <c r="F31" s="50">
        <f>+F33</f>
        <v>0.94640650224460021</v>
      </c>
      <c r="G31" s="50">
        <f>+G33</f>
        <v>1.0002575842363324</v>
      </c>
      <c r="H31" s="38" t="s">
        <v>56</v>
      </c>
    </row>
    <row r="32" spans="1:15" x14ac:dyDescent="0.2">
      <c r="B32" s="16"/>
      <c r="C32" s="16"/>
      <c r="D32" s="16"/>
      <c r="E32" s="16"/>
      <c r="F32" s="16"/>
      <c r="G32" s="16"/>
    </row>
    <row r="33" spans="1:7" x14ac:dyDescent="0.2">
      <c r="A33" t="s">
        <v>8</v>
      </c>
      <c r="B33" s="16">
        <f t="shared" ref="B33:G33" si="20">IF(B11="",0,GEOMEAN(B18:B27))</f>
        <v>1.0118321312977654</v>
      </c>
      <c r="C33" s="16">
        <f t="shared" si="20"/>
        <v>1.0055644955170264</v>
      </c>
      <c r="D33" s="16">
        <f t="shared" si="20"/>
        <v>0.97406227441979099</v>
      </c>
      <c r="E33" s="16">
        <f t="shared" si="20"/>
        <v>1.0141346991747959</v>
      </c>
      <c r="F33" s="16">
        <f t="shared" si="20"/>
        <v>0.94640650224460021</v>
      </c>
      <c r="G33" s="16">
        <f t="shared" si="20"/>
        <v>1.0002575842363324</v>
      </c>
    </row>
    <row r="34" spans="1:7" x14ac:dyDescent="0.2">
      <c r="A34" s="3"/>
      <c r="B34" s="16"/>
      <c r="C34" s="16"/>
      <c r="D34" s="16"/>
      <c r="E34" s="16"/>
      <c r="F34" s="16"/>
      <c r="G34" s="16"/>
    </row>
    <row r="35" spans="1:7" x14ac:dyDescent="0.2">
      <c r="A35" s="2"/>
      <c r="B35"/>
      <c r="C35"/>
      <c r="D35"/>
      <c r="E35"/>
      <c r="F35"/>
      <c r="G35"/>
    </row>
    <row r="36" spans="1:7" x14ac:dyDescent="0.2">
      <c r="A36" s="2"/>
      <c r="B36"/>
      <c r="C36"/>
      <c r="D36"/>
      <c r="E36"/>
      <c r="F36"/>
      <c r="G36"/>
    </row>
    <row r="37" spans="1:7" x14ac:dyDescent="0.2">
      <c r="A37" s="2"/>
      <c r="B37"/>
      <c r="C37"/>
      <c r="D37"/>
      <c r="E37"/>
      <c r="F37"/>
      <c r="G37"/>
    </row>
    <row r="38" spans="1:7" x14ac:dyDescent="0.2">
      <c r="A38" s="2"/>
      <c r="B38"/>
      <c r="C38"/>
      <c r="D38"/>
      <c r="E38"/>
      <c r="F38"/>
      <c r="G38"/>
    </row>
    <row r="39" spans="1:7" x14ac:dyDescent="0.2">
      <c r="A39" s="2"/>
      <c r="B39"/>
      <c r="C39"/>
      <c r="D39"/>
      <c r="E39"/>
      <c r="F39"/>
      <c r="G39"/>
    </row>
    <row r="40" spans="1:7" x14ac:dyDescent="0.2">
      <c r="A40" s="2"/>
      <c r="B40"/>
      <c r="C40"/>
      <c r="D40"/>
      <c r="E40"/>
      <c r="F40"/>
      <c r="G40"/>
    </row>
    <row r="41" spans="1:7" x14ac:dyDescent="0.2">
      <c r="A41" s="2"/>
      <c r="B41"/>
      <c r="C41"/>
      <c r="D41"/>
      <c r="E41"/>
      <c r="F41"/>
      <c r="G41"/>
    </row>
    <row r="42" spans="1:7" x14ac:dyDescent="0.2">
      <c r="A42" s="2"/>
      <c r="B42"/>
      <c r="C42"/>
      <c r="D42"/>
      <c r="E42"/>
      <c r="F42"/>
      <c r="G42"/>
    </row>
    <row r="43" spans="1:7" x14ac:dyDescent="0.2">
      <c r="A43" s="2"/>
      <c r="B43"/>
      <c r="C43"/>
      <c r="D43"/>
      <c r="E43"/>
      <c r="F43"/>
      <c r="G43"/>
    </row>
    <row r="44" spans="1:7" x14ac:dyDescent="0.2">
      <c r="A44" s="2"/>
      <c r="B44"/>
      <c r="C44"/>
      <c r="D44"/>
      <c r="E44"/>
      <c r="F44"/>
      <c r="G44"/>
    </row>
    <row r="45" spans="1:7" x14ac:dyDescent="0.2">
      <c r="A45" s="2"/>
      <c r="B45"/>
      <c r="C45"/>
      <c r="D45"/>
      <c r="E45"/>
      <c r="F45"/>
      <c r="G45"/>
    </row>
    <row r="46" spans="1:7" x14ac:dyDescent="0.2">
      <c r="A46" s="2"/>
      <c r="B46"/>
      <c r="C46"/>
      <c r="D46"/>
      <c r="E46"/>
      <c r="F46"/>
      <c r="G46"/>
    </row>
    <row r="47" spans="1:7" x14ac:dyDescent="0.2">
      <c r="A47" s="2"/>
      <c r="B47"/>
      <c r="C47"/>
      <c r="D47"/>
      <c r="E47"/>
      <c r="F47"/>
      <c r="G47"/>
    </row>
    <row r="48" spans="1:7" x14ac:dyDescent="0.2">
      <c r="A48" s="2"/>
      <c r="B48"/>
      <c r="C48"/>
      <c r="D48"/>
      <c r="E48"/>
      <c r="F48"/>
      <c r="G48"/>
    </row>
    <row r="49" spans="1:7" x14ac:dyDescent="0.2">
      <c r="A49" s="2"/>
      <c r="B49"/>
      <c r="C49"/>
      <c r="D49"/>
      <c r="E49"/>
      <c r="F49"/>
      <c r="G49"/>
    </row>
    <row r="50" spans="1:7" x14ac:dyDescent="0.2">
      <c r="A50" s="2"/>
      <c r="B50"/>
      <c r="C50"/>
      <c r="D50"/>
      <c r="E50"/>
      <c r="F50"/>
      <c r="G50"/>
    </row>
    <row r="51" spans="1:7" x14ac:dyDescent="0.2">
      <c r="A51" s="2"/>
      <c r="B51"/>
      <c r="C51"/>
      <c r="D51"/>
      <c r="E51"/>
      <c r="F51"/>
      <c r="G51"/>
    </row>
    <row r="52" spans="1:7" x14ac:dyDescent="0.2">
      <c r="A52" s="2"/>
      <c r="B52"/>
      <c r="C52"/>
      <c r="D52"/>
      <c r="E52"/>
      <c r="F52"/>
      <c r="G52"/>
    </row>
    <row r="53" spans="1:7" x14ac:dyDescent="0.2">
      <c r="A53" s="2"/>
      <c r="B53"/>
      <c r="C53"/>
      <c r="D53"/>
      <c r="E53"/>
      <c r="F53"/>
      <c r="G53"/>
    </row>
    <row r="54" spans="1:7" x14ac:dyDescent="0.2">
      <c r="A54" s="2"/>
      <c r="B54"/>
      <c r="C54"/>
      <c r="D54"/>
      <c r="E54"/>
      <c r="F54"/>
      <c r="G54"/>
    </row>
    <row r="55" spans="1:7" x14ac:dyDescent="0.2">
      <c r="A55" s="2"/>
      <c r="B55"/>
      <c r="C55"/>
      <c r="D55"/>
      <c r="E55"/>
      <c r="F55"/>
      <c r="G55"/>
    </row>
    <row r="56" spans="1:7" x14ac:dyDescent="0.2">
      <c r="A56" s="2"/>
      <c r="B56"/>
      <c r="C56"/>
      <c r="D56"/>
      <c r="E56"/>
      <c r="F56"/>
      <c r="G56"/>
    </row>
    <row r="57" spans="1:7" x14ac:dyDescent="0.2">
      <c r="A57" s="2"/>
      <c r="B57"/>
      <c r="C57"/>
      <c r="D57"/>
      <c r="E57"/>
      <c r="F57"/>
      <c r="G57"/>
    </row>
    <row r="58" spans="1:7" x14ac:dyDescent="0.2">
      <c r="A58" s="2"/>
      <c r="B58"/>
      <c r="C58"/>
      <c r="D58"/>
      <c r="E58"/>
      <c r="F58"/>
      <c r="G58"/>
    </row>
    <row r="59" spans="1:7" x14ac:dyDescent="0.2">
      <c r="B59"/>
      <c r="C59"/>
      <c r="D59"/>
      <c r="E59"/>
      <c r="F59"/>
      <c r="G59"/>
    </row>
    <row r="60" spans="1:7" x14ac:dyDescent="0.2">
      <c r="B60"/>
      <c r="C60"/>
      <c r="D60"/>
      <c r="E60"/>
      <c r="F60"/>
      <c r="G60"/>
    </row>
    <row r="61" spans="1:7" x14ac:dyDescent="0.2">
      <c r="B61"/>
      <c r="C61"/>
      <c r="D61"/>
      <c r="E61"/>
      <c r="F61"/>
      <c r="G61"/>
    </row>
    <row r="62" spans="1:7" x14ac:dyDescent="0.2">
      <c r="B62"/>
      <c r="C62"/>
      <c r="D62"/>
      <c r="E62"/>
      <c r="F62"/>
      <c r="G62"/>
    </row>
    <row r="63" spans="1:7" x14ac:dyDescent="0.2">
      <c r="B63"/>
      <c r="C63"/>
      <c r="D63"/>
      <c r="E63"/>
      <c r="F63"/>
      <c r="G63"/>
    </row>
    <row r="64" spans="1:7" x14ac:dyDescent="0.2">
      <c r="B64"/>
      <c r="C64"/>
      <c r="D64"/>
      <c r="E64"/>
      <c r="F64"/>
      <c r="G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</sheetData>
  <mergeCells count="2">
    <mergeCell ref="B1:G1"/>
    <mergeCell ref="L12:M12"/>
  </mergeCells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M56"/>
  <sheetViews>
    <sheetView topLeftCell="A8" workbookViewId="0">
      <selection activeCell="B13" sqref="B13"/>
    </sheetView>
  </sheetViews>
  <sheetFormatPr defaultRowHeight="12.75" x14ac:dyDescent="0.2"/>
  <cols>
    <col min="1" max="1" width="11" customWidth="1"/>
    <col min="2" max="2" width="14.140625" style="5" bestFit="1" customWidth="1"/>
    <col min="3" max="4" width="12.5703125" style="5" customWidth="1"/>
    <col min="5" max="5" width="13.42578125" customWidth="1"/>
    <col min="6" max="6" width="13" customWidth="1"/>
    <col min="7" max="7" width="13.42578125" customWidth="1"/>
    <col min="8" max="8" width="12.5703125" bestFit="1" customWidth="1"/>
    <col min="10" max="10" width="12.42578125" style="5" bestFit="1" customWidth="1"/>
    <col min="11" max="11" width="13.42578125" bestFit="1" customWidth="1"/>
    <col min="12" max="13" width="9.140625" style="5" customWidth="1"/>
  </cols>
  <sheetData>
    <row r="1" spans="1:10" ht="38.25" x14ac:dyDescent="0.2">
      <c r="B1" s="6" t="str">
        <f>'Rate Class Customer Model'!D2</f>
        <v>General Service &gt; 50 to 4999 kW</v>
      </c>
      <c r="C1" s="6" t="str">
        <f>'Rate Class Customer Model'!F2</f>
        <v>Sentinel Lighting</v>
      </c>
      <c r="D1" s="100" t="str">
        <f>'Rate Class Energy Model'!M2</f>
        <v>Street Lighting</v>
      </c>
      <c r="E1" s="47" t="s">
        <v>5</v>
      </c>
      <c r="J1" s="6"/>
    </row>
    <row r="2" spans="1:10" x14ac:dyDescent="0.2">
      <c r="A2" s="20">
        <f>+'Rate Class Customer Model'!A3</f>
        <v>2014</v>
      </c>
      <c r="B2" s="34">
        <f>SUMIF(Inputs!$A$24:$A$143,'Rate Class Load Model'!$A2,Inputs!$K$24:$K$143)</f>
        <v>288260.7</v>
      </c>
      <c r="C2" s="34">
        <f>SUMIF(Inputs!$A$24:$A$143,'Rate Class Load Model'!$A2,Inputs!$P$24:$P$143)</f>
        <v>138.89961839927633</v>
      </c>
      <c r="D2" s="34">
        <f>SUMIF(Inputs!$A$24:$A$143,'Rate Class Load Model'!$A2,Inputs!$S$24:$S$143)</f>
        <v>6610.2200000000012</v>
      </c>
      <c r="E2" s="45">
        <f t="shared" ref="E2:E13" si="0">SUM(B2:D2)</f>
        <v>295009.81961839925</v>
      </c>
      <c r="F2" s="38" t="s">
        <v>65</v>
      </c>
    </row>
    <row r="3" spans="1:10" x14ac:dyDescent="0.2">
      <c r="A3" s="20">
        <f>+'Rate Class Customer Model'!A4</f>
        <v>2015</v>
      </c>
      <c r="B3" s="34">
        <f>SUMIF(Inputs!$A$24:$A$143,'Rate Class Load Model'!$A3,Inputs!$K$24:$K$143)</f>
        <v>288082.36</v>
      </c>
      <c r="C3" s="34">
        <f>SUMIF(Inputs!$A$24:$A$143,'Rate Class Load Model'!$A3,Inputs!$P$24:$P$143)</f>
        <v>136.41233333333329</v>
      </c>
      <c r="D3" s="34">
        <f>SUMIF(Inputs!$A$24:$A$143,'Rate Class Load Model'!$A3,Inputs!$S$24:$S$143)</f>
        <v>5922.15</v>
      </c>
      <c r="E3" s="45">
        <f t="shared" si="0"/>
        <v>294140.92233333335</v>
      </c>
    </row>
    <row r="4" spans="1:10" x14ac:dyDescent="0.2">
      <c r="A4" s="20">
        <f>+'Rate Class Customer Model'!A5</f>
        <v>2016</v>
      </c>
      <c r="B4" s="34">
        <f>SUMIF(Inputs!$A$24:$A$143,'Rate Class Load Model'!$A4,Inputs!$K$24:$K$143)</f>
        <v>283796.43000000005</v>
      </c>
      <c r="C4" s="34">
        <f>SUMIF(Inputs!$A$24:$A$143,'Rate Class Load Model'!$A4,Inputs!$P$24:$P$143)</f>
        <v>135.40497222222223</v>
      </c>
      <c r="D4" s="34">
        <f>SUMIF(Inputs!$A$24:$A$143,'Rate Class Load Model'!$A4,Inputs!$S$24:$S$143)</f>
        <v>3094.04</v>
      </c>
      <c r="E4" s="45">
        <f t="shared" si="0"/>
        <v>287025.87497222226</v>
      </c>
      <c r="J4" s="35"/>
    </row>
    <row r="5" spans="1:10" x14ac:dyDescent="0.2">
      <c r="A5" s="20">
        <f>+'Rate Class Customer Model'!A6</f>
        <v>2017</v>
      </c>
      <c r="B5" s="34">
        <f>SUMIF(Inputs!$A$24:$A$143,'Rate Class Load Model'!$A5,Inputs!$K$24:$K$143)</f>
        <v>281771.10000000003</v>
      </c>
      <c r="C5" s="34">
        <f>SUMIF(Inputs!$A$24:$A$143,'Rate Class Load Model'!$A5,Inputs!$P$24:$P$143)</f>
        <v>122.87111111111111</v>
      </c>
      <c r="D5" s="34">
        <f>SUMIF(Inputs!$A$24:$A$143,'Rate Class Load Model'!$A5,Inputs!$S$24:$S$143)</f>
        <v>3196.5600000000009</v>
      </c>
      <c r="E5" s="45">
        <f t="shared" si="0"/>
        <v>285090.53111111117</v>
      </c>
      <c r="J5" s="35"/>
    </row>
    <row r="6" spans="1:10" x14ac:dyDescent="0.2">
      <c r="A6" s="20">
        <f>+'Rate Class Customer Model'!A7</f>
        <v>2018</v>
      </c>
      <c r="B6" s="34">
        <f>SUMIF(Inputs!$A$24:$A$143,'Rate Class Load Model'!$A6,Inputs!$K$24:$K$143)</f>
        <v>288024.30000000005</v>
      </c>
      <c r="C6" s="34">
        <f>SUMIF(Inputs!$A$24:$A$143,'Rate Class Load Model'!$A6,Inputs!$P$24:$P$143)</f>
        <v>113.39249999999998</v>
      </c>
      <c r="D6" s="34">
        <f>SUMIF(Inputs!$A$24:$A$143,'Rate Class Load Model'!$A6,Inputs!$S$24:$S$143)</f>
        <v>3087.5699999999993</v>
      </c>
      <c r="E6" s="45">
        <f t="shared" si="0"/>
        <v>291225.26250000007</v>
      </c>
      <c r="J6" s="35"/>
    </row>
    <row r="7" spans="1:10" x14ac:dyDescent="0.2">
      <c r="A7" s="20">
        <f>+'Rate Class Customer Model'!A8</f>
        <v>2019</v>
      </c>
      <c r="B7" s="34">
        <f>SUMIF(Inputs!$A$24:$A$143,'Rate Class Load Model'!$A7,Inputs!$K$24:$K$143)</f>
        <v>289524.01999999996</v>
      </c>
      <c r="C7" s="34">
        <f>SUMIF(Inputs!$A$24:$A$143,'Rate Class Load Model'!$A7,Inputs!$P$24:$P$143)</f>
        <v>108.64861111111111</v>
      </c>
      <c r="D7" s="34">
        <f>SUMIF(Inputs!$A$24:$A$143,'Rate Class Load Model'!$A7,Inputs!$S$24:$S$143)</f>
        <v>3074.1600000000003</v>
      </c>
      <c r="E7" s="45">
        <f t="shared" si="0"/>
        <v>292706.82861111104</v>
      </c>
      <c r="J7" s="35"/>
    </row>
    <row r="8" spans="1:10" x14ac:dyDescent="0.2">
      <c r="A8" s="20">
        <f>+'Rate Class Customer Model'!A9</f>
        <v>2020</v>
      </c>
      <c r="B8" s="34">
        <f>SUMIF(Inputs!$A$24:$A$143,'Rate Class Load Model'!$A8,Inputs!$K$24:$K$143)</f>
        <v>290762.68</v>
      </c>
      <c r="C8" s="34">
        <f>SUMIF(Inputs!$A$24:$A$143,'Rate Class Load Model'!$A8,Inputs!$P$24:$P$143)</f>
        <v>103.58055555555556</v>
      </c>
      <c r="D8" s="34">
        <f>SUMIF(Inputs!$A$24:$A$143,'Rate Class Load Model'!$A8,Inputs!$S$24:$S$143)</f>
        <v>3080.420000000001</v>
      </c>
      <c r="E8" s="45">
        <f t="shared" si="0"/>
        <v>293946.6805555555</v>
      </c>
      <c r="J8" s="35"/>
    </row>
    <row r="9" spans="1:10" x14ac:dyDescent="0.2">
      <c r="A9" s="20">
        <f>+'Rate Class Customer Model'!A10</f>
        <v>2021</v>
      </c>
      <c r="B9" s="34">
        <f>SUMIF(Inputs!$A$24:$A$143,'Rate Class Load Model'!$A9,Inputs!$K$24:$K$143)</f>
        <v>285432.01</v>
      </c>
      <c r="C9" s="34">
        <f>SUMIF(Inputs!$A$24:$A$143,'Rate Class Load Model'!$A9,Inputs!$P$24:$P$143)</f>
        <v>102.90555555555558</v>
      </c>
      <c r="D9" s="34">
        <f>SUMIF(Inputs!$A$24:$A$143,'Rate Class Load Model'!$A9,Inputs!$S$24:$S$143)</f>
        <v>3082.3200000000011</v>
      </c>
      <c r="E9" s="45">
        <f t="shared" si="0"/>
        <v>288617.23555555556</v>
      </c>
    </row>
    <row r="10" spans="1:10" x14ac:dyDescent="0.2">
      <c r="A10" s="20">
        <f>+'Rate Class Customer Model'!A11</f>
        <v>2022</v>
      </c>
      <c r="B10" s="34">
        <f>SUMIF(Inputs!$A$24:$A$143,'Rate Class Load Model'!$A10,Inputs!$K$24:$K$143)</f>
        <v>308240.81</v>
      </c>
      <c r="C10" s="34">
        <f>SUMIF(Inputs!$A$24:$A$143,'Rate Class Load Model'!$A10,Inputs!$P$24:$P$143)</f>
        <v>97.047222222222217</v>
      </c>
      <c r="D10" s="34">
        <f>SUMIF(Inputs!$A$24:$A$143,'Rate Class Load Model'!$A10,Inputs!$S$24:$S$143)</f>
        <v>3082.3200000000011</v>
      </c>
      <c r="E10" s="45">
        <f t="shared" si="0"/>
        <v>311420.17722222221</v>
      </c>
    </row>
    <row r="11" spans="1:10" x14ac:dyDescent="0.2">
      <c r="A11" s="20">
        <f>+'Rate Class Customer Model'!A12</f>
        <v>2023</v>
      </c>
      <c r="B11" s="34">
        <f>SUMIF(Inputs!$A$24:$A$143,'Rate Class Load Model'!$A11,Inputs!$K$24:$K$143)</f>
        <v>315533.88999999996</v>
      </c>
      <c r="C11" s="34">
        <f>SUMIF(Inputs!$A$24:$A$143,'Rate Class Load Model'!$A11,Inputs!$P$24:$P$143)</f>
        <v>86.600000000000009</v>
      </c>
      <c r="D11" s="34">
        <f>SUMIF(Inputs!$A$24:$A$143,'Rate Class Load Model'!$A11,Inputs!$S$24:$S$143)</f>
        <v>3082.6000000000008</v>
      </c>
      <c r="E11" s="45">
        <f t="shared" si="0"/>
        <v>318703.08999999991</v>
      </c>
    </row>
    <row r="12" spans="1:10" x14ac:dyDescent="0.2">
      <c r="A12" s="20">
        <f>+'Rate Class Customer Model'!A13</f>
        <v>2024</v>
      </c>
      <c r="B12" s="34">
        <f>SUMIF(Inputs!$A$24:$A$155,'Rate Class Load Model'!$A12,Inputs!$K$24:$K$155)</f>
        <v>313416.03999999998</v>
      </c>
      <c r="C12" s="34">
        <f>SUMIF(Inputs!$A$24:$A$155,'Rate Class Load Model'!$A12,Inputs!$P$24:$P$155)</f>
        <v>85.759</v>
      </c>
      <c r="D12" s="34">
        <f>SUMIF(Inputs!$A$24:$A$155,'Rate Class Load Model'!$A12,Inputs!$S$24:$S$155)</f>
        <v>3082.3200000000011</v>
      </c>
      <c r="E12" s="45">
        <f t="shared" si="0"/>
        <v>316584.11900000001</v>
      </c>
    </row>
    <row r="13" spans="1:10" x14ac:dyDescent="0.2">
      <c r="A13" s="20">
        <f>+'Rate Class Customer Model'!A14</f>
        <v>2025</v>
      </c>
      <c r="B13" s="123">
        <f>B$28*'Rate Class Energy Model'!J32</f>
        <v>311745.42136929382</v>
      </c>
      <c r="C13" s="123">
        <f>C$28*'Rate Class Energy Model'!L32</f>
        <v>81.162549640620455</v>
      </c>
      <c r="D13" s="123">
        <f>D$28*'Rate Class Energy Model'!M32</f>
        <v>3008.4814552397265</v>
      </c>
      <c r="E13" s="45">
        <f t="shared" si="0"/>
        <v>314835.06537417416</v>
      </c>
    </row>
    <row r="14" spans="1:10" x14ac:dyDescent="0.2">
      <c r="A14" s="12"/>
      <c r="E14" s="31"/>
    </row>
    <row r="15" spans="1:10" x14ac:dyDescent="0.2">
      <c r="A15" s="12" t="s">
        <v>44</v>
      </c>
      <c r="B15" s="4"/>
      <c r="C15" s="4"/>
      <c r="D15" s="4"/>
    </row>
    <row r="16" spans="1:10" x14ac:dyDescent="0.2">
      <c r="A16" s="20">
        <f>+A2</f>
        <v>2014</v>
      </c>
      <c r="B16" s="48">
        <f>B2/'Rate Class Energy Model'!J3</f>
        <v>2.3650077972807992E-3</v>
      </c>
      <c r="C16" s="48">
        <f>C2/'Rate Class Energy Model'!L3</f>
        <v>2.7777777777777779E-3</v>
      </c>
      <c r="D16" s="48">
        <f>D2/'Rate Class Energy Model'!M3</f>
        <v>2.7478069840992658E-3</v>
      </c>
      <c r="J16" s="18"/>
    </row>
    <row r="17" spans="1:10" x14ac:dyDescent="0.2">
      <c r="A17" s="20">
        <f t="shared" ref="A17:A26" si="1">+A3</f>
        <v>2015</v>
      </c>
      <c r="B17" s="48">
        <f>B3/'Rate Class Energy Model'!J4</f>
        <v>2.4054202500975435E-3</v>
      </c>
      <c r="C17" s="48">
        <f>C3/'Rate Class Energy Model'!L4</f>
        <v>2.7777777777777775E-3</v>
      </c>
      <c r="D17" s="48">
        <f>D3/'Rate Class Energy Model'!M4</f>
        <v>2.9177681717984889E-3</v>
      </c>
      <c r="J17" s="18"/>
    </row>
    <row r="18" spans="1:10" x14ac:dyDescent="0.2">
      <c r="A18" s="20">
        <f t="shared" si="1"/>
        <v>2016</v>
      </c>
      <c r="B18" s="48">
        <f>B4/'Rate Class Energy Model'!J5</f>
        <v>2.4331572807867081E-3</v>
      </c>
      <c r="C18" s="48">
        <f>C4/'Rate Class Energy Model'!L5</f>
        <v>2.7777777777777783E-3</v>
      </c>
      <c r="D18" s="48">
        <f>D4/'Rate Class Energy Model'!M5</f>
        <v>2.7229425214385788E-3</v>
      </c>
      <c r="J18" s="18"/>
    </row>
    <row r="19" spans="1:10" x14ac:dyDescent="0.2">
      <c r="A19" s="20">
        <f t="shared" si="1"/>
        <v>2017</v>
      </c>
      <c r="B19" s="48">
        <f>B5/'Rate Class Energy Model'!J6</f>
        <v>2.3983756142886641E-3</v>
      </c>
      <c r="C19" s="48">
        <f>C5/'Rate Class Energy Model'!L6</f>
        <v>2.7777777777777775E-3</v>
      </c>
      <c r="D19" s="48">
        <f>D5/'Rate Class Energy Model'!M6</f>
        <v>2.7688933507861754E-3</v>
      </c>
      <c r="J19" s="18"/>
    </row>
    <row r="20" spans="1:10" x14ac:dyDescent="0.2">
      <c r="A20" s="20">
        <f t="shared" si="1"/>
        <v>2018</v>
      </c>
      <c r="B20" s="48">
        <f>B6/'Rate Class Energy Model'!J7</f>
        <v>2.4184927839844684E-3</v>
      </c>
      <c r="C20" s="48">
        <f>C6/'Rate Class Energy Model'!L7</f>
        <v>2.777777777777777E-3</v>
      </c>
      <c r="D20" s="48">
        <f>D6/'Rate Class Energy Model'!M7</f>
        <v>2.7715296971089665E-3</v>
      </c>
      <c r="J20" s="18"/>
    </row>
    <row r="21" spans="1:10" x14ac:dyDescent="0.2">
      <c r="A21" s="20">
        <f t="shared" si="1"/>
        <v>2019</v>
      </c>
      <c r="B21" s="48">
        <f>B7/'Rate Class Energy Model'!J8</f>
        <v>2.4433352125902926E-3</v>
      </c>
      <c r="C21" s="48">
        <f>C7/'Rate Class Energy Model'!L8</f>
        <v>2.7777777777777779E-3</v>
      </c>
      <c r="D21" s="48">
        <f>D7/'Rate Class Energy Model'!M8</f>
        <v>2.7671253098677001E-3</v>
      </c>
      <c r="J21" s="18"/>
    </row>
    <row r="22" spans="1:10" x14ac:dyDescent="0.2">
      <c r="A22" s="20">
        <f t="shared" si="1"/>
        <v>2020</v>
      </c>
      <c r="B22" s="48">
        <f>B8/'Rate Class Energy Model'!J9</f>
        <v>2.4670200529735833E-3</v>
      </c>
      <c r="C22" s="48">
        <f>C8/'Rate Class Energy Model'!L9</f>
        <v>2.7777777777777779E-3</v>
      </c>
      <c r="D22" s="48">
        <f>D8/'Rate Class Energy Model'!M9</f>
        <v>2.8333126382546238E-3</v>
      </c>
      <c r="J22" s="18"/>
    </row>
    <row r="23" spans="1:10" x14ac:dyDescent="0.2">
      <c r="A23" s="20">
        <f t="shared" si="1"/>
        <v>2021</v>
      </c>
      <c r="B23" s="48">
        <f>B9/'Rate Class Energy Model'!J10</f>
        <v>2.3858847461698308E-3</v>
      </c>
      <c r="C23" s="48">
        <f>C9/'Rate Class Energy Model'!L10</f>
        <v>2.7777777777777783E-3</v>
      </c>
      <c r="D23" s="48">
        <f>D9/'Rate Class Energy Model'!M10</f>
        <v>2.9108230390106128E-3</v>
      </c>
      <c r="J23" s="18"/>
    </row>
    <row r="24" spans="1:10" x14ac:dyDescent="0.2">
      <c r="A24" s="20">
        <f t="shared" si="1"/>
        <v>2022</v>
      </c>
      <c r="B24" s="48">
        <f>B10/'Rate Class Energy Model'!J11</f>
        <v>2.461848437909996E-3</v>
      </c>
      <c r="C24" s="48">
        <f>C10/'Rate Class Energy Model'!L11</f>
        <v>2.7777777777777775E-3</v>
      </c>
      <c r="D24" s="48">
        <f>D10/'Rate Class Energy Model'!M11</f>
        <v>2.9108037970619243E-3</v>
      </c>
      <c r="J24" s="18"/>
    </row>
    <row r="25" spans="1:10" x14ac:dyDescent="0.2">
      <c r="A25" s="20">
        <f t="shared" si="1"/>
        <v>2023</v>
      </c>
      <c r="B25" s="48">
        <f>B11/'Rate Class Energy Model'!J12</f>
        <v>2.5767591945955915E-3</v>
      </c>
      <c r="C25" s="48">
        <f>C11/'Rate Class Energy Model'!L12</f>
        <v>2.7777991619129735E-3</v>
      </c>
      <c r="D25" s="48">
        <f>D11/'Rate Class Energy Model'!M12</f>
        <v>2.9110689586680626E-3</v>
      </c>
      <c r="J25" s="18"/>
    </row>
    <row r="26" spans="1:10" x14ac:dyDescent="0.2">
      <c r="A26" s="20">
        <f t="shared" si="1"/>
        <v>2024</v>
      </c>
      <c r="B26" s="48">
        <f>B12/'Rate Class Energy Model'!J13</f>
        <v>2.5956629000297724E-3</v>
      </c>
      <c r="C26" s="48">
        <f>C12/'Rate Class Energy Model'!L13</f>
        <v>2.7777921736347648E-3</v>
      </c>
      <c r="D26" s="48">
        <f>D12/'Rate Class Energy Model'!M13</f>
        <v>2.9026965784894462E-3</v>
      </c>
      <c r="J26" s="18"/>
    </row>
    <row r="28" spans="1:10" x14ac:dyDescent="0.2">
      <c r="A28" s="38" t="s">
        <v>43</v>
      </c>
      <c r="B28" s="18">
        <f>B30</f>
        <v>2.4500876609733864E-3</v>
      </c>
      <c r="C28" s="18">
        <f>C30</f>
        <v>2.7777810305043395E-3</v>
      </c>
      <c r="D28" s="18">
        <f>D30</f>
        <v>2.8331610042348953E-3</v>
      </c>
    </row>
    <row r="30" spans="1:10" x14ac:dyDescent="0.2">
      <c r="A30" t="s">
        <v>7</v>
      </c>
      <c r="B30" s="18">
        <f>AVERAGE(B16:B26)</f>
        <v>2.4500876609733864E-3</v>
      </c>
      <c r="C30" s="18">
        <f>AVERAGE(C16:C26)</f>
        <v>2.7777810305043395E-3</v>
      </c>
      <c r="D30" s="18">
        <f>AVERAGE(D16:D26)</f>
        <v>2.8331610042348953E-3</v>
      </c>
      <c r="I30" s="18"/>
      <c r="J30" s="18"/>
    </row>
    <row r="35" spans="2:4" x14ac:dyDescent="0.2">
      <c r="B35" s="17"/>
      <c r="C35" s="17"/>
      <c r="D35" s="17"/>
    </row>
    <row r="36" spans="2:4" x14ac:dyDescent="0.2">
      <c r="B36" s="17"/>
      <c r="C36" s="17"/>
      <c r="D36" s="17"/>
    </row>
    <row r="55" spans="2:4" x14ac:dyDescent="0.2">
      <c r="B55" s="11"/>
      <c r="C55" s="11"/>
      <c r="D55" s="11"/>
    </row>
    <row r="56" spans="2:4" x14ac:dyDescent="0.2">
      <c r="B56" s="11"/>
      <c r="C56" s="11"/>
      <c r="D56" s="11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Inputs</vt:lpstr>
      <vt:lpstr>Load Forecast Summary</vt:lpstr>
      <vt:lpstr>Power Purchased Model</vt:lpstr>
      <vt:lpstr>Power Purchased Model WN</vt:lpstr>
      <vt:lpstr>Rate Class Energy Model</vt:lpstr>
      <vt:lpstr>Rate Class Customer Model</vt:lpstr>
      <vt:lpstr>Rate Class Load Model</vt:lpstr>
      <vt:lpstr>'Load Forecast Summary'!Print_Area</vt:lpstr>
      <vt:lpstr>'Power Purchased Model'!Print_Area</vt:lpstr>
      <vt:lpstr>'Power Purchased Model WN'!Print_Area</vt:lpstr>
      <vt:lpstr>'Rate Class Customer Model'!Print_Area</vt:lpstr>
      <vt:lpstr>'Rate Class Load Model'!Print_Area</vt:lpstr>
      <vt:lpstr>'Power Purchased Model'!Print_Titles</vt:lpstr>
      <vt:lpstr>'Power Purchased Model WN'!Print_Titles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2025-02-28T00:43:28Z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</Properties>
</file>