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wongda_oeb_ca/Documents/Documents/Cases/2025/IRMs/Burlington/DRO/"/>
    </mc:Choice>
  </mc:AlternateContent>
  <xr:revisionPtr revIDLastSave="34" documentId="8_{70EE1F61-B11F-4396-AC89-B8BE8D37C631}" xr6:coauthVersionLast="47" xr6:coauthVersionMax="47" xr10:uidLastSave="{037B8D7E-6FAB-4308-95FE-B248E7D266DD}"/>
  <bookViews>
    <workbookView xWindow="-120" yWindow="-120" windowWidth="29040" windowHeight="15840" xr2:uid="{9CCCEDAB-CB96-41B0-9FDE-25E9F576A94F}"/>
  </bookViews>
  <sheets>
    <sheet name="Rev Requiremen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8" i="1" l="1"/>
  <c r="G97" i="1"/>
  <c r="G96" i="1"/>
  <c r="C12" i="1"/>
  <c r="F65" i="1"/>
  <c r="G65" i="1" s="1"/>
  <c r="F34" i="1"/>
  <c r="F35" i="1" s="1"/>
  <c r="C101" i="1"/>
  <c r="G34" i="1"/>
  <c r="G56" i="1" s="1"/>
  <c r="G35" i="1"/>
  <c r="G46" i="1" s="1"/>
  <c r="G48" i="1" s="1"/>
  <c r="F56" i="1"/>
  <c r="F63" i="1" s="1"/>
  <c r="E56" i="1"/>
  <c r="E90" i="1" s="1"/>
  <c r="E46" i="1"/>
  <c r="E48" i="1" s="1"/>
  <c r="B91" i="1"/>
  <c r="C47" i="1"/>
  <c r="C45" i="1"/>
  <c r="C37" i="1"/>
  <c r="E35" i="1"/>
  <c r="E38" i="1" s="1"/>
  <c r="H24" i="1"/>
  <c r="E24" i="1"/>
  <c r="E19" i="1"/>
  <c r="E13" i="1"/>
  <c r="C27" i="1"/>
  <c r="C26" i="1"/>
  <c r="C28" i="1"/>
  <c r="F37" i="1" l="1"/>
  <c r="F40" i="1" s="1"/>
  <c r="F46" i="1"/>
  <c r="F48" i="1" s="1"/>
  <c r="F61" i="1" s="1"/>
  <c r="F90" i="1"/>
  <c r="F67" i="1"/>
  <c r="F71" i="1"/>
  <c r="F73" i="1" s="1"/>
  <c r="F91" i="1" s="1"/>
  <c r="F43" i="1"/>
  <c r="F50" i="1" s="1"/>
  <c r="F89" i="1" s="1"/>
  <c r="G90" i="1"/>
  <c r="G63" i="1"/>
  <c r="G67" i="1" s="1"/>
  <c r="G71" i="1" s="1"/>
  <c r="G73" i="1" s="1"/>
  <c r="G91" i="1" s="1"/>
  <c r="G61" i="1"/>
  <c r="G37" i="1"/>
  <c r="G40" i="1" s="1"/>
  <c r="F38" i="1"/>
  <c r="F41" i="1" s="1"/>
  <c r="G38" i="1"/>
  <c r="G41" i="1" s="1"/>
  <c r="E37" i="1"/>
  <c r="E40" i="1" s="1"/>
  <c r="E43" i="1" s="1"/>
  <c r="E50" i="1" s="1"/>
  <c r="E61" i="1"/>
  <c r="E63" i="1"/>
  <c r="E28" i="1"/>
  <c r="F94" i="1" l="1"/>
  <c r="F101" i="1" s="1"/>
  <c r="F102" i="1" s="1"/>
  <c r="F103" i="1" s="1"/>
  <c r="F104" i="1" s="1"/>
  <c r="F106" i="1" s="1"/>
  <c r="E67" i="1"/>
  <c r="E71" i="1" s="1"/>
  <c r="E73" i="1" s="1"/>
  <c r="E91" i="1" s="1"/>
  <c r="G43" i="1"/>
  <c r="G50" i="1" s="1"/>
  <c r="G89" i="1" s="1"/>
  <c r="G94" i="1" s="1"/>
  <c r="E89" i="1"/>
  <c r="E94" i="1" l="1"/>
  <c r="E101" i="1" s="1"/>
  <c r="E102" i="1"/>
  <c r="E103" i="1" s="1"/>
  <c r="E104" i="1" l="1"/>
  <c r="E106" i="1" s="1"/>
</calcChain>
</file>

<file path=xl/sharedStrings.xml><?xml version="1.0" encoding="utf-8"?>
<sst xmlns="http://schemas.openxmlformats.org/spreadsheetml/2006/main" count="109" uniqueCount="98">
  <si>
    <t>Incremental Capital Adjustment</t>
  </si>
  <si>
    <t>Rate Year:</t>
  </si>
  <si>
    <t>Current Revenue Requirement</t>
  </si>
  <si>
    <t>Current Revenue Requirement - Total</t>
  </si>
  <si>
    <t>A</t>
  </si>
  <si>
    <t>Eligible Incremental Capital for ACM/ICM Recovery</t>
  </si>
  <si>
    <t>Total Claim</t>
  </si>
  <si>
    <t>Eligible for ACM/ICM</t>
  </si>
  <si>
    <t>(from Sheet 10b)</t>
  </si>
  <si>
    <t>Amount of Capital Projects Claimed</t>
  </si>
  <si>
    <t>B</t>
  </si>
  <si>
    <t>Depreciation Expense</t>
  </si>
  <si>
    <t>C</t>
  </si>
  <si>
    <t>CCA</t>
  </si>
  <si>
    <t>V</t>
  </si>
  <si>
    <t>Return on Rate Base</t>
  </si>
  <si>
    <t>Incremental Capital</t>
  </si>
  <si>
    <t>Depreciation Expense (prorated to Eligible Incremental Capital)</t>
  </si>
  <si>
    <t>Incremental Capital to be included in Rate Base (average NBV in year)</t>
  </si>
  <si>
    <t>D = B - C/2</t>
  </si>
  <si>
    <t>% of capital structure</t>
  </si>
  <si>
    <t>Deemed Short-Term Debt</t>
  </si>
  <si>
    <t>E</t>
  </si>
  <si>
    <t>G = D * E</t>
  </si>
  <si>
    <t>Deemed Long-Term Debt</t>
  </si>
  <si>
    <t>F</t>
  </si>
  <si>
    <t>H = D * F</t>
  </si>
  <si>
    <t>Rate (%)</t>
  </si>
  <si>
    <t>Short-Term Interest</t>
  </si>
  <si>
    <t>I</t>
  </si>
  <si>
    <t>K = G * I</t>
  </si>
  <si>
    <t>Long-Term Interest</t>
  </si>
  <si>
    <t>J</t>
  </si>
  <si>
    <t>L = H * J</t>
  </si>
  <si>
    <t>Return on Rate Base - Interest</t>
  </si>
  <si>
    <t>M = K + L</t>
  </si>
  <si>
    <t>Deemed Equity %</t>
  </si>
  <si>
    <t>N</t>
  </si>
  <si>
    <t>P = D * N</t>
  </si>
  <si>
    <t>Return on Rate Base -Equity</t>
  </si>
  <si>
    <t>O</t>
  </si>
  <si>
    <t>Q = P * O</t>
  </si>
  <si>
    <t>Return on Rate Base - Total</t>
  </si>
  <si>
    <t>R = M + Q</t>
  </si>
  <si>
    <t>Amortization Expense</t>
  </si>
  <si>
    <t>Amortization Expense - Incremental</t>
  </si>
  <si>
    <t>S</t>
  </si>
  <si>
    <t>Grossed up Taxes/PILs</t>
  </si>
  <si>
    <t>Regulatory Taxable Income</t>
  </si>
  <si>
    <t xml:space="preserve">T </t>
  </si>
  <si>
    <t>Add Back Amortization Expense (Prorated to Eligible Incremental Capital)</t>
  </si>
  <si>
    <t>U</t>
  </si>
  <si>
    <t>Deduct CCA (Prorated to Eligible Incremental Capital)</t>
  </si>
  <si>
    <t>Incremental Taxable Income</t>
  </si>
  <si>
    <t>W = T + U - V</t>
  </si>
  <si>
    <t>Current Tax Rate</t>
  </si>
  <si>
    <t>X</t>
  </si>
  <si>
    <t>Taxes/PILs Before Gross Up</t>
  </si>
  <si>
    <t>Y = W * X</t>
  </si>
  <si>
    <t>Grossed-Up Taxes/PILs</t>
  </si>
  <si>
    <t xml:space="preserve">Z = Y / ( 1 - X ) </t>
  </si>
  <si>
    <t>Ontario Capital Tax</t>
  </si>
  <si>
    <t>Incremental Capital CAPEX</t>
  </si>
  <si>
    <t>AA</t>
  </si>
  <si>
    <t>Less : Available Capital Exemption (if any)</t>
  </si>
  <si>
    <t>AB</t>
  </si>
  <si>
    <t>Incremental Capital CAPEX subject to OCT</t>
  </si>
  <si>
    <t>AC = AA - AB</t>
  </si>
  <si>
    <r>
      <t xml:space="preserve">Ontario Capital Tax Rate </t>
    </r>
    <r>
      <rPr>
        <sz val="8"/>
        <rFont val="Arial"/>
        <family val="2"/>
      </rPr>
      <t>(F1.1 Z-Factor Tax Changes)</t>
    </r>
  </si>
  <si>
    <t>AD</t>
  </si>
  <si>
    <t>Incremental Ontario Capital Tax</t>
  </si>
  <si>
    <t>AE = AC * AD</t>
  </si>
  <si>
    <t>Incremental Revenue Requirement</t>
  </si>
  <si>
    <t>Q</t>
  </si>
  <si>
    <t>Amortization Expense - Total</t>
  </si>
  <si>
    <t>Z</t>
  </si>
  <si>
    <t>AC</t>
  </si>
  <si>
    <t>AD = AA + AB + AC</t>
  </si>
  <si>
    <t xml:space="preserve"> Revenue Requirement Impact Calculation </t>
  </si>
  <si>
    <t>CVA Balance</t>
  </si>
  <si>
    <t>Net Capital</t>
  </si>
  <si>
    <t>Original embedded in rates (Budget in 2021)</t>
  </si>
  <si>
    <t>Actual expenditure in 2021 for Dundas Project</t>
  </si>
  <si>
    <t>Proposed by Staff</t>
  </si>
  <si>
    <t>Burlington Hydro - OEB Staff Recalculation</t>
  </si>
  <si>
    <t>EB-2024-0010</t>
  </si>
  <si>
    <t>Referencing Burlington Hydro's Draft Rate Order filed January 9, 2025, p 3-4</t>
  </si>
  <si>
    <t>Net capital expenditures</t>
  </si>
  <si>
    <t>Revenue Requirement Impact Calculation of Cancelled Dundas St. Rd. Widening Project and CVA Balance</t>
  </si>
  <si>
    <t>Section 2</t>
  </si>
  <si>
    <t>Section 1</t>
  </si>
  <si>
    <t>Net of the actual spending proposed by Burlington Hydro (from Table 2)</t>
  </si>
  <si>
    <t>Total Rev Requirement &amp; Interest</t>
  </si>
  <si>
    <t>Total Rev Req</t>
  </si>
  <si>
    <t>Check - Original budget less actual expenditures</t>
  </si>
  <si>
    <t>immaterial</t>
  </si>
  <si>
    <t>Interest (to be recalculated by Burlington Hydro)</t>
  </si>
  <si>
    <t>Revenue Requirement impact of Capital Variance (original)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</si>
</sst>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(&quot;$&quot;* #,##0_);_(&quot;$&quot;* \(#,##0\);_(&quot;$&quot;* &quot;-&quot;??_);_(@_)"/>
    <numFmt numFmtId="167" formatCode="0.0%"/>
  </numFmts>
  <fonts count="1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name val="Arial"/>
      <family val="2"/>
    </font>
    <font>
      <sz val="13"/>
      <color theme="1"/>
      <name val="Aptos Narrow"/>
      <family val="2"/>
      <scheme val="minor"/>
    </font>
    <font>
      <b/>
      <sz val="13"/>
      <color rgb="FFFF0000"/>
      <name val="Aptos Narrow"/>
      <family val="2"/>
      <scheme val="minor"/>
    </font>
    <font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4"/>
      <color theme="1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ptos Narrow"/>
      <family val="2"/>
      <scheme val="minor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9" fillId="0" borderId="1" xfId="0" applyFont="1" applyBorder="1" applyAlignment="1">
      <alignment horizontal="left"/>
    </xf>
    <xf numFmtId="0" fontId="0" fillId="0" borderId="2" xfId="0" applyBorder="1"/>
    <xf numFmtId="0" fontId="3" fillId="0" borderId="3" xfId="0" applyFont="1" applyBorder="1"/>
    <xf numFmtId="0" fontId="0" fillId="0" borderId="3" xfId="0" applyBorder="1"/>
    <xf numFmtId="165" fontId="8" fillId="0" borderId="4" xfId="1" applyNumberFormat="1" applyFont="1" applyBorder="1" applyProtection="1"/>
    <xf numFmtId="0" fontId="3" fillId="0" borderId="5" xfId="0" applyFont="1" applyBorder="1"/>
    <xf numFmtId="165" fontId="8" fillId="2" borderId="6" xfId="1" applyNumberFormat="1" applyFont="1" applyFill="1" applyBorder="1" applyProtection="1"/>
    <xf numFmtId="0" fontId="0" fillId="0" borderId="7" xfId="0" applyBorder="1"/>
    <xf numFmtId="0" fontId="3" fillId="2" borderId="8" xfId="0" applyFont="1" applyFill="1" applyBorder="1"/>
    <xf numFmtId="0" fontId="0" fillId="2" borderId="8" xfId="0" applyFill="1" applyBorder="1"/>
    <xf numFmtId="165" fontId="8" fillId="2" borderId="9" xfId="1" applyNumberFormat="1" applyFont="1" applyFill="1" applyBorder="1" applyProtection="1"/>
    <xf numFmtId="165" fontId="8" fillId="2" borderId="0" xfId="1" applyNumberFormat="1" applyFont="1" applyFill="1" applyBorder="1" applyProtection="1"/>
    <xf numFmtId="0" fontId="4" fillId="0" borderId="10" xfId="0" applyFont="1" applyBorder="1"/>
    <xf numFmtId="0" fontId="3" fillId="2" borderId="11" xfId="0" applyFont="1" applyFill="1" applyBorder="1"/>
    <xf numFmtId="0" fontId="12" fillId="2" borderId="3" xfId="0" applyFont="1" applyFill="1" applyBorder="1"/>
    <xf numFmtId="0" fontId="1" fillId="2" borderId="3" xfId="0" applyFont="1" applyFill="1" applyBorder="1"/>
    <xf numFmtId="165" fontId="12" fillId="2" borderId="4" xfId="1" applyNumberFormat="1" applyFont="1" applyFill="1" applyBorder="1" applyProtection="1"/>
    <xf numFmtId="0" fontId="0" fillId="0" borderId="5" xfId="0" applyBorder="1"/>
    <xf numFmtId="165" fontId="12" fillId="2" borderId="12" xfId="1" applyNumberFormat="1" applyFont="1" applyFill="1" applyBorder="1" applyProtection="1"/>
    <xf numFmtId="0" fontId="11" fillId="0" borderId="5" xfId="0" applyFont="1" applyBorder="1" applyAlignment="1">
      <alignment horizontal="center"/>
    </xf>
    <xf numFmtId="165" fontId="8" fillId="2" borderId="12" xfId="1" applyNumberFormat="1" applyFont="1" applyFill="1" applyBorder="1" applyProtection="1"/>
    <xf numFmtId="0" fontId="3" fillId="0" borderId="7" xfId="0" applyFont="1" applyBorder="1"/>
    <xf numFmtId="165" fontId="8" fillId="2" borderId="8" xfId="1" applyNumberFormat="1" applyFont="1" applyFill="1" applyBorder="1" applyProtection="1"/>
    <xf numFmtId="0" fontId="8" fillId="2" borderId="9" xfId="1" applyNumberFormat="1" applyFont="1" applyFill="1" applyBorder="1" applyProtection="1"/>
    <xf numFmtId="0" fontId="9" fillId="0" borderId="13" xfId="0" applyFont="1" applyBorder="1" applyAlignment="1">
      <alignment horizontal="left"/>
    </xf>
    <xf numFmtId="0" fontId="3" fillId="2" borderId="3" xfId="0" applyFont="1" applyFill="1" applyBorder="1"/>
    <xf numFmtId="0" fontId="0" fillId="2" borderId="3" xfId="0" applyFill="1" applyBorder="1"/>
    <xf numFmtId="165" fontId="8" fillId="2" borderId="4" xfId="1" applyNumberFormat="1" applyFont="1" applyFill="1" applyBorder="1" applyProtection="1"/>
    <xf numFmtId="166" fontId="8" fillId="2" borderId="6" xfId="1" applyNumberFormat="1" applyFont="1" applyFill="1" applyBorder="1" applyProtection="1"/>
    <xf numFmtId="167" fontId="3" fillId="2" borderId="0" xfId="2" applyNumberFormat="1" applyFont="1" applyFill="1" applyBorder="1" applyAlignment="1" applyProtection="1">
      <alignment horizontal="center"/>
    </xf>
    <xf numFmtId="10" fontId="3" fillId="2" borderId="0" xfId="2" applyNumberFormat="1" applyFont="1" applyFill="1" applyBorder="1" applyAlignment="1" applyProtection="1">
      <alignment horizontal="center"/>
    </xf>
    <xf numFmtId="0" fontId="9" fillId="0" borderId="5" xfId="0" applyFont="1" applyBorder="1" applyAlignment="1">
      <alignment horizontal="left"/>
    </xf>
    <xf numFmtId="165" fontId="8" fillId="0" borderId="12" xfId="1" applyNumberFormat="1" applyFont="1" applyBorder="1" applyProtection="1"/>
    <xf numFmtId="0" fontId="3" fillId="0" borderId="8" xfId="0" applyFont="1" applyBorder="1"/>
    <xf numFmtId="0" fontId="0" fillId="0" borderId="8" xfId="0" applyBorder="1"/>
    <xf numFmtId="0" fontId="9" fillId="0" borderId="2" xfId="0" applyFont="1" applyBorder="1" applyAlignment="1">
      <alignment horizontal="left"/>
    </xf>
    <xf numFmtId="167" fontId="3" fillId="4" borderId="0" xfId="2" applyNumberFormat="1" applyFont="1" applyFill="1" applyBorder="1" applyAlignment="1" applyProtection="1">
      <alignment horizontal="center"/>
      <protection locked="0"/>
    </xf>
    <xf numFmtId="165" fontId="8" fillId="0" borderId="9" xfId="1" applyNumberFormat="1" applyFont="1" applyBorder="1" applyProtection="1"/>
    <xf numFmtId="165" fontId="8" fillId="4" borderId="12" xfId="1" applyNumberFormat="1" applyFont="1" applyFill="1" applyBorder="1" applyProtection="1">
      <protection locked="0"/>
    </xf>
    <xf numFmtId="165" fontId="8" fillId="2" borderId="14" xfId="1" applyNumberFormat="1" applyFont="1" applyFill="1" applyBorder="1" applyProtection="1"/>
    <xf numFmtId="0" fontId="15" fillId="0" borderId="5" xfId="0" applyFont="1" applyBorder="1"/>
    <xf numFmtId="0" fontId="3" fillId="0" borderId="2" xfId="0" applyFont="1" applyBorder="1"/>
    <xf numFmtId="0" fontId="11" fillId="0" borderId="3" xfId="0" applyFont="1" applyBorder="1" applyAlignment="1">
      <alignment horizontal="center"/>
    </xf>
    <xf numFmtId="165" fontId="8" fillId="0" borderId="0" xfId="1" applyNumberFormat="1" applyFont="1" applyBorder="1" applyProtection="1"/>
    <xf numFmtId="165" fontId="12" fillId="2" borderId="0" xfId="1" applyNumberFormat="1" applyFont="1" applyFill="1" applyBorder="1" applyProtection="1"/>
    <xf numFmtId="165" fontId="13" fillId="2" borderId="0" xfId="1" applyNumberFormat="1" applyFont="1" applyFill="1" applyBorder="1" applyAlignment="1" applyProtection="1">
      <alignment horizontal="center" vertical="center"/>
    </xf>
    <xf numFmtId="0" fontId="8" fillId="2" borderId="0" xfId="1" applyNumberFormat="1" applyFont="1" applyFill="1" applyBorder="1" applyProtection="1"/>
    <xf numFmtId="165" fontId="8" fillId="4" borderId="0" xfId="1" applyNumberFormat="1" applyFont="1" applyFill="1" applyBorder="1" applyProtection="1">
      <protection locked="0"/>
    </xf>
    <xf numFmtId="165" fontId="13" fillId="2" borderId="5" xfId="1" applyNumberFormat="1" applyFont="1" applyFill="1" applyBorder="1" applyAlignment="1" applyProtection="1">
      <alignment horizontal="left" vertical="center" wrapText="1"/>
    </xf>
    <xf numFmtId="165" fontId="13" fillId="2" borderId="0" xfId="1" applyNumberFormat="1" applyFont="1" applyFill="1" applyBorder="1" applyAlignment="1" applyProtection="1">
      <alignment horizontal="left" vertical="center" wrapText="1"/>
    </xf>
    <xf numFmtId="165" fontId="13" fillId="2" borderId="0" xfId="1" applyNumberFormat="1" applyFont="1" applyFill="1" applyBorder="1" applyAlignment="1" applyProtection="1">
      <alignment horizontal="center" vertical="center"/>
    </xf>
    <xf numFmtId="165" fontId="13" fillId="2" borderId="12" xfId="1" applyNumberFormat="1" applyFont="1" applyFill="1" applyBorder="1" applyAlignment="1" applyProtection="1">
      <alignment horizontal="center" vertical="center"/>
    </xf>
    <xf numFmtId="165" fontId="8" fillId="0" borderId="0" xfId="1" applyNumberFormat="1" applyFont="1" applyFill="1" applyBorder="1" applyProtection="1"/>
    <xf numFmtId="0" fontId="0" fillId="0" borderId="4" xfId="0" applyBorder="1"/>
    <xf numFmtId="0" fontId="0" fillId="0" borderId="0" xfId="0" applyBorder="1"/>
    <xf numFmtId="0" fontId="3" fillId="0" borderId="0" xfId="0" applyFont="1" applyBorder="1"/>
    <xf numFmtId="0" fontId="0" fillId="0" borderId="12" xfId="0" applyBorder="1"/>
    <xf numFmtId="0" fontId="2" fillId="0" borderId="0" xfId="0" applyFont="1" applyBorder="1"/>
    <xf numFmtId="165" fontId="16" fillId="2" borderId="0" xfId="1" applyNumberFormat="1" applyFont="1" applyFill="1" applyBorder="1" applyAlignment="1" applyProtection="1">
      <alignment wrapText="1"/>
    </xf>
    <xf numFmtId="165" fontId="11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6" fillId="0" borderId="0" xfId="0" applyFont="1" applyBorder="1"/>
    <xf numFmtId="0" fontId="7" fillId="0" borderId="0" xfId="0" applyFont="1" applyBorder="1" applyAlignment="1">
      <alignment horizontal="right"/>
    </xf>
    <xf numFmtId="0" fontId="8" fillId="0" borderId="0" xfId="0" applyFont="1" applyBorder="1"/>
    <xf numFmtId="0" fontId="3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/>
    </xf>
    <xf numFmtId="0" fontId="3" fillId="2" borderId="0" xfId="0" applyFont="1" applyFill="1" applyBorder="1"/>
    <xf numFmtId="0" fontId="0" fillId="2" borderId="0" xfId="0" applyFill="1" applyBorder="1"/>
    <xf numFmtId="0" fontId="12" fillId="2" borderId="0" xfId="0" applyFont="1" applyFill="1" applyBorder="1"/>
    <xf numFmtId="0" fontId="1" fillId="2" borderId="0" xfId="0" applyFont="1" applyFill="1" applyBorder="1"/>
    <xf numFmtId="0" fontId="14" fillId="3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3" fillId="2" borderId="0" xfId="0" quotePrefix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165" fontId="0" fillId="0" borderId="0" xfId="0" applyNumberFormat="1" applyBorder="1"/>
    <xf numFmtId="165" fontId="8" fillId="0" borderId="0" xfId="0" applyNumberFormat="1" applyFont="1" applyBorder="1"/>
    <xf numFmtId="0" fontId="0" fillId="0" borderId="9" xfId="0" applyBorder="1"/>
    <xf numFmtId="165" fontId="8" fillId="5" borderId="12" xfId="1" applyNumberFormat="1" applyFont="1" applyFill="1" applyBorder="1" applyProtection="1"/>
    <xf numFmtId="165" fontId="8" fillId="0" borderId="6" xfId="1" applyNumberFormat="1" applyFont="1" applyFill="1" applyBorder="1" applyProtection="1"/>
    <xf numFmtId="166" fontId="8" fillId="0" borderId="0" xfId="0" applyNumberFormat="1" applyFont="1" applyBorder="1"/>
    <xf numFmtId="10" fontId="8" fillId="0" borderId="0" xfId="0" applyNumberFormat="1" applyFont="1" applyBorder="1"/>
    <xf numFmtId="0" fontId="8" fillId="0" borderId="15" xfId="0" applyFont="1" applyBorder="1"/>
    <xf numFmtId="10" fontId="8" fillId="0" borderId="15" xfId="0" applyNumberFormat="1" applyFont="1" applyBorder="1"/>
    <xf numFmtId="166" fontId="8" fillId="0" borderId="15" xfId="0" applyNumberFormat="1" applyFont="1" applyBorder="1"/>
    <xf numFmtId="0" fontId="16" fillId="0" borderId="0" xfId="0" applyFont="1" applyBorder="1"/>
    <xf numFmtId="166" fontId="16" fillId="0" borderId="0" xfId="0" applyNumberFormat="1" applyFont="1" applyBorder="1"/>
    <xf numFmtId="0" fontId="16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65" fontId="16" fillId="6" borderId="0" xfId="1" applyNumberFormat="1" applyFont="1" applyFill="1" applyBorder="1" applyAlignment="1" applyProtection="1">
      <alignment horizontal="center" wrapText="1"/>
    </xf>
    <xf numFmtId="165" fontId="16" fillId="2" borderId="0" xfId="1" applyNumberFormat="1" applyFont="1" applyFill="1" applyBorder="1" applyAlignment="1" applyProtection="1">
      <alignment horizontal="center" wrapText="1"/>
    </xf>
    <xf numFmtId="165" fontId="8" fillId="7" borderId="4" xfId="1" applyNumberFormat="1" applyFont="1" applyFill="1" applyBorder="1" applyProtection="1"/>
    <xf numFmtId="165" fontId="8" fillId="7" borderId="12" xfId="1" applyNumberFormat="1" applyFont="1" applyFill="1" applyBorder="1" applyProtection="1"/>
    <xf numFmtId="165" fontId="16" fillId="7" borderId="6" xfId="1" applyNumberFormat="1" applyFont="1" applyFill="1" applyBorder="1" applyProtection="1"/>
    <xf numFmtId="165" fontId="8" fillId="0" borderId="15" xfId="0" applyNumberFormat="1" applyFont="1" applyBorder="1"/>
    <xf numFmtId="0" fontId="17" fillId="0" borderId="0" xfId="0" applyFont="1" applyBorder="1"/>
    <xf numFmtId="0" fontId="16" fillId="0" borderId="5" xfId="0" applyFont="1" applyBorder="1"/>
    <xf numFmtId="0" fontId="16" fillId="0" borderId="0" xfId="0" applyFont="1" applyBorder="1" applyAlignment="1">
      <alignment wrapText="1"/>
    </xf>
    <xf numFmtId="0" fontId="0" fillId="5" borderId="0" xfId="0" applyFill="1" applyBorder="1"/>
    <xf numFmtId="0" fontId="8" fillId="5" borderId="0" xfId="0" applyFont="1" applyFill="1" applyBorder="1"/>
    <xf numFmtId="0" fontId="8" fillId="5" borderId="15" xfId="0" applyFont="1" applyFill="1" applyBorder="1" applyAlignment="1">
      <alignment horizontal="right"/>
    </xf>
    <xf numFmtId="166" fontId="8" fillId="5" borderId="15" xfId="0" applyNumberFormat="1" applyFont="1" applyFill="1" applyBorder="1"/>
    <xf numFmtId="0" fontId="16" fillId="6" borderId="0" xfId="0" applyFont="1" applyFill="1" applyBorder="1"/>
    <xf numFmtId="0" fontId="18" fillId="0" borderId="0" xfId="0" applyFont="1" applyBorder="1"/>
    <xf numFmtId="166" fontId="8" fillId="0" borderId="15" xfId="0" applyNumberFormat="1" applyFont="1" applyFill="1" applyBorder="1"/>
  </cellXfs>
  <cellStyles count="3">
    <cellStyle name="Currency 3" xfId="1" xr:uid="{082B4682-B27D-4822-BA18-04AACFFB4357}"/>
    <cellStyle name="Normal" xfId="0" builtinId="0"/>
    <cellStyle name="Percent 4" xfId="2" xr:uid="{4B92E392-E127-43C0-BF92-E099E4D2DE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iTi\AppData\Local\Microsoft\Windows\INetCache\Content.Outlook\3X4JKXHA\Burlington%202025_ACM_ICM_Model_1.xlsm" TargetMode="External"/><Relationship Id="rId1" Type="http://schemas.openxmlformats.org/officeDocument/2006/relationships/externalLinkPath" Target="file:///C:\Users\LiTi\AppData\Local\Microsoft\Windows\INetCache\Content.Outlook\3X4JKXHA\Burlington%202025_ACM_ICM_Model_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s"/>
      <sheetName val="tempcopy"/>
      <sheetName val="1. Information Sheet"/>
      <sheetName val="2. Rate Class Selection"/>
      <sheetName val="3. Growth Factor - NUM_CALC1"/>
      <sheetName val="4. Growth Factor - NUM_CALC2"/>
      <sheetName val="5. Rev_Requ_Check"/>
      <sheetName val="6. Growth Factor - DEN_CALC"/>
      <sheetName val="7. Revenue Proportions"/>
      <sheetName val="8. Threshold Test"/>
      <sheetName val="9a. Proposed ACM Projects"/>
      <sheetName val="9b. Proposed ACM ICM Projects"/>
      <sheetName val="10. Incremental Capital Adj."/>
      <sheetName val="11. Rate Rider Calc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C36">
            <v>0.04</v>
          </cell>
        </row>
        <row r="62">
          <cell r="E62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EDACB-9E6A-42CE-B20A-BFC2ED2B6C75}">
  <dimension ref="A2:M109"/>
  <sheetViews>
    <sheetView tabSelected="1" topLeftCell="A3" zoomScale="85" zoomScaleNormal="85" workbookViewId="0">
      <selection activeCell="G34" sqref="G34"/>
    </sheetView>
  </sheetViews>
  <sheetFormatPr defaultRowHeight="15" x14ac:dyDescent="0.25"/>
  <cols>
    <col min="1" max="1" width="12.140625" bestFit="1" customWidth="1"/>
    <col min="2" max="2" width="60.5703125" customWidth="1"/>
    <col min="3" max="3" width="16.5703125" style="1" customWidth="1"/>
    <col min="4" max="4" width="22" bestFit="1" customWidth="1"/>
    <col min="5" max="5" width="26.140625" customWidth="1"/>
    <col min="6" max="6" width="22.42578125" customWidth="1"/>
    <col min="7" max="7" width="24.5703125" customWidth="1"/>
    <col min="8" max="8" width="27.85546875" customWidth="1"/>
    <col min="11" max="11" width="10" bestFit="1" customWidth="1"/>
  </cols>
  <sheetData>
    <row r="2" spans="1:13" ht="15.75" thickBot="1" x14ac:dyDescent="0.3"/>
    <row r="3" spans="1:13" x14ac:dyDescent="0.25">
      <c r="A3" s="3"/>
      <c r="B3" s="5"/>
      <c r="C3" s="4"/>
      <c r="D3" s="5"/>
      <c r="E3" s="5"/>
      <c r="F3" s="5"/>
      <c r="G3" s="5"/>
      <c r="H3" s="5"/>
      <c r="I3" s="5"/>
      <c r="J3" s="5"/>
      <c r="K3" s="5"/>
      <c r="L3" s="5"/>
      <c r="M3" s="55"/>
    </row>
    <row r="4" spans="1:13" x14ac:dyDescent="0.25">
      <c r="A4" s="19"/>
      <c r="B4" s="56"/>
      <c r="C4" s="57"/>
      <c r="D4" s="56"/>
      <c r="E4" s="56"/>
      <c r="F4" s="56"/>
      <c r="G4" s="56"/>
      <c r="H4" s="56"/>
      <c r="I4" s="56"/>
      <c r="J4" s="56"/>
      <c r="K4" s="56"/>
      <c r="L4" s="56"/>
      <c r="M4" s="58"/>
    </row>
    <row r="5" spans="1:13" x14ac:dyDescent="0.25">
      <c r="A5" s="19"/>
      <c r="B5" s="56"/>
      <c r="C5" s="57"/>
      <c r="D5" s="56"/>
      <c r="E5" s="56"/>
      <c r="F5" s="56"/>
      <c r="G5" s="56"/>
      <c r="H5" s="56"/>
      <c r="I5" s="56"/>
      <c r="J5" s="56"/>
      <c r="K5" s="56"/>
      <c r="L5" s="56"/>
      <c r="M5" s="58"/>
    </row>
    <row r="6" spans="1:13" ht="26.25" x14ac:dyDescent="0.4">
      <c r="A6" s="19"/>
      <c r="B6" s="59" t="s">
        <v>84</v>
      </c>
      <c r="C6" s="57"/>
      <c r="D6" s="56"/>
      <c r="E6" s="56"/>
      <c r="F6" s="56"/>
      <c r="G6" s="56"/>
      <c r="H6" s="56"/>
      <c r="I6" s="56"/>
      <c r="J6" s="56"/>
      <c r="K6" s="56"/>
      <c r="L6" s="56"/>
      <c r="M6" s="58"/>
    </row>
    <row r="7" spans="1:13" ht="26.25" x14ac:dyDescent="0.4">
      <c r="A7" s="19"/>
      <c r="B7" s="59" t="s">
        <v>88</v>
      </c>
      <c r="C7" s="57"/>
      <c r="D7" s="56"/>
      <c r="E7" s="56"/>
      <c r="F7" s="56"/>
      <c r="G7" s="56"/>
      <c r="H7" s="56"/>
      <c r="I7" s="56"/>
      <c r="J7" s="56"/>
      <c r="K7" s="56"/>
      <c r="L7" s="56"/>
      <c r="M7" s="58"/>
    </row>
    <row r="8" spans="1:13" ht="25.5" x14ac:dyDescent="0.35">
      <c r="A8" s="19"/>
      <c r="B8" s="107" t="s">
        <v>85</v>
      </c>
      <c r="C8" s="57"/>
      <c r="D8" s="56"/>
      <c r="E8" s="56"/>
      <c r="F8" s="56"/>
      <c r="G8" s="56"/>
      <c r="H8" s="56"/>
      <c r="I8" s="56"/>
      <c r="J8" s="56"/>
      <c r="K8" s="56"/>
      <c r="L8" s="56"/>
      <c r="M8" s="58"/>
    </row>
    <row r="9" spans="1:13" ht="25.5" x14ac:dyDescent="0.35">
      <c r="A9" s="19"/>
      <c r="B9" s="107" t="s">
        <v>86</v>
      </c>
      <c r="C9" s="57"/>
      <c r="D9" s="56"/>
      <c r="E9" s="56"/>
      <c r="F9" s="56"/>
      <c r="G9" s="56"/>
      <c r="H9" s="56"/>
      <c r="I9" s="56"/>
      <c r="J9" s="56"/>
      <c r="K9" s="56"/>
      <c r="L9" s="56"/>
      <c r="M9" s="58"/>
    </row>
    <row r="10" spans="1:13" x14ac:dyDescent="0.25">
      <c r="A10" s="19"/>
      <c r="B10" s="56"/>
      <c r="C10" s="57"/>
      <c r="D10" s="56"/>
      <c r="E10" s="56"/>
      <c r="F10" s="56"/>
      <c r="G10" s="56"/>
      <c r="H10" s="56"/>
      <c r="I10" s="56"/>
      <c r="J10" s="56"/>
      <c r="K10" s="56"/>
      <c r="L10" s="56"/>
      <c r="M10" s="58"/>
    </row>
    <row r="11" spans="1:13" x14ac:dyDescent="0.25">
      <c r="A11" s="19"/>
      <c r="B11" s="56"/>
      <c r="C11" s="57"/>
      <c r="D11" s="56"/>
      <c r="E11" s="56"/>
      <c r="F11" s="56"/>
      <c r="G11" s="56"/>
      <c r="H11" s="56"/>
      <c r="I11" s="56"/>
      <c r="J11" s="56"/>
      <c r="K11" s="56"/>
      <c r="L11" s="56"/>
      <c r="M11" s="58"/>
    </row>
    <row r="12" spans="1:13" ht="15.75" x14ac:dyDescent="0.25">
      <c r="A12" s="100" t="s">
        <v>90</v>
      </c>
      <c r="B12" s="60" t="s">
        <v>87</v>
      </c>
      <c r="C12" s="61">
        <f>F33-G33</f>
        <v>2518633</v>
      </c>
      <c r="D12" s="56"/>
      <c r="E12" s="56"/>
      <c r="F12" s="56"/>
      <c r="G12" s="56"/>
      <c r="H12" s="56"/>
      <c r="I12" s="56"/>
      <c r="J12" s="56"/>
      <c r="K12" s="56"/>
      <c r="L12" s="56"/>
      <c r="M12" s="58"/>
    </row>
    <row r="13" spans="1:13" ht="18.75" hidden="1" x14ac:dyDescent="0.3">
      <c r="A13" s="19"/>
      <c r="B13" s="62" t="s">
        <v>0</v>
      </c>
      <c r="C13" s="63" t="s">
        <v>1</v>
      </c>
      <c r="D13" s="64"/>
      <c r="E13" s="65">
        <f>'[1]1. Information Sheet'!M26</f>
        <v>0</v>
      </c>
      <c r="F13" s="65"/>
      <c r="G13" s="65"/>
      <c r="H13" s="66"/>
      <c r="I13" s="56"/>
      <c r="J13" s="56"/>
      <c r="K13" s="56"/>
      <c r="L13" s="56"/>
      <c r="M13" s="58"/>
    </row>
    <row r="14" spans="1:13" hidden="1" x14ac:dyDescent="0.25">
      <c r="A14" s="19"/>
      <c r="B14" s="67"/>
      <c r="C14" s="67"/>
      <c r="D14" s="67"/>
      <c r="E14" s="67"/>
      <c r="F14" s="67"/>
      <c r="G14" s="67"/>
      <c r="H14" s="56"/>
      <c r="I14" s="56"/>
      <c r="J14" s="56"/>
      <c r="K14" s="56"/>
      <c r="L14" s="56"/>
      <c r="M14" s="58"/>
    </row>
    <row r="15" spans="1:13" hidden="1" x14ac:dyDescent="0.25">
      <c r="A15" s="19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8"/>
    </row>
    <row r="16" spans="1:13" hidden="1" x14ac:dyDescent="0.25">
      <c r="A16" s="19"/>
      <c r="B16" s="56"/>
      <c r="C16" s="57"/>
      <c r="D16" s="56"/>
      <c r="E16" s="56"/>
      <c r="F16" s="56"/>
      <c r="G16" s="56"/>
      <c r="H16" s="56"/>
      <c r="I16" s="56"/>
      <c r="J16" s="56"/>
      <c r="K16" s="56"/>
      <c r="L16" s="56"/>
      <c r="M16" s="58"/>
    </row>
    <row r="17" spans="1:13" ht="18" hidden="1" x14ac:dyDescent="0.25">
      <c r="A17" s="19"/>
      <c r="B17" s="2" t="s">
        <v>2</v>
      </c>
      <c r="C17" s="57"/>
      <c r="D17" s="56"/>
      <c r="E17" s="66"/>
      <c r="F17" s="66"/>
      <c r="G17" s="66"/>
      <c r="H17" s="56"/>
      <c r="I17" s="56"/>
      <c r="J17" s="56"/>
      <c r="K17" s="56"/>
      <c r="L17" s="56"/>
      <c r="M17" s="58"/>
    </row>
    <row r="18" spans="1:13" ht="15.75" hidden="1" x14ac:dyDescent="0.25">
      <c r="A18" s="19"/>
      <c r="B18" s="3"/>
      <c r="C18" s="4"/>
      <c r="D18" s="5"/>
      <c r="E18" s="6"/>
      <c r="F18" s="45"/>
      <c r="G18" s="45"/>
      <c r="H18" s="68"/>
      <c r="I18" s="56"/>
      <c r="J18" s="56"/>
      <c r="K18" s="56"/>
      <c r="L18" s="56"/>
      <c r="M18" s="58"/>
    </row>
    <row r="19" spans="1:13" ht="16.5" hidden="1" thickBot="1" x14ac:dyDescent="0.3">
      <c r="A19" s="19"/>
      <c r="B19" s="7" t="s">
        <v>3</v>
      </c>
      <c r="C19" s="69"/>
      <c r="D19" s="70"/>
      <c r="E19" s="8">
        <f>'[1]5. Rev_Requ_Check'!E62</f>
        <v>0</v>
      </c>
      <c r="F19" s="13"/>
      <c r="G19" s="13"/>
      <c r="H19" s="68" t="s">
        <v>4</v>
      </c>
      <c r="I19" s="56"/>
      <c r="J19" s="56"/>
      <c r="K19" s="56"/>
      <c r="L19" s="56"/>
      <c r="M19" s="58"/>
    </row>
    <row r="20" spans="1:13" ht="16.5" hidden="1" thickBot="1" x14ac:dyDescent="0.3">
      <c r="A20" s="19"/>
      <c r="B20" s="9"/>
      <c r="C20" s="10"/>
      <c r="D20" s="11"/>
      <c r="E20" s="12"/>
      <c r="F20" s="13"/>
      <c r="G20" s="13"/>
      <c r="H20" s="68"/>
      <c r="I20" s="56"/>
      <c r="J20" s="56"/>
      <c r="K20" s="56"/>
      <c r="L20" s="56"/>
      <c r="M20" s="58"/>
    </row>
    <row r="21" spans="1:13" ht="15.75" hidden="1" x14ac:dyDescent="0.25">
      <c r="A21" s="19"/>
      <c r="B21" s="56"/>
      <c r="C21" s="69"/>
      <c r="D21" s="70"/>
      <c r="E21" s="13"/>
      <c r="F21" s="13"/>
      <c r="G21" s="13"/>
      <c r="H21" s="68"/>
      <c r="I21" s="56"/>
      <c r="J21" s="56"/>
      <c r="K21" s="56"/>
      <c r="L21" s="56"/>
      <c r="M21" s="58"/>
    </row>
    <row r="22" spans="1:13" ht="18.75" hidden="1" thickBot="1" x14ac:dyDescent="0.3">
      <c r="A22" s="19"/>
      <c r="B22" s="14" t="s">
        <v>5</v>
      </c>
      <c r="C22" s="15"/>
      <c r="D22" s="70"/>
      <c r="E22" s="13"/>
      <c r="F22" s="13"/>
      <c r="G22" s="13"/>
      <c r="H22" s="68"/>
      <c r="I22" s="56"/>
      <c r="J22" s="56"/>
      <c r="K22" s="56"/>
      <c r="L22" s="56"/>
      <c r="M22" s="58"/>
    </row>
    <row r="23" spans="1:13" ht="15.75" hidden="1" x14ac:dyDescent="0.25">
      <c r="A23" s="19"/>
      <c r="B23" s="3"/>
      <c r="C23" s="16" t="s">
        <v>6</v>
      </c>
      <c r="D23" s="17"/>
      <c r="E23" s="18" t="s">
        <v>7</v>
      </c>
      <c r="F23" s="46"/>
      <c r="G23" s="46"/>
      <c r="H23" s="68"/>
      <c r="I23" s="56"/>
      <c r="J23" s="56"/>
      <c r="K23" s="56"/>
      <c r="L23" s="56"/>
      <c r="M23" s="58"/>
    </row>
    <row r="24" spans="1:13" ht="14.45" hidden="1" customHeight="1" x14ac:dyDescent="0.25">
      <c r="A24" s="19"/>
      <c r="B24" s="19"/>
      <c r="C24" s="71"/>
      <c r="D24" s="72"/>
      <c r="E24" s="20" t="str">
        <f>"("&amp;IF(('[1]1. Information Sheet'!M28-'[1]1. Information Sheet'!M26)=1,"Half Year*","Full Year")&amp;" Prorated Amount)"</f>
        <v>(Full Year Prorated Amount)</v>
      </c>
      <c r="F24" s="46"/>
      <c r="G24" s="46"/>
      <c r="H24" s="50" t="str">
        <f>IF(('[1]1. Information Sheet'!M28-'[1]1. Information Sheet'!M26)=1,"*The half year rule is applied as the distributor is scheduled to rebase in the next rate year.","")</f>
        <v/>
      </c>
      <c r="I24" s="51"/>
      <c r="J24" s="51"/>
      <c r="K24" s="56"/>
      <c r="L24" s="56"/>
      <c r="M24" s="58"/>
    </row>
    <row r="25" spans="1:13" ht="15.6" hidden="1" customHeight="1" x14ac:dyDescent="0.25">
      <c r="A25" s="19"/>
      <c r="B25" s="19"/>
      <c r="C25" s="52" t="s">
        <v>8</v>
      </c>
      <c r="D25" s="52"/>
      <c r="E25" s="53"/>
      <c r="F25" s="47"/>
      <c r="G25" s="47"/>
      <c r="H25" s="50"/>
      <c r="I25" s="51"/>
      <c r="J25" s="51"/>
      <c r="K25" s="56"/>
      <c r="L25" s="56"/>
      <c r="M25" s="58"/>
    </row>
    <row r="26" spans="1:13" ht="15.75" hidden="1" x14ac:dyDescent="0.25">
      <c r="A26" s="19"/>
      <c r="B26" s="7" t="s">
        <v>9</v>
      </c>
      <c r="C26" s="13" t="e">
        <f ca="1">INDIRECT("'9b. Proposed ACM ICM Projects'!"&amp;CHAR(68+MOD('[1]1. Information Sheet'!$F$28-1,4)*3)&amp;(39*INT(('[1]1. Information Sheet'!$F$28-1)/4))+46)</f>
        <v>#REF!</v>
      </c>
      <c r="D26" s="70"/>
      <c r="E26" s="13">
        <v>-302236</v>
      </c>
      <c r="F26" s="13"/>
      <c r="G26" s="13"/>
      <c r="H26" s="21" t="s">
        <v>10</v>
      </c>
      <c r="I26" s="56"/>
      <c r="J26" s="56"/>
      <c r="K26" s="56"/>
      <c r="L26" s="13"/>
      <c r="M26" s="58"/>
    </row>
    <row r="27" spans="1:13" ht="15.75" hidden="1" x14ac:dyDescent="0.25">
      <c r="A27" s="19"/>
      <c r="B27" s="7" t="s">
        <v>11</v>
      </c>
      <c r="C27" s="13" t="e">
        <f ca="1">INDIRECT("'9b. Proposed ACM ICM Projects'!"&amp;CHAR(69+MOD('[1]1. Information Sheet'!$F$28-1,4)*3)&amp;(39*INT(('[1]1. Information Sheet'!$F$28-1)/4))+46)</f>
        <v>#REF!</v>
      </c>
      <c r="D27" s="70"/>
      <c r="E27" s="22">
        <v>0</v>
      </c>
      <c r="F27" s="13"/>
      <c r="G27" s="13"/>
      <c r="H27" s="68" t="s">
        <v>12</v>
      </c>
      <c r="I27" s="56"/>
      <c r="J27" s="56"/>
      <c r="K27" s="56"/>
      <c r="L27" s="56"/>
      <c r="M27" s="58"/>
    </row>
    <row r="28" spans="1:13" ht="16.5" hidden="1" thickBot="1" x14ac:dyDescent="0.3">
      <c r="A28" s="19"/>
      <c r="B28" s="23" t="s">
        <v>13</v>
      </c>
      <c r="C28" s="24" t="e">
        <f ca="1">INDIRECT("'9b. Proposed ACM ICM Projects'!"&amp;CHAR(70+MOD('[1]1. Information Sheet'!$F$28-1,4)*3)&amp;(39*INT(('[1]1. Information Sheet'!$F$28-1)/4))+46)</f>
        <v>#REF!</v>
      </c>
      <c r="D28" s="11"/>
      <c r="E28" s="25" t="e">
        <f ca="1">C28*(E26/C26)</f>
        <v>#REF!</v>
      </c>
      <c r="F28" s="48"/>
      <c r="G28" s="48"/>
      <c r="H28" s="68" t="s">
        <v>14</v>
      </c>
      <c r="I28" s="56"/>
      <c r="J28" s="56"/>
      <c r="K28" s="56"/>
      <c r="L28" s="56"/>
      <c r="M28" s="58"/>
    </row>
    <row r="29" spans="1:13" ht="15.75" x14ac:dyDescent="0.25">
      <c r="A29" s="19"/>
      <c r="B29" s="56"/>
      <c r="C29" s="69"/>
      <c r="D29" s="70"/>
      <c r="E29" s="13"/>
      <c r="F29" s="13"/>
      <c r="G29" s="13"/>
      <c r="H29" s="68"/>
      <c r="I29" s="56"/>
      <c r="J29" s="56"/>
      <c r="K29" s="56"/>
      <c r="L29" s="56"/>
      <c r="M29" s="58"/>
    </row>
    <row r="30" spans="1:13" ht="18.75" customHeight="1" x14ac:dyDescent="0.3">
      <c r="A30" s="19"/>
      <c r="B30" s="73" t="s">
        <v>78</v>
      </c>
      <c r="C30" s="73"/>
      <c r="D30" s="73"/>
      <c r="E30" s="73"/>
      <c r="F30" s="73"/>
      <c r="G30" s="73"/>
      <c r="H30" s="73"/>
      <c r="I30" s="56"/>
      <c r="J30" s="56"/>
      <c r="K30" s="56"/>
      <c r="L30" s="56"/>
      <c r="M30" s="58"/>
    </row>
    <row r="31" spans="1:13" ht="16.5" thickBot="1" x14ac:dyDescent="0.3">
      <c r="A31" s="19"/>
      <c r="B31" s="56"/>
      <c r="C31" s="69"/>
      <c r="D31" s="70"/>
      <c r="E31" s="13"/>
      <c r="F31" s="13"/>
      <c r="G31" s="13"/>
      <c r="H31" s="68"/>
      <c r="I31" s="56"/>
      <c r="J31" s="56"/>
      <c r="K31" s="56"/>
      <c r="L31" s="56"/>
      <c r="M31" s="58"/>
    </row>
    <row r="32" spans="1:13" ht="63.75" thickBot="1" x14ac:dyDescent="0.3">
      <c r="A32" s="19"/>
      <c r="B32" s="26" t="s">
        <v>15</v>
      </c>
      <c r="C32" s="69"/>
      <c r="D32" s="70"/>
      <c r="E32" s="94" t="s">
        <v>91</v>
      </c>
      <c r="F32" s="93" t="s">
        <v>81</v>
      </c>
      <c r="G32" s="93" t="s">
        <v>82</v>
      </c>
      <c r="H32" s="56"/>
      <c r="I32" s="56"/>
      <c r="J32" s="56"/>
      <c r="K32" s="56"/>
      <c r="L32" s="56"/>
      <c r="M32" s="58"/>
    </row>
    <row r="33" spans="1:13" ht="15.75" x14ac:dyDescent="0.25">
      <c r="A33" s="19"/>
      <c r="B33" s="7" t="s">
        <v>16</v>
      </c>
      <c r="C33" s="27"/>
      <c r="D33" s="28"/>
      <c r="E33" s="29">
        <v>2518633</v>
      </c>
      <c r="F33" s="13">
        <v>3035948</v>
      </c>
      <c r="G33" s="13">
        <v>517315</v>
      </c>
      <c r="H33" s="68" t="s">
        <v>10</v>
      </c>
      <c r="I33" s="56"/>
      <c r="J33" s="56"/>
      <c r="K33" s="56"/>
      <c r="L33" s="56"/>
      <c r="M33" s="58"/>
    </row>
    <row r="34" spans="1:13" ht="15.75" x14ac:dyDescent="0.25">
      <c r="A34" s="19"/>
      <c r="B34" s="7" t="s">
        <v>17</v>
      </c>
      <c r="C34" s="69"/>
      <c r="D34" s="74"/>
      <c r="E34" s="22">
        <v>29630</v>
      </c>
      <c r="F34" s="54">
        <f>E34/E33*F33</f>
        <v>35715.85826120757</v>
      </c>
      <c r="G34" s="54">
        <f>E34/E33*G33</f>
        <v>6085.8582612075679</v>
      </c>
      <c r="H34" s="68" t="s">
        <v>12</v>
      </c>
      <c r="I34" s="56"/>
      <c r="J34" s="56"/>
      <c r="K34" s="56"/>
      <c r="L34" s="56"/>
      <c r="M34" s="58"/>
    </row>
    <row r="35" spans="1:13" ht="16.5" thickBot="1" x14ac:dyDescent="0.3">
      <c r="A35" s="19"/>
      <c r="B35" s="7" t="s">
        <v>18</v>
      </c>
      <c r="C35" s="69"/>
      <c r="D35" s="74"/>
      <c r="E35" s="30">
        <f>(E33-E34)/2</f>
        <v>1244501.5</v>
      </c>
      <c r="F35" s="30">
        <f>(F33-F34)/2</f>
        <v>1500116.0708693962</v>
      </c>
      <c r="G35" s="30">
        <f>(G33-G34)/2</f>
        <v>255614.57086939621</v>
      </c>
      <c r="H35" s="68" t="s">
        <v>19</v>
      </c>
      <c r="I35" s="56"/>
      <c r="J35" s="56"/>
      <c r="K35" s="56"/>
      <c r="L35" s="56"/>
      <c r="M35" s="58"/>
    </row>
    <row r="36" spans="1:13" ht="25.5" x14ac:dyDescent="0.25">
      <c r="A36" s="19"/>
      <c r="B36" s="7"/>
      <c r="C36" s="75" t="s">
        <v>20</v>
      </c>
      <c r="D36" s="74"/>
      <c r="E36" s="22"/>
      <c r="F36" s="13"/>
      <c r="G36" s="13"/>
      <c r="H36" s="68"/>
      <c r="I36" s="56"/>
      <c r="J36" s="56"/>
      <c r="K36" s="56"/>
      <c r="L36" s="56"/>
      <c r="M36" s="58"/>
    </row>
    <row r="37" spans="1:13" ht="15.75" x14ac:dyDescent="0.25">
      <c r="A37" s="19"/>
      <c r="B37" s="7" t="s">
        <v>21</v>
      </c>
      <c r="C37" s="31">
        <f>'[1]5. Rev_Requ_Check'!C36</f>
        <v>0.04</v>
      </c>
      <c r="D37" s="74" t="s">
        <v>22</v>
      </c>
      <c r="E37" s="22">
        <f>E35*$C$37</f>
        <v>49780.06</v>
      </c>
      <c r="F37" s="22">
        <f>F35*$C$37</f>
        <v>60004.642834775848</v>
      </c>
      <c r="G37" s="22">
        <f>G35*$C$37</f>
        <v>10224.582834775849</v>
      </c>
      <c r="H37" s="68" t="s">
        <v>23</v>
      </c>
      <c r="I37" s="56"/>
      <c r="J37" s="56"/>
      <c r="K37" s="56"/>
      <c r="L37" s="56"/>
      <c r="M37" s="58"/>
    </row>
    <row r="38" spans="1:13" ht="15.75" x14ac:dyDescent="0.25">
      <c r="A38" s="19"/>
      <c r="B38" s="7" t="s">
        <v>24</v>
      </c>
      <c r="C38" s="31">
        <v>0.56000000000000005</v>
      </c>
      <c r="D38" s="74" t="s">
        <v>25</v>
      </c>
      <c r="E38" s="22">
        <f>E35*$C$38</f>
        <v>696920.84000000008</v>
      </c>
      <c r="F38" s="22">
        <f>F35*$C$38</f>
        <v>840064.99968686199</v>
      </c>
      <c r="G38" s="22">
        <f>G35*$C$38</f>
        <v>143144.15968686188</v>
      </c>
      <c r="H38" s="68" t="s">
        <v>26</v>
      </c>
      <c r="I38" s="56"/>
      <c r="J38" s="56"/>
      <c r="K38" s="56"/>
      <c r="L38" s="56"/>
      <c r="M38" s="58"/>
    </row>
    <row r="39" spans="1:13" ht="15.75" x14ac:dyDescent="0.25">
      <c r="A39" s="19"/>
      <c r="B39" s="7"/>
      <c r="C39" s="76" t="s">
        <v>27</v>
      </c>
      <c r="D39" s="74"/>
      <c r="E39" s="22"/>
      <c r="F39" s="22"/>
      <c r="G39" s="22"/>
      <c r="H39" s="68"/>
      <c r="I39" s="56"/>
      <c r="J39" s="56"/>
      <c r="K39" s="56"/>
      <c r="L39" s="56"/>
      <c r="M39" s="58"/>
    </row>
    <row r="40" spans="1:13" ht="15.75" x14ac:dyDescent="0.25">
      <c r="A40" s="19"/>
      <c r="B40" s="7" t="s">
        <v>28</v>
      </c>
      <c r="C40" s="32">
        <v>1.7500000000000002E-2</v>
      </c>
      <c r="D40" s="74" t="s">
        <v>29</v>
      </c>
      <c r="E40" s="22">
        <f>E37*$C$40</f>
        <v>871.15105000000005</v>
      </c>
      <c r="F40" s="22">
        <f>F37*$C$40</f>
        <v>1050.0812496085775</v>
      </c>
      <c r="G40" s="22">
        <f>G37*$C$40</f>
        <v>178.93019960857737</v>
      </c>
      <c r="H40" s="68" t="s">
        <v>30</v>
      </c>
      <c r="I40" s="56"/>
      <c r="J40" s="56"/>
      <c r="K40" s="56"/>
      <c r="L40" s="56"/>
      <c r="M40" s="58"/>
    </row>
    <row r="41" spans="1:13" ht="15.75" x14ac:dyDescent="0.25">
      <c r="A41" s="19"/>
      <c r="B41" s="7" t="s">
        <v>31</v>
      </c>
      <c r="C41" s="32">
        <v>3.0700000000000002E-2</v>
      </c>
      <c r="D41" s="74" t="s">
        <v>32</v>
      </c>
      <c r="E41" s="82">
        <v>21419</v>
      </c>
      <c r="F41" s="22">
        <f>F38*$C$41</f>
        <v>25789.995490386664</v>
      </c>
      <c r="G41" s="22">
        <f>G38*$C$41</f>
        <v>4394.5257023866598</v>
      </c>
      <c r="H41" s="68" t="s">
        <v>33</v>
      </c>
      <c r="I41" s="56"/>
      <c r="J41" s="56"/>
      <c r="K41" s="56"/>
      <c r="L41" s="56"/>
      <c r="M41" s="58"/>
    </row>
    <row r="42" spans="1:13" ht="15.75" x14ac:dyDescent="0.25">
      <c r="A42" s="19"/>
      <c r="B42" s="7"/>
      <c r="C42" s="69"/>
      <c r="D42" s="74"/>
      <c r="E42" s="22"/>
      <c r="F42" s="13"/>
      <c r="G42" s="13"/>
      <c r="H42" s="68"/>
      <c r="I42" s="56"/>
      <c r="J42" s="56"/>
      <c r="K42" s="56"/>
      <c r="L42" s="56"/>
      <c r="M42" s="58"/>
    </row>
    <row r="43" spans="1:13" ht="16.5" thickBot="1" x14ac:dyDescent="0.3">
      <c r="A43" s="19"/>
      <c r="B43" s="7" t="s">
        <v>34</v>
      </c>
      <c r="C43" s="69"/>
      <c r="D43" s="74"/>
      <c r="E43" s="83">
        <f>SUM(E40:E41)</f>
        <v>22290.15105</v>
      </c>
      <c r="F43" s="83">
        <f>SUM(F40:F41)</f>
        <v>26840.076739995242</v>
      </c>
      <c r="G43" s="83">
        <f>SUM(G40:G41)</f>
        <v>4573.4559019952376</v>
      </c>
      <c r="H43" s="68" t="s">
        <v>35</v>
      </c>
      <c r="I43" s="56"/>
      <c r="J43" s="56"/>
      <c r="K43" s="56"/>
      <c r="L43" s="56"/>
      <c r="M43" s="58"/>
    </row>
    <row r="44" spans="1:13" ht="15.75" x14ac:dyDescent="0.25">
      <c r="A44" s="19"/>
      <c r="B44" s="7"/>
      <c r="C44" s="69"/>
      <c r="D44" s="74"/>
      <c r="E44" s="22"/>
      <c r="F44" s="13"/>
      <c r="G44" s="13"/>
      <c r="H44" s="68"/>
      <c r="I44" s="56"/>
      <c r="J44" s="56"/>
      <c r="K44" s="56"/>
      <c r="L44" s="56"/>
      <c r="M44" s="58"/>
    </row>
    <row r="45" spans="1:13" ht="25.5" x14ac:dyDescent="0.25">
      <c r="A45" s="19"/>
      <c r="B45" s="7"/>
      <c r="C45" s="77" t="str">
        <f>C36</f>
        <v>% of capital structure</v>
      </c>
      <c r="D45" s="74"/>
      <c r="E45" s="22"/>
      <c r="F45" s="13"/>
      <c r="G45" s="13"/>
      <c r="H45" s="68"/>
      <c r="I45" s="56"/>
      <c r="J45" s="56"/>
      <c r="K45" s="56"/>
      <c r="L45" s="56"/>
      <c r="M45" s="58"/>
    </row>
    <row r="46" spans="1:13" ht="15.75" x14ac:dyDescent="0.25">
      <c r="A46" s="19"/>
      <c r="B46" s="7" t="s">
        <v>36</v>
      </c>
      <c r="C46" s="32">
        <v>0.4</v>
      </c>
      <c r="D46" s="74" t="s">
        <v>37</v>
      </c>
      <c r="E46" s="22">
        <f>E35*$C$46</f>
        <v>497800.60000000003</v>
      </c>
      <c r="F46" s="22">
        <f>F35*$C$46</f>
        <v>600046.42834775848</v>
      </c>
      <c r="G46" s="22">
        <f>G35*$C$46</f>
        <v>102245.82834775849</v>
      </c>
      <c r="H46" s="68" t="s">
        <v>38</v>
      </c>
      <c r="I46" s="56"/>
      <c r="J46" s="56"/>
      <c r="K46" s="56"/>
      <c r="L46" s="56"/>
      <c r="M46" s="58"/>
    </row>
    <row r="47" spans="1:13" ht="15.75" x14ac:dyDescent="0.25">
      <c r="A47" s="19"/>
      <c r="B47" s="7"/>
      <c r="C47" s="78" t="str">
        <f>C39</f>
        <v>Rate (%)</v>
      </c>
      <c r="D47" s="74"/>
      <c r="E47" s="22"/>
      <c r="F47" s="13"/>
      <c r="G47" s="13"/>
      <c r="H47" s="68"/>
      <c r="I47" s="56"/>
      <c r="J47" s="56"/>
      <c r="K47" s="56"/>
      <c r="L47" s="56"/>
      <c r="M47" s="58"/>
    </row>
    <row r="48" spans="1:13" ht="15.75" x14ac:dyDescent="0.25">
      <c r="A48" s="19"/>
      <c r="B48" s="7" t="s">
        <v>39</v>
      </c>
      <c r="C48" s="32">
        <v>8.3400000000000002E-2</v>
      </c>
      <c r="D48" s="74" t="s">
        <v>40</v>
      </c>
      <c r="E48" s="22">
        <f>E46*$C$48</f>
        <v>41516.570040000006</v>
      </c>
      <c r="F48" s="22">
        <f>F46*$C$48</f>
        <v>50043.872124203059</v>
      </c>
      <c r="G48" s="22">
        <f>G46*$C$48</f>
        <v>8527.3020842030583</v>
      </c>
      <c r="H48" s="68" t="s">
        <v>41</v>
      </c>
      <c r="I48" s="56"/>
      <c r="J48" s="56"/>
      <c r="K48" s="56"/>
      <c r="L48" s="56"/>
      <c r="M48" s="58"/>
    </row>
    <row r="49" spans="1:13" ht="15.75" x14ac:dyDescent="0.25">
      <c r="A49" s="19"/>
      <c r="B49" s="7"/>
      <c r="C49" s="69"/>
      <c r="D49" s="70"/>
      <c r="E49" s="22"/>
      <c r="F49" s="13"/>
      <c r="G49" s="13"/>
      <c r="H49" s="68"/>
      <c r="I49" s="56"/>
      <c r="J49" s="56"/>
      <c r="K49" s="56"/>
      <c r="L49" s="56"/>
      <c r="M49" s="58"/>
    </row>
    <row r="50" spans="1:13" ht="16.5" thickBot="1" x14ac:dyDescent="0.3">
      <c r="A50" s="19"/>
      <c r="B50" s="7" t="s">
        <v>42</v>
      </c>
      <c r="C50" s="69"/>
      <c r="D50" s="70"/>
      <c r="E50" s="83">
        <f>E43+E48</f>
        <v>63806.721090000006</v>
      </c>
      <c r="F50" s="83">
        <f>F43+F48</f>
        <v>76883.948864198304</v>
      </c>
      <c r="G50" s="83">
        <f>G43+G48</f>
        <v>13100.757986198296</v>
      </c>
      <c r="H50" s="68" t="s">
        <v>43</v>
      </c>
      <c r="I50" s="56"/>
      <c r="J50" s="56"/>
      <c r="K50" s="56"/>
      <c r="L50" s="56"/>
      <c r="M50" s="58"/>
    </row>
    <row r="51" spans="1:13" ht="16.5" thickBot="1" x14ac:dyDescent="0.3">
      <c r="A51" s="19"/>
      <c r="B51" s="23"/>
      <c r="C51" s="10"/>
      <c r="D51" s="11"/>
      <c r="E51" s="12"/>
      <c r="F51" s="13"/>
      <c r="G51" s="13"/>
      <c r="H51" s="68"/>
      <c r="I51" s="56"/>
      <c r="J51" s="56"/>
      <c r="K51" s="56"/>
      <c r="L51" s="56"/>
      <c r="M51" s="58"/>
    </row>
    <row r="52" spans="1:13" ht="15.75" x14ac:dyDescent="0.25">
      <c r="A52" s="19"/>
      <c r="B52" s="56"/>
      <c r="C52" s="69"/>
      <c r="D52" s="70"/>
      <c r="E52" s="13"/>
      <c r="F52" s="13"/>
      <c r="G52" s="13"/>
      <c r="H52" s="68"/>
      <c r="I52" s="56"/>
      <c r="J52" s="56"/>
      <c r="K52" s="56"/>
      <c r="L52" s="56"/>
      <c r="M52" s="58"/>
    </row>
    <row r="53" spans="1:13" ht="16.5" thickBot="1" x14ac:dyDescent="0.3">
      <c r="A53" s="19"/>
      <c r="B53" s="56"/>
      <c r="C53" s="57"/>
      <c r="D53" s="56"/>
      <c r="E53" s="45"/>
      <c r="F53" s="45"/>
      <c r="G53" s="45"/>
      <c r="H53" s="68"/>
      <c r="I53" s="56"/>
      <c r="J53" s="56"/>
      <c r="K53" s="56"/>
      <c r="L53" s="56"/>
      <c r="M53" s="58"/>
    </row>
    <row r="54" spans="1:13" ht="18.75" thickBot="1" x14ac:dyDescent="0.3">
      <c r="A54" s="19"/>
      <c r="B54" s="26" t="s">
        <v>44</v>
      </c>
      <c r="C54" s="4"/>
      <c r="D54" s="5"/>
      <c r="E54" s="6"/>
      <c r="F54" s="45"/>
      <c r="G54" s="45"/>
      <c r="H54" s="68"/>
      <c r="I54" s="56"/>
      <c r="J54" s="56"/>
      <c r="K54" s="56"/>
      <c r="L54" s="56"/>
      <c r="M54" s="58"/>
    </row>
    <row r="55" spans="1:13" ht="18" x14ac:dyDescent="0.25">
      <c r="A55" s="19"/>
      <c r="B55" s="33"/>
      <c r="C55" s="57"/>
      <c r="D55" s="56"/>
      <c r="E55" s="34"/>
      <c r="F55" s="45"/>
      <c r="G55" s="45"/>
      <c r="H55" s="68"/>
      <c r="I55" s="56"/>
      <c r="J55" s="56"/>
      <c r="K55" s="56"/>
      <c r="L55" s="56"/>
      <c r="M55" s="58"/>
    </row>
    <row r="56" spans="1:13" ht="15.75" x14ac:dyDescent="0.25">
      <c r="A56" s="19"/>
      <c r="B56" s="7" t="s">
        <v>45</v>
      </c>
      <c r="C56" s="57"/>
      <c r="D56" s="68" t="s">
        <v>12</v>
      </c>
      <c r="E56" s="22">
        <f>E34</f>
        <v>29630</v>
      </c>
      <c r="F56" s="22">
        <f>F34</f>
        <v>35715.85826120757</v>
      </c>
      <c r="G56" s="22">
        <f>G34</f>
        <v>6085.8582612075679</v>
      </c>
      <c r="H56" s="68" t="s">
        <v>46</v>
      </c>
      <c r="I56" s="56"/>
      <c r="J56" s="56"/>
      <c r="K56" s="56"/>
      <c r="L56" s="56"/>
      <c r="M56" s="58"/>
    </row>
    <row r="57" spans="1:13" ht="16.5" thickBot="1" x14ac:dyDescent="0.3">
      <c r="A57" s="19"/>
      <c r="B57" s="9"/>
      <c r="C57" s="35"/>
      <c r="D57" s="36"/>
      <c r="E57" s="12"/>
      <c r="F57" s="13"/>
      <c r="G57" s="13"/>
      <c r="H57" s="68"/>
      <c r="I57" s="56"/>
      <c r="J57" s="56"/>
      <c r="K57" s="56"/>
      <c r="L57" s="56"/>
      <c r="M57" s="58"/>
    </row>
    <row r="58" spans="1:13" ht="16.5" thickBot="1" x14ac:dyDescent="0.3">
      <c r="A58" s="19"/>
      <c r="B58" s="56"/>
      <c r="C58" s="57"/>
      <c r="D58" s="56"/>
      <c r="E58" s="13"/>
      <c r="F58" s="13"/>
      <c r="G58" s="13"/>
      <c r="H58" s="68"/>
      <c r="I58" s="56"/>
      <c r="J58" s="56"/>
      <c r="K58" s="56"/>
      <c r="L58" s="56"/>
      <c r="M58" s="58"/>
    </row>
    <row r="59" spans="1:13" ht="18.75" thickBot="1" x14ac:dyDescent="0.3">
      <c r="A59" s="19"/>
      <c r="B59" s="2" t="s">
        <v>47</v>
      </c>
      <c r="C59" s="4"/>
      <c r="D59" s="5"/>
      <c r="E59" s="29"/>
      <c r="F59" s="13"/>
      <c r="G59" s="13"/>
      <c r="H59" s="68"/>
      <c r="I59" s="56"/>
      <c r="J59" s="56"/>
      <c r="K59" s="56"/>
      <c r="L59" s="56"/>
      <c r="M59" s="58"/>
    </row>
    <row r="60" spans="1:13" ht="18" x14ac:dyDescent="0.25">
      <c r="A60" s="19"/>
      <c r="B60" s="37"/>
      <c r="C60" s="57"/>
      <c r="D60" s="56"/>
      <c r="E60" s="22"/>
      <c r="F60" s="13"/>
      <c r="G60" s="13"/>
      <c r="H60" s="68"/>
      <c r="I60" s="56"/>
      <c r="J60" s="56"/>
      <c r="K60" s="56"/>
      <c r="L60" s="56"/>
      <c r="M60" s="58"/>
    </row>
    <row r="61" spans="1:13" ht="15.75" x14ac:dyDescent="0.25">
      <c r="A61" s="19"/>
      <c r="B61" s="7" t="s">
        <v>48</v>
      </c>
      <c r="C61" s="57"/>
      <c r="D61" s="68" t="s">
        <v>40</v>
      </c>
      <c r="E61" s="22">
        <f>E48</f>
        <v>41516.570040000006</v>
      </c>
      <c r="F61" s="22">
        <f>F48</f>
        <v>50043.872124203059</v>
      </c>
      <c r="G61" s="22">
        <f>G48</f>
        <v>8527.3020842030583</v>
      </c>
      <c r="H61" s="68" t="s">
        <v>49</v>
      </c>
      <c r="I61" s="56"/>
      <c r="J61" s="56"/>
      <c r="K61" s="79"/>
      <c r="L61" s="56"/>
      <c r="M61" s="58"/>
    </row>
    <row r="62" spans="1:13" ht="15.75" x14ac:dyDescent="0.25">
      <c r="A62" s="19"/>
      <c r="B62" s="7"/>
      <c r="C62" s="57"/>
      <c r="D62" s="56"/>
      <c r="E62" s="22"/>
      <c r="F62" s="13"/>
      <c r="G62" s="13"/>
      <c r="H62" s="68"/>
      <c r="I62" s="56"/>
      <c r="J62" s="56"/>
      <c r="K62" s="56"/>
      <c r="L62" s="56"/>
      <c r="M62" s="58"/>
    </row>
    <row r="63" spans="1:13" ht="15.75" x14ac:dyDescent="0.25">
      <c r="A63" s="19"/>
      <c r="B63" s="7" t="s">
        <v>50</v>
      </c>
      <c r="C63" s="57"/>
      <c r="D63" s="68" t="s">
        <v>46</v>
      </c>
      <c r="E63" s="22">
        <f>E56</f>
        <v>29630</v>
      </c>
      <c r="F63" s="22">
        <f>F56</f>
        <v>35715.85826120757</v>
      </c>
      <c r="G63" s="22">
        <f>G56</f>
        <v>6085.8582612075679</v>
      </c>
      <c r="H63" s="68" t="s">
        <v>51</v>
      </c>
      <c r="I63" s="56"/>
      <c r="J63" s="56"/>
      <c r="K63" s="56"/>
      <c r="L63" s="56"/>
      <c r="M63" s="58"/>
    </row>
    <row r="64" spans="1:13" ht="15.75" x14ac:dyDescent="0.25">
      <c r="A64" s="19"/>
      <c r="B64" s="7"/>
      <c r="C64" s="57"/>
      <c r="D64" s="56"/>
      <c r="E64" s="22"/>
      <c r="F64" s="54"/>
      <c r="G64" s="54"/>
      <c r="H64" s="68"/>
      <c r="I64" s="56"/>
      <c r="J64" s="56"/>
      <c r="K64" s="56"/>
      <c r="L64" s="56"/>
      <c r="M64" s="58"/>
    </row>
    <row r="65" spans="1:13" ht="15.75" x14ac:dyDescent="0.25">
      <c r="A65" s="19"/>
      <c r="B65" s="7" t="s">
        <v>52</v>
      </c>
      <c r="C65" s="57"/>
      <c r="D65" s="68"/>
      <c r="E65" s="22">
        <v>-302236</v>
      </c>
      <c r="F65" s="54">
        <f>E65/E33*F33</f>
        <v>-364313.80821580597</v>
      </c>
      <c r="G65" s="54">
        <f>F65/F33*G33</f>
        <v>-62077.808215805955</v>
      </c>
      <c r="H65" s="68" t="s">
        <v>14</v>
      </c>
      <c r="I65" s="56"/>
      <c r="J65" s="56"/>
      <c r="K65" s="56"/>
      <c r="L65" s="56"/>
      <c r="M65" s="58"/>
    </row>
    <row r="66" spans="1:13" ht="15.75" x14ac:dyDescent="0.25">
      <c r="A66" s="19"/>
      <c r="B66" s="7"/>
      <c r="C66" s="57"/>
      <c r="D66" s="68"/>
      <c r="E66" s="22"/>
      <c r="F66" s="13"/>
      <c r="G66" s="13"/>
      <c r="H66" s="68"/>
      <c r="I66" s="56"/>
      <c r="J66" s="56"/>
      <c r="K66" s="56"/>
      <c r="L66" s="56"/>
      <c r="M66" s="58"/>
    </row>
    <row r="67" spans="1:13" ht="16.5" thickBot="1" x14ac:dyDescent="0.3">
      <c r="A67" s="19"/>
      <c r="B67" s="7" t="s">
        <v>53</v>
      </c>
      <c r="C67" s="57"/>
      <c r="D67" s="68"/>
      <c r="E67" s="8">
        <f>E61+E63+E65</f>
        <v>-231089.42995999998</v>
      </c>
      <c r="F67" s="8">
        <f>F61+F63+F65</f>
        <v>-278554.07783039531</v>
      </c>
      <c r="G67" s="8">
        <f t="shared" ref="G67" si="0">G61+G63+G65</f>
        <v>-47464.647870395333</v>
      </c>
      <c r="H67" s="68" t="s">
        <v>54</v>
      </c>
      <c r="I67" s="56"/>
      <c r="J67" s="56"/>
      <c r="K67" s="56"/>
      <c r="L67" s="56"/>
      <c r="M67" s="58"/>
    </row>
    <row r="68" spans="1:13" ht="15.75" x14ac:dyDescent="0.25">
      <c r="A68" s="19"/>
      <c r="B68" s="7"/>
      <c r="C68" s="57"/>
      <c r="D68" s="68"/>
      <c r="E68" s="34"/>
      <c r="F68" s="45"/>
      <c r="G68" s="45"/>
      <c r="H68" s="68"/>
      <c r="I68" s="56"/>
      <c r="J68" s="56"/>
      <c r="K68" s="56"/>
      <c r="L68" s="56"/>
      <c r="M68" s="58"/>
    </row>
    <row r="69" spans="1:13" ht="15.75" x14ac:dyDescent="0.25">
      <c r="A69" s="19"/>
      <c r="B69" s="7" t="s">
        <v>55</v>
      </c>
      <c r="C69" s="38">
        <v>0.26500000000000001</v>
      </c>
      <c r="D69" s="68" t="s">
        <v>56</v>
      </c>
      <c r="E69" s="34"/>
      <c r="F69" s="45"/>
      <c r="G69" s="45"/>
      <c r="H69" s="68"/>
      <c r="I69" s="56"/>
      <c r="J69" s="56"/>
      <c r="K69" s="56"/>
      <c r="L69" s="56"/>
      <c r="M69" s="58"/>
    </row>
    <row r="70" spans="1:13" ht="15.75" x14ac:dyDescent="0.25">
      <c r="A70" s="19"/>
      <c r="B70" s="7"/>
      <c r="C70" s="57"/>
      <c r="D70" s="56"/>
      <c r="E70" s="34"/>
      <c r="F70" s="45"/>
      <c r="G70" s="45"/>
      <c r="H70" s="68"/>
      <c r="I70" s="56"/>
      <c r="J70" s="56"/>
      <c r="K70" s="56"/>
      <c r="L70" s="56"/>
      <c r="M70" s="58"/>
    </row>
    <row r="71" spans="1:13" ht="15.75" x14ac:dyDescent="0.25">
      <c r="A71" s="19"/>
      <c r="B71" s="7" t="s">
        <v>57</v>
      </c>
      <c r="C71" s="57"/>
      <c r="D71" s="56"/>
      <c r="E71" s="22">
        <f>E67*$C$69</f>
        <v>-61238.698939399997</v>
      </c>
      <c r="F71" s="22">
        <f>F67*$C$69</f>
        <v>-73816.830625054761</v>
      </c>
      <c r="G71" s="22">
        <f>G67*$C$69</f>
        <v>-12578.131685654764</v>
      </c>
      <c r="H71" s="68" t="s">
        <v>58</v>
      </c>
      <c r="I71" s="56"/>
      <c r="J71" s="56"/>
      <c r="K71" s="56"/>
      <c r="L71" s="56"/>
      <c r="M71" s="58"/>
    </row>
    <row r="72" spans="1:13" ht="15.75" x14ac:dyDescent="0.25">
      <c r="A72" s="19"/>
      <c r="B72" s="7"/>
      <c r="C72" s="57"/>
      <c r="D72" s="56"/>
      <c r="E72" s="22"/>
      <c r="F72" s="13"/>
      <c r="G72" s="13"/>
      <c r="H72" s="68"/>
      <c r="I72" s="56"/>
      <c r="J72" s="56"/>
      <c r="K72" s="56"/>
      <c r="L72" s="56"/>
      <c r="M72" s="58"/>
    </row>
    <row r="73" spans="1:13" ht="15.75" x14ac:dyDescent="0.25">
      <c r="A73" s="19"/>
      <c r="B73" s="7" t="s">
        <v>59</v>
      </c>
      <c r="C73" s="57"/>
      <c r="D73" s="56"/>
      <c r="E73" s="22">
        <f>E71/(1-$C$69)</f>
        <v>-83317.957740680271</v>
      </c>
      <c r="F73" s="22">
        <f>F71/(1-$C$69)</f>
        <v>-100431.06207490443</v>
      </c>
      <c r="G73" s="22">
        <f>G71/(1-$C$69)</f>
        <v>-17113.104334224168</v>
      </c>
      <c r="H73" s="68" t="s">
        <v>60</v>
      </c>
      <c r="I73" s="56"/>
      <c r="J73" s="56"/>
      <c r="K73" s="56"/>
      <c r="L73" s="56"/>
      <c r="M73" s="58"/>
    </row>
    <row r="74" spans="1:13" ht="16.5" thickBot="1" x14ac:dyDescent="0.3">
      <c r="A74" s="19"/>
      <c r="B74" s="23"/>
      <c r="C74" s="35"/>
      <c r="D74" s="36"/>
      <c r="E74" s="39"/>
      <c r="F74" s="45"/>
      <c r="G74" s="45"/>
      <c r="H74" s="68"/>
      <c r="I74" s="56"/>
      <c r="J74" s="56"/>
      <c r="K74" s="56"/>
      <c r="L74" s="56"/>
      <c r="M74" s="58"/>
    </row>
    <row r="75" spans="1:13" ht="15.75" hidden="1" x14ac:dyDescent="0.25">
      <c r="A75" s="19"/>
      <c r="B75" s="56"/>
      <c r="C75" s="57"/>
      <c r="D75" s="56"/>
      <c r="E75" s="45"/>
      <c r="F75" s="45"/>
      <c r="G75" s="45"/>
      <c r="H75" s="68"/>
      <c r="I75" s="56"/>
      <c r="J75" s="56"/>
      <c r="K75" s="56"/>
      <c r="L75" s="56"/>
      <c r="M75" s="58"/>
    </row>
    <row r="76" spans="1:13" ht="18" hidden="1" x14ac:dyDescent="0.25">
      <c r="A76" s="19"/>
      <c r="B76" s="2" t="s">
        <v>61</v>
      </c>
      <c r="C76" s="57"/>
      <c r="D76" s="56"/>
      <c r="E76" s="45"/>
      <c r="F76" s="45"/>
      <c r="G76" s="45"/>
      <c r="H76" s="68"/>
      <c r="I76" s="56"/>
      <c r="J76" s="56"/>
      <c r="K76" s="56"/>
      <c r="L76" s="56"/>
      <c r="M76" s="58"/>
    </row>
    <row r="77" spans="1:13" ht="15.75" hidden="1" x14ac:dyDescent="0.25">
      <c r="A77" s="19"/>
      <c r="B77" s="7" t="s">
        <v>62</v>
      </c>
      <c r="C77" s="4"/>
      <c r="D77" s="5"/>
      <c r="E77" s="29"/>
      <c r="F77" s="13"/>
      <c r="G77" s="13"/>
      <c r="H77" s="68" t="s">
        <v>63</v>
      </c>
      <c r="I77" s="56"/>
      <c r="J77" s="56"/>
      <c r="K77" s="56"/>
      <c r="L77" s="56"/>
      <c r="M77" s="58"/>
    </row>
    <row r="78" spans="1:13" ht="15.75" hidden="1" x14ac:dyDescent="0.25">
      <c r="A78" s="19"/>
      <c r="B78" s="7"/>
      <c r="C78" s="57"/>
      <c r="D78" s="56"/>
      <c r="E78" s="34"/>
      <c r="F78" s="45"/>
      <c r="G78" s="45"/>
      <c r="H78" s="68"/>
      <c r="I78" s="56"/>
      <c r="J78" s="56"/>
      <c r="K78" s="56"/>
      <c r="L78" s="56"/>
      <c r="M78" s="58"/>
    </row>
    <row r="79" spans="1:13" ht="15.75" hidden="1" x14ac:dyDescent="0.25">
      <c r="A79" s="19"/>
      <c r="B79" s="7" t="s">
        <v>64</v>
      </c>
      <c r="C79" s="57"/>
      <c r="D79" s="56"/>
      <c r="E79" s="40"/>
      <c r="F79" s="49"/>
      <c r="G79" s="49"/>
      <c r="H79" s="68" t="s">
        <v>65</v>
      </c>
      <c r="I79" s="56"/>
      <c r="J79" s="56"/>
      <c r="K79" s="56"/>
      <c r="L79" s="56"/>
      <c r="M79" s="58"/>
    </row>
    <row r="80" spans="1:13" ht="15.75" hidden="1" x14ac:dyDescent="0.25">
      <c r="A80" s="19"/>
      <c r="B80" s="7"/>
      <c r="C80" s="57"/>
      <c r="D80" s="56"/>
      <c r="E80" s="34"/>
      <c r="F80" s="45"/>
      <c r="G80" s="45"/>
      <c r="H80" s="68"/>
      <c r="I80" s="56"/>
      <c r="J80" s="56"/>
      <c r="K80" s="56"/>
      <c r="L80" s="56"/>
      <c r="M80" s="58"/>
    </row>
    <row r="81" spans="1:13" ht="15.75" hidden="1" x14ac:dyDescent="0.25">
      <c r="A81" s="19"/>
      <c r="B81" s="7" t="s">
        <v>66</v>
      </c>
      <c r="C81" s="57"/>
      <c r="D81" s="56"/>
      <c r="E81" s="41"/>
      <c r="F81" s="13"/>
      <c r="G81" s="13"/>
      <c r="H81" s="68" t="s">
        <v>67</v>
      </c>
      <c r="I81" s="56"/>
      <c r="J81" s="56"/>
      <c r="K81" s="56"/>
      <c r="L81" s="56"/>
      <c r="M81" s="58"/>
    </row>
    <row r="82" spans="1:13" ht="15.75" hidden="1" x14ac:dyDescent="0.25">
      <c r="A82" s="19"/>
      <c r="B82" s="7"/>
      <c r="C82" s="57"/>
      <c r="D82" s="56"/>
      <c r="E82" s="34"/>
      <c r="F82" s="45"/>
      <c r="G82" s="45"/>
      <c r="H82" s="68"/>
      <c r="I82" s="56"/>
      <c r="J82" s="56"/>
      <c r="K82" s="56"/>
      <c r="L82" s="56"/>
      <c r="M82" s="58"/>
    </row>
    <row r="83" spans="1:13" ht="15.75" hidden="1" x14ac:dyDescent="0.25">
      <c r="A83" s="19"/>
      <c r="B83" s="7" t="s">
        <v>68</v>
      </c>
      <c r="C83" s="38"/>
      <c r="D83" s="68" t="s">
        <v>69</v>
      </c>
      <c r="E83" s="34"/>
      <c r="F83" s="45"/>
      <c r="G83" s="45"/>
      <c r="H83" s="68"/>
      <c r="I83" s="56"/>
      <c r="J83" s="56"/>
      <c r="K83" s="56"/>
      <c r="L83" s="56"/>
      <c r="M83" s="58"/>
    </row>
    <row r="84" spans="1:13" ht="15.75" hidden="1" x14ac:dyDescent="0.25">
      <c r="A84" s="19"/>
      <c r="B84" s="42"/>
      <c r="C84" s="57"/>
      <c r="D84" s="56"/>
      <c r="E84" s="34"/>
      <c r="F84" s="45"/>
      <c r="G84" s="45"/>
      <c r="H84" s="68"/>
      <c r="I84" s="56"/>
      <c r="J84" s="56"/>
      <c r="K84" s="56"/>
      <c r="L84" s="56"/>
      <c r="M84" s="58"/>
    </row>
    <row r="85" spans="1:13" ht="16.5" hidden="1" thickBot="1" x14ac:dyDescent="0.3">
      <c r="A85" s="19"/>
      <c r="B85" s="7" t="s">
        <v>70</v>
      </c>
      <c r="C85" s="57"/>
      <c r="D85" s="56"/>
      <c r="E85" s="8"/>
      <c r="F85" s="13"/>
      <c r="G85" s="13"/>
      <c r="H85" s="68" t="s">
        <v>71</v>
      </c>
      <c r="I85" s="56"/>
      <c r="J85" s="56"/>
      <c r="K85" s="56"/>
      <c r="L85" s="56"/>
      <c r="M85" s="58"/>
    </row>
    <row r="86" spans="1:13" ht="16.5" hidden="1" thickBot="1" x14ac:dyDescent="0.3">
      <c r="A86" s="19"/>
      <c r="B86" s="23"/>
      <c r="C86" s="35"/>
      <c r="D86" s="36"/>
      <c r="E86" s="39"/>
      <c r="F86" s="45"/>
      <c r="G86" s="45"/>
      <c r="H86" s="68"/>
      <c r="I86" s="56"/>
      <c r="J86" s="56"/>
      <c r="K86" s="56"/>
      <c r="L86" s="56"/>
      <c r="M86" s="58"/>
    </row>
    <row r="87" spans="1:13" ht="16.5" thickBot="1" x14ac:dyDescent="0.3">
      <c r="A87" s="19"/>
      <c r="B87" s="56"/>
      <c r="C87" s="57"/>
      <c r="D87" s="56"/>
      <c r="E87" s="45"/>
      <c r="F87" s="45"/>
      <c r="G87" s="45"/>
      <c r="H87" s="68"/>
      <c r="I87" s="56"/>
      <c r="J87" s="56"/>
      <c r="K87" s="56"/>
      <c r="L87" s="56"/>
      <c r="M87" s="58"/>
    </row>
    <row r="88" spans="1:13" ht="18.75" thickBot="1" x14ac:dyDescent="0.3">
      <c r="A88" s="19"/>
      <c r="B88" s="2" t="s">
        <v>72</v>
      </c>
      <c r="C88" s="57"/>
      <c r="D88" s="56"/>
      <c r="E88" s="45"/>
      <c r="F88" s="45"/>
      <c r="G88" s="45"/>
      <c r="H88" s="68"/>
      <c r="I88" s="56"/>
      <c r="J88" s="56"/>
      <c r="K88" s="56"/>
      <c r="L88" s="56"/>
      <c r="M88" s="58"/>
    </row>
    <row r="89" spans="1:13" ht="15.75" x14ac:dyDescent="0.25">
      <c r="A89" s="19"/>
      <c r="B89" s="43" t="s">
        <v>42</v>
      </c>
      <c r="C89" s="4"/>
      <c r="D89" s="44" t="s">
        <v>73</v>
      </c>
      <c r="E89" s="95">
        <f>E50</f>
        <v>63806.721090000006</v>
      </c>
      <c r="F89" s="95">
        <f>F50</f>
        <v>76883.948864198304</v>
      </c>
      <c r="G89" s="95">
        <f>G50</f>
        <v>13100.757986198296</v>
      </c>
      <c r="H89" s="68" t="s">
        <v>63</v>
      </c>
      <c r="I89" s="56"/>
      <c r="J89" s="56"/>
      <c r="K89" s="56"/>
      <c r="L89" s="56"/>
      <c r="M89" s="58"/>
    </row>
    <row r="90" spans="1:13" ht="15.75" x14ac:dyDescent="0.25">
      <c r="A90" s="19"/>
      <c r="B90" s="7" t="s">
        <v>74</v>
      </c>
      <c r="C90" s="57"/>
      <c r="D90" s="68" t="s">
        <v>46</v>
      </c>
      <c r="E90" s="96">
        <f>E56</f>
        <v>29630</v>
      </c>
      <c r="F90" s="96">
        <f>F56</f>
        <v>35715.85826120757</v>
      </c>
      <c r="G90" s="96">
        <f>G56</f>
        <v>6085.8582612075679</v>
      </c>
      <c r="H90" s="68" t="s">
        <v>65</v>
      </c>
      <c r="I90" s="56"/>
      <c r="J90" s="56"/>
      <c r="K90" s="56"/>
      <c r="L90" s="56"/>
      <c r="M90" s="58"/>
    </row>
    <row r="91" spans="1:13" ht="15.75" x14ac:dyDescent="0.25">
      <c r="A91" s="19"/>
      <c r="B91" s="7" t="str">
        <f>B73</f>
        <v>Grossed-Up Taxes/PILs</v>
      </c>
      <c r="C91" s="57"/>
      <c r="D91" s="68" t="s">
        <v>75</v>
      </c>
      <c r="E91" s="96">
        <f>E73</f>
        <v>-83317.957740680271</v>
      </c>
      <c r="F91" s="96">
        <f>F73</f>
        <v>-100431.06207490443</v>
      </c>
      <c r="G91" s="96">
        <f>G73</f>
        <v>-17113.104334224168</v>
      </c>
      <c r="H91" s="68" t="s">
        <v>76</v>
      </c>
      <c r="I91" s="56"/>
      <c r="J91" s="56"/>
      <c r="K91" s="56"/>
      <c r="L91" s="56"/>
      <c r="M91" s="58"/>
    </row>
    <row r="92" spans="1:13" ht="15.75" x14ac:dyDescent="0.25">
      <c r="A92" s="19"/>
      <c r="B92" s="7"/>
      <c r="C92" s="57"/>
      <c r="D92" s="68"/>
      <c r="E92" s="34"/>
      <c r="F92" s="45"/>
      <c r="G92" s="45"/>
      <c r="H92" s="68"/>
      <c r="I92" s="56"/>
      <c r="J92" s="56"/>
      <c r="K92" s="56"/>
      <c r="L92" s="56"/>
      <c r="M92" s="58"/>
    </row>
    <row r="93" spans="1:13" ht="15.75" x14ac:dyDescent="0.25">
      <c r="A93" s="19"/>
      <c r="B93" s="7"/>
      <c r="C93" s="57"/>
      <c r="D93" s="56"/>
      <c r="E93" s="34"/>
      <c r="F93" s="45"/>
      <c r="G93" s="45"/>
      <c r="H93" s="68"/>
      <c r="I93" s="56"/>
      <c r="J93" s="56"/>
      <c r="K93" s="56"/>
      <c r="L93" s="56"/>
      <c r="M93" s="58"/>
    </row>
    <row r="94" spans="1:13" ht="16.5" thickBot="1" x14ac:dyDescent="0.3">
      <c r="A94" s="19"/>
      <c r="B94" s="7" t="s">
        <v>72</v>
      </c>
      <c r="C94" s="57"/>
      <c r="D94" s="56"/>
      <c r="E94" s="97">
        <f>SUM(E89:E91)</f>
        <v>10118.763349319735</v>
      </c>
      <c r="F94" s="97">
        <f>SUM(F89:F91)</f>
        <v>12168.745050501442</v>
      </c>
      <c r="G94" s="97">
        <f>SUM(G89:G91)</f>
        <v>2073.5119131816973</v>
      </c>
      <c r="H94" s="68" t="s">
        <v>77</v>
      </c>
      <c r="I94" s="56"/>
      <c r="J94" s="56"/>
      <c r="K94" s="56"/>
      <c r="L94" s="56"/>
      <c r="M94" s="58"/>
    </row>
    <row r="95" spans="1:13" ht="16.5" thickBot="1" x14ac:dyDescent="0.3">
      <c r="A95" s="19"/>
      <c r="B95" s="23"/>
      <c r="C95" s="35"/>
      <c r="D95" s="36"/>
      <c r="E95" s="39"/>
      <c r="F95" s="45"/>
      <c r="G95" s="45"/>
      <c r="H95" s="68"/>
      <c r="I95" s="56"/>
      <c r="J95" s="56"/>
      <c r="K95" s="56"/>
      <c r="L95" s="56"/>
      <c r="M95" s="58"/>
    </row>
    <row r="96" spans="1:13" ht="15.75" x14ac:dyDescent="0.25">
      <c r="A96" s="19"/>
      <c r="B96" s="56"/>
      <c r="C96" s="57"/>
      <c r="D96" s="56"/>
      <c r="E96" s="66"/>
      <c r="F96" s="66"/>
      <c r="G96" s="80">
        <f>F94-G94</f>
        <v>10095.233137319745</v>
      </c>
      <c r="H96" s="99" t="s">
        <v>94</v>
      </c>
      <c r="I96" s="56"/>
      <c r="J96" s="56"/>
      <c r="K96" s="56"/>
      <c r="L96" s="56"/>
      <c r="M96" s="58"/>
    </row>
    <row r="97" spans="1:13" ht="15.75" x14ac:dyDescent="0.25">
      <c r="A97" s="19"/>
      <c r="B97" s="56"/>
      <c r="C97" s="57"/>
      <c r="D97" s="56"/>
      <c r="E97" s="66"/>
      <c r="F97" s="66"/>
      <c r="G97" s="98">
        <f>E94</f>
        <v>10118.763349319735</v>
      </c>
      <c r="H97" s="56"/>
      <c r="I97" s="56"/>
      <c r="J97" s="56"/>
      <c r="K97" s="56"/>
      <c r="L97" s="56"/>
      <c r="M97" s="58"/>
    </row>
    <row r="98" spans="1:13" ht="15.75" x14ac:dyDescent="0.25">
      <c r="A98" s="19"/>
      <c r="B98" s="56"/>
      <c r="C98" s="57"/>
      <c r="D98" s="56"/>
      <c r="E98" s="56"/>
      <c r="F98" s="56"/>
      <c r="G98" s="80">
        <f>G96-G97</f>
        <v>-23.53021199999057</v>
      </c>
      <c r="H98" s="56" t="s">
        <v>95</v>
      </c>
      <c r="I98" s="56"/>
      <c r="J98" s="56"/>
      <c r="K98" s="56"/>
      <c r="L98" s="56"/>
      <c r="M98" s="58"/>
    </row>
    <row r="99" spans="1:13" ht="15.75" x14ac:dyDescent="0.25">
      <c r="A99" s="100" t="s">
        <v>89</v>
      </c>
      <c r="B99" s="89" t="s">
        <v>79</v>
      </c>
      <c r="C99" s="57"/>
      <c r="D99" s="56"/>
      <c r="E99" s="56"/>
      <c r="F99" s="56"/>
      <c r="G99" s="56"/>
      <c r="H99" s="56"/>
      <c r="I99" s="56"/>
      <c r="J99" s="56"/>
      <c r="K99" s="56"/>
      <c r="L99" s="56"/>
      <c r="M99" s="58"/>
    </row>
    <row r="100" spans="1:13" ht="63" x14ac:dyDescent="0.25">
      <c r="A100" s="19"/>
      <c r="B100" s="56"/>
      <c r="C100" s="89" t="s">
        <v>80</v>
      </c>
      <c r="D100" s="89"/>
      <c r="E100" s="101" t="s">
        <v>97</v>
      </c>
      <c r="F100" s="106" t="s">
        <v>83</v>
      </c>
      <c r="G100" s="56"/>
      <c r="H100" s="56"/>
      <c r="I100" s="56"/>
      <c r="J100" s="56"/>
      <c r="K100" s="56"/>
      <c r="L100" s="56"/>
      <c r="M100" s="58"/>
    </row>
    <row r="101" spans="1:13" ht="15.75" x14ac:dyDescent="0.25">
      <c r="A101" s="56"/>
      <c r="B101" s="66">
        <v>2021</v>
      </c>
      <c r="C101" s="80">
        <f>E33</f>
        <v>2518633</v>
      </c>
      <c r="D101" s="66"/>
      <c r="E101" s="84">
        <f>E94*-1</f>
        <v>-10118.763349319735</v>
      </c>
      <c r="F101" s="84">
        <f>F94*-1</f>
        <v>-12168.745050501442</v>
      </c>
      <c r="G101" s="56"/>
      <c r="H101" s="56"/>
      <c r="I101" s="56"/>
      <c r="J101" s="56"/>
      <c r="K101" s="56"/>
      <c r="L101" s="56"/>
      <c r="M101" s="58"/>
    </row>
    <row r="102" spans="1:13" ht="15.75" x14ac:dyDescent="0.25">
      <c r="A102" s="56"/>
      <c r="B102" s="66">
        <v>2022</v>
      </c>
      <c r="C102" s="66"/>
      <c r="D102" s="85">
        <v>3.15E-2</v>
      </c>
      <c r="E102" s="84">
        <f>E101*(1+D102)</f>
        <v>-10437.504394823309</v>
      </c>
      <c r="F102" s="84">
        <f>F101*(1+D102)</f>
        <v>-12552.060519592238</v>
      </c>
      <c r="G102" s="56"/>
      <c r="H102" s="56"/>
      <c r="I102" s="56"/>
      <c r="J102" s="56"/>
      <c r="K102" s="56"/>
      <c r="L102" s="56"/>
      <c r="M102" s="58"/>
    </row>
    <row r="103" spans="1:13" ht="15.75" x14ac:dyDescent="0.25">
      <c r="A103" s="56"/>
      <c r="B103" s="66">
        <v>2023</v>
      </c>
      <c r="C103" s="86"/>
      <c r="D103" s="87">
        <v>3.5499999999999997E-2</v>
      </c>
      <c r="E103" s="88">
        <f>E102*(1+D103)</f>
        <v>-10808.035800839538</v>
      </c>
      <c r="F103" s="88">
        <f>F102*(1+D103)</f>
        <v>-12997.658668037764</v>
      </c>
      <c r="G103" s="56"/>
      <c r="H103" s="56"/>
      <c r="I103" s="56"/>
      <c r="J103" s="56"/>
      <c r="K103" s="56"/>
      <c r="L103" s="56"/>
      <c r="M103" s="58"/>
    </row>
    <row r="104" spans="1:13" ht="15.75" x14ac:dyDescent="0.25">
      <c r="A104" s="19"/>
      <c r="B104" s="56"/>
      <c r="C104" s="66"/>
      <c r="D104" s="92" t="s">
        <v>93</v>
      </c>
      <c r="E104" s="90">
        <f>E101+E102+E103</f>
        <v>-31364.30354498258</v>
      </c>
      <c r="F104" s="90">
        <f>F101+F102+F103</f>
        <v>-37718.464238131448</v>
      </c>
      <c r="G104" s="56"/>
      <c r="H104" s="56"/>
      <c r="I104" s="56"/>
      <c r="J104" s="56"/>
      <c r="K104" s="56"/>
      <c r="L104" s="56"/>
      <c r="M104" s="58"/>
    </row>
    <row r="105" spans="1:13" ht="15.75" x14ac:dyDescent="0.25">
      <c r="A105" s="19"/>
      <c r="B105" s="102"/>
      <c r="C105" s="103"/>
      <c r="D105" s="104" t="s">
        <v>96</v>
      </c>
      <c r="E105" s="108">
        <v>-2845</v>
      </c>
      <c r="F105" s="105">
        <v>-2845</v>
      </c>
      <c r="G105" s="56"/>
      <c r="H105" s="56"/>
      <c r="I105" s="56"/>
      <c r="J105" s="56"/>
      <c r="K105" s="56"/>
      <c r="L105" s="56"/>
      <c r="M105" s="58"/>
    </row>
    <row r="106" spans="1:13" ht="15.75" x14ac:dyDescent="0.25">
      <c r="A106" s="19"/>
      <c r="B106" s="56"/>
      <c r="C106" s="66"/>
      <c r="D106" s="91" t="s">
        <v>92</v>
      </c>
      <c r="E106" s="90">
        <f>E104+E105</f>
        <v>-34209.303544982584</v>
      </c>
      <c r="F106" s="90">
        <f>F104+F105</f>
        <v>-40563.464238131448</v>
      </c>
      <c r="G106" s="56"/>
      <c r="H106" s="56"/>
      <c r="I106" s="56"/>
      <c r="J106" s="56"/>
      <c r="K106" s="56"/>
      <c r="L106" s="56"/>
      <c r="M106" s="58"/>
    </row>
    <row r="107" spans="1:13" x14ac:dyDescent="0.25">
      <c r="A107" s="19"/>
      <c r="B107" s="56"/>
      <c r="C107" s="57"/>
      <c r="D107" s="56"/>
      <c r="E107" s="56"/>
      <c r="F107" s="56"/>
      <c r="G107" s="56"/>
      <c r="H107" s="56"/>
      <c r="I107" s="56"/>
      <c r="J107" s="56"/>
      <c r="K107" s="56"/>
      <c r="L107" s="56"/>
      <c r="M107" s="58"/>
    </row>
    <row r="108" spans="1:13" x14ac:dyDescent="0.25">
      <c r="A108" s="19"/>
      <c r="B108" s="56"/>
      <c r="C108" s="57"/>
      <c r="D108" s="56"/>
      <c r="E108" s="56"/>
      <c r="F108" s="56"/>
      <c r="G108" s="56"/>
      <c r="H108" s="56"/>
      <c r="I108" s="56"/>
      <c r="J108" s="56"/>
      <c r="K108" s="56"/>
      <c r="L108" s="56"/>
      <c r="M108" s="58"/>
    </row>
    <row r="109" spans="1:13" ht="15.75" thickBot="1" x14ac:dyDescent="0.3">
      <c r="A109" s="9"/>
      <c r="B109" s="36"/>
      <c r="C109" s="35"/>
      <c r="D109" s="36"/>
      <c r="E109" s="36"/>
      <c r="F109" s="36"/>
      <c r="G109" s="36"/>
      <c r="H109" s="36"/>
      <c r="I109" s="36"/>
      <c r="J109" s="36"/>
      <c r="K109" s="36"/>
      <c r="L109" s="36"/>
      <c r="M109" s="81"/>
    </row>
  </sheetData>
  <mergeCells count="3">
    <mergeCell ref="H24:J25"/>
    <mergeCell ref="C25:E25"/>
    <mergeCell ref="B30:H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 Requirement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Li</dc:creator>
  <cp:lastModifiedBy>Dana Wong</cp:lastModifiedBy>
  <dcterms:created xsi:type="dcterms:W3CDTF">2025-01-15T19:10:43Z</dcterms:created>
  <dcterms:modified xsi:type="dcterms:W3CDTF">2025-01-16T20:07:59Z</dcterms:modified>
</cp:coreProperties>
</file>