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oweradvisoryllc-my.sharepoint.com/personal/ablair_poweradvisoryllc_com/Documents/Documents/ENGLP/2025 COS/SM/Tax Update/"/>
    </mc:Choice>
  </mc:AlternateContent>
  <xr:revisionPtr revIDLastSave="84" documentId="8_{45F67C98-4FE1-421C-9D76-BB5D356A4175}" xr6:coauthVersionLast="47" xr6:coauthVersionMax="47" xr10:uidLastSave="{61771935-C879-4C59-A41B-E991946A3451}"/>
  <workbookProtection lockStructure="1"/>
  <bookViews>
    <workbookView xWindow="-28920" yWindow="1650" windowWidth="29040" windowHeight="15720" tabRatio="854" firstSheet="2" activeTab="11" xr2:uid="{00000000-000D-0000-FFFF-FFFF00000000}"/>
  </bookViews>
  <sheets>
    <sheet name="Trial Balance" sheetId="1" r:id="rId1"/>
    <sheet name="Assets" sheetId="2" r:id="rId2"/>
    <sheet name="Customer Data" sheetId="6" r:id="rId3"/>
    <sheet name="Customer Revenues" sheetId="11" r:id="rId4"/>
    <sheet name="Capital Functionlization" sheetId="4" r:id="rId5"/>
    <sheet name="OM&amp;A Functionalization" sheetId="3" r:id="rId6"/>
    <sheet name="Functionalized Trial Balance" sheetId="5" r:id="rId7"/>
    <sheet name="Classification" sheetId="8" r:id="rId8"/>
    <sheet name="Allocation" sheetId="10" r:id="rId9"/>
    <sheet name="Allocators" sheetId="9" r:id="rId10"/>
    <sheet name="Revenue to Cost Ratio" sheetId="12" r:id="rId11"/>
    <sheet name="Revenue Rebalancing" sheetId="15" r:id="rId12"/>
  </sheets>
  <definedNames>
    <definedName name="Allocators">Allocators!$C$6:$C$31</definedName>
    <definedName name="_xlnm.Print_Area" localSheetId="1">Assets!$B$1:$K$30</definedName>
    <definedName name="_xlnm.Print_Area" localSheetId="0">'Trial Balance'!$B$1:$E$76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2" l="1"/>
  <c r="H32" i="2"/>
  <c r="E9" i="1"/>
  <c r="E11" i="1"/>
  <c r="J16" i="2"/>
  <c r="J17" i="2"/>
  <c r="B67" i="1" l="1"/>
  <c r="F9" i="1" l="1"/>
  <c r="P16" i="12" l="1"/>
  <c r="E14" i="6"/>
  <c r="D14" i="6"/>
  <c r="C14" i="6"/>
  <c r="B4" i="15" l="1"/>
  <c r="P17" i="12"/>
  <c r="P18" i="12"/>
  <c r="P19" i="12"/>
  <c r="D43" i="3"/>
  <c r="B4" i="12"/>
  <c r="B4" i="9"/>
  <c r="B4" i="10"/>
  <c r="A4" i="8"/>
  <c r="B4" i="5"/>
  <c r="A4" i="3"/>
  <c r="B4" i="4"/>
  <c r="B4" i="11"/>
  <c r="B4" i="6"/>
  <c r="B4" i="2"/>
  <c r="B4" i="1"/>
  <c r="A7" i="8" l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45" i="3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C35" i="4" l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J18" i="6" l="1"/>
  <c r="J27" i="6"/>
  <c r="D8" i="6" l="1"/>
  <c r="E8" i="6"/>
  <c r="F8" i="6"/>
  <c r="G8" i="6"/>
  <c r="H8" i="6"/>
  <c r="I8" i="6"/>
  <c r="J8" i="6"/>
  <c r="C8" i="6"/>
  <c r="C58" i="10"/>
  <c r="C59" i="10"/>
  <c r="C60" i="10"/>
  <c r="C61" i="10"/>
  <c r="Q28" i="3"/>
  <c r="Q29" i="3"/>
  <c r="Q31" i="3"/>
  <c r="Q32" i="3"/>
  <c r="Q33" i="3"/>
  <c r="Q34" i="3"/>
  <c r="Q35" i="3"/>
  <c r="Q36" i="3"/>
  <c r="Q37" i="3"/>
  <c r="D64" i="10"/>
  <c r="C64" i="10"/>
  <c r="C65" i="10"/>
  <c r="J8" i="2"/>
  <c r="D50" i="10"/>
  <c r="D51" i="10"/>
  <c r="C50" i="10"/>
  <c r="C51" i="10"/>
  <c r="C18" i="10"/>
  <c r="C17" i="10"/>
  <c r="M9" i="8"/>
  <c r="F9" i="8"/>
  <c r="R17" i="8"/>
  <c r="B12" i="8"/>
  <c r="B13" i="8"/>
  <c r="B27" i="8"/>
  <c r="B28" i="8"/>
  <c r="C43" i="5"/>
  <c r="C17" i="5"/>
  <c r="B32" i="8" s="1"/>
  <c r="C16" i="5"/>
  <c r="B31" i="8" s="1"/>
  <c r="C15" i="5"/>
  <c r="C28" i="5" s="1"/>
  <c r="C14" i="5"/>
  <c r="C27" i="5" s="1"/>
  <c r="C11" i="5"/>
  <c r="C24" i="5" s="1"/>
  <c r="C37" i="5" s="1"/>
  <c r="B56" i="8" s="1"/>
  <c r="C10" i="5"/>
  <c r="C9" i="5"/>
  <c r="C8" i="5"/>
  <c r="C7" i="5"/>
  <c r="C6" i="5"/>
  <c r="C18" i="5"/>
  <c r="C31" i="5" s="1"/>
  <c r="G43" i="3"/>
  <c r="B41" i="8" l="1"/>
  <c r="B30" i="8"/>
  <c r="B29" i="8"/>
  <c r="B18" i="8"/>
  <c r="B17" i="8"/>
  <c r="C30" i="5"/>
  <c r="B11" i="8"/>
  <c r="B14" i="8"/>
  <c r="B33" i="8"/>
  <c r="B26" i="8"/>
  <c r="C29" i="5"/>
  <c r="C28" i="12" l="1"/>
  <c r="D52" i="11" l="1"/>
  <c r="D50" i="11"/>
  <c r="O43" i="3" l="1"/>
  <c r="R11" i="8"/>
  <c r="R12" i="8"/>
  <c r="H19" i="3"/>
  <c r="N38" i="3"/>
  <c r="O73" i="10" l="1"/>
  <c r="C62" i="10"/>
  <c r="C63" i="10"/>
  <c r="C42" i="10"/>
  <c r="C43" i="10"/>
  <c r="C44" i="10"/>
  <c r="C45" i="10"/>
  <c r="C10" i="10"/>
  <c r="C11" i="10"/>
  <c r="C25" i="5"/>
  <c r="B42" i="8" s="1"/>
  <c r="C26" i="5"/>
  <c r="B43" i="8" s="1"/>
  <c r="B44" i="8"/>
  <c r="L26" i="9"/>
  <c r="J15" i="6" l="1"/>
  <c r="S18" i="4" l="1"/>
  <c r="K19" i="2"/>
  <c r="B27" i="2"/>
  <c r="B29" i="2"/>
  <c r="C29" i="2"/>
  <c r="B28" i="2"/>
  <c r="C28" i="2"/>
  <c r="C27" i="2"/>
  <c r="B26" i="2"/>
  <c r="C26" i="2"/>
  <c r="B25" i="2"/>
  <c r="C25" i="2"/>
  <c r="B24" i="2"/>
  <c r="C24" i="2"/>
  <c r="B23" i="2"/>
  <c r="C23" i="2"/>
  <c r="B22" i="2"/>
  <c r="C22" i="2"/>
  <c r="B21" i="2"/>
  <c r="C21" i="2"/>
  <c r="B20" i="2"/>
  <c r="C20" i="2"/>
  <c r="B19" i="2"/>
  <c r="C18" i="4" s="1"/>
  <c r="C19" i="2"/>
  <c r="D19" i="2"/>
  <c r="F19" i="2" s="1"/>
  <c r="H19" i="2" s="1"/>
  <c r="B18" i="2"/>
  <c r="C18" i="2"/>
  <c r="B17" i="2"/>
  <c r="C17" i="2"/>
  <c r="B16" i="2"/>
  <c r="C16" i="2"/>
  <c r="B13" i="2"/>
  <c r="C13" i="2"/>
  <c r="B14" i="2"/>
  <c r="C14" i="2"/>
  <c r="B15" i="2"/>
  <c r="C15" i="2"/>
  <c r="B12" i="2"/>
  <c r="C12" i="2"/>
  <c r="B7" i="2"/>
  <c r="C7" i="2"/>
  <c r="B8" i="2"/>
  <c r="C8" i="2"/>
  <c r="B9" i="2"/>
  <c r="C9" i="2"/>
  <c r="B10" i="2"/>
  <c r="C10" i="2"/>
  <c r="B11" i="2"/>
  <c r="C11" i="2"/>
  <c r="C6" i="2"/>
  <c r="B6" i="2"/>
  <c r="I30" i="2" l="1"/>
  <c r="E43" i="4"/>
  <c r="H43" i="4" s="1"/>
  <c r="D18" i="4"/>
  <c r="D43" i="4" s="1"/>
  <c r="D69" i="4" s="1"/>
  <c r="E69" i="4"/>
  <c r="P43" i="4" l="1"/>
  <c r="Q43" i="4"/>
  <c r="G43" i="4"/>
  <c r="N43" i="4"/>
  <c r="I43" i="4"/>
  <c r="O69" i="4"/>
  <c r="P69" i="4"/>
  <c r="I69" i="4"/>
  <c r="O43" i="4"/>
  <c r="F43" i="4"/>
  <c r="F69" i="4"/>
  <c r="K43" i="4"/>
  <c r="J43" i="4"/>
  <c r="L43" i="4"/>
  <c r="M43" i="4"/>
  <c r="G69" i="4"/>
  <c r="Q69" i="4"/>
  <c r="H69" i="4"/>
  <c r="J69" i="4"/>
  <c r="K69" i="4"/>
  <c r="L69" i="4"/>
  <c r="M69" i="4"/>
  <c r="N69" i="4"/>
  <c r="R6" i="8" l="1"/>
  <c r="R7" i="8"/>
  <c r="R8" i="8"/>
  <c r="R9" i="8"/>
  <c r="R10" i="8"/>
  <c r="R13" i="8"/>
  <c r="R14" i="8"/>
  <c r="R15" i="8"/>
  <c r="R16" i="8"/>
  <c r="R18" i="8"/>
  <c r="B62" i="8"/>
  <c r="B68" i="1"/>
  <c r="B66" i="1"/>
  <c r="B38" i="1"/>
  <c r="H21" i="11"/>
  <c r="K21" i="11"/>
  <c r="J21" i="11"/>
  <c r="I21" i="11"/>
  <c r="G21" i="11"/>
  <c r="F21" i="11"/>
  <c r="E21" i="11"/>
  <c r="D21" i="11"/>
  <c r="E39" i="11"/>
  <c r="I34" i="11"/>
  <c r="F39" i="11" l="1"/>
  <c r="F50" i="11" s="1"/>
  <c r="E50" i="11"/>
  <c r="B19" i="8"/>
  <c r="G39" i="11" l="1"/>
  <c r="G50" i="11"/>
  <c r="G52" i="11"/>
  <c r="H39" i="11"/>
  <c r="H52" i="11" l="1"/>
  <c r="I39" i="11"/>
  <c r="I50" i="11" l="1"/>
  <c r="I52" i="11"/>
  <c r="J39" i="11"/>
  <c r="J52" i="11" l="1"/>
  <c r="K39" i="11"/>
  <c r="H35" i="11" l="1"/>
  <c r="L35" i="11"/>
  <c r="D22" i="6"/>
  <c r="J25" i="6"/>
  <c r="H25" i="6"/>
  <c r="G25" i="6"/>
  <c r="F25" i="6"/>
  <c r="D25" i="6"/>
  <c r="E25" i="6"/>
  <c r="C25" i="6"/>
  <c r="H33" i="11"/>
  <c r="J33" i="11"/>
  <c r="K33" i="11"/>
  <c r="F34" i="11"/>
  <c r="E34" i="11"/>
  <c r="H34" i="11"/>
  <c r="J34" i="11"/>
  <c r="K34" i="11"/>
  <c r="D34" i="11"/>
  <c r="F24" i="11"/>
  <c r="E24" i="11" s="1"/>
  <c r="F22" i="11"/>
  <c r="C24" i="11"/>
  <c r="C26" i="11"/>
  <c r="C22" i="11"/>
  <c r="D33" i="11"/>
  <c r="D32" i="11"/>
  <c r="D51" i="11" s="1"/>
  <c r="D6" i="11"/>
  <c r="F6" i="11"/>
  <c r="E6" i="11"/>
  <c r="G6" i="11"/>
  <c r="H6" i="11"/>
  <c r="I6" i="11"/>
  <c r="J6" i="11"/>
  <c r="K6" i="11"/>
  <c r="D7" i="11"/>
  <c r="F7" i="11"/>
  <c r="E7" i="11"/>
  <c r="G7" i="11"/>
  <c r="H7" i="11"/>
  <c r="I7" i="11"/>
  <c r="J7" i="11"/>
  <c r="K7" i="11"/>
  <c r="C7" i="11"/>
  <c r="C6" i="11"/>
  <c r="F5" i="11"/>
  <c r="E5" i="11"/>
  <c r="G5" i="11"/>
  <c r="H5" i="11"/>
  <c r="I5" i="11"/>
  <c r="J5" i="11"/>
  <c r="K5" i="11"/>
  <c r="D5" i="11"/>
  <c r="C55" i="10"/>
  <c r="C56" i="10"/>
  <c r="C57" i="10"/>
  <c r="C54" i="10"/>
  <c r="C39" i="10"/>
  <c r="C40" i="10"/>
  <c r="C41" i="10"/>
  <c r="C46" i="10"/>
  <c r="C47" i="10"/>
  <c r="C48" i="10"/>
  <c r="C49" i="10"/>
  <c r="C6" i="10"/>
  <c r="M5" i="10"/>
  <c r="H5" i="10"/>
  <c r="G5" i="10"/>
  <c r="I5" i="10"/>
  <c r="J5" i="10"/>
  <c r="K5" i="10"/>
  <c r="L5" i="10"/>
  <c r="F5" i="10"/>
  <c r="D40" i="10"/>
  <c r="D41" i="10"/>
  <c r="D42" i="10"/>
  <c r="D45" i="10"/>
  <c r="D46" i="10"/>
  <c r="D47" i="10"/>
  <c r="D49" i="10"/>
  <c r="D39" i="10"/>
  <c r="C7" i="10"/>
  <c r="C8" i="10"/>
  <c r="C9" i="10"/>
  <c r="C12" i="10"/>
  <c r="C13" i="10"/>
  <c r="C14" i="10"/>
  <c r="C15" i="10"/>
  <c r="C16" i="10"/>
  <c r="K7" i="6"/>
  <c r="K6" i="6"/>
  <c r="L25" i="9"/>
  <c r="C28" i="6"/>
  <c r="E28" i="6"/>
  <c r="D28" i="6"/>
  <c r="F28" i="6"/>
  <c r="G28" i="6"/>
  <c r="H28" i="6"/>
  <c r="I28" i="6"/>
  <c r="J28" i="6"/>
  <c r="I25" i="6"/>
  <c r="E22" i="6"/>
  <c r="F22" i="6"/>
  <c r="G22" i="6"/>
  <c r="H22" i="6"/>
  <c r="I22" i="6"/>
  <c r="J22" i="6"/>
  <c r="C22" i="6"/>
  <c r="G19" i="6"/>
  <c r="J19" i="6"/>
  <c r="H14" i="6"/>
  <c r="H15" i="6" s="1"/>
  <c r="I14" i="6"/>
  <c r="I15" i="6" s="1"/>
  <c r="J14" i="6"/>
  <c r="C45" i="5"/>
  <c r="C23" i="10" s="1"/>
  <c r="C46" i="5"/>
  <c r="C24" i="10" s="1"/>
  <c r="C44" i="5"/>
  <c r="C22" i="10" s="1"/>
  <c r="C51" i="5"/>
  <c r="C72" i="10" s="1"/>
  <c r="D51" i="5"/>
  <c r="E72" i="10" s="1"/>
  <c r="C48" i="5"/>
  <c r="C69" i="10" s="1"/>
  <c r="D48" i="5"/>
  <c r="E69" i="10" s="1"/>
  <c r="C49" i="5"/>
  <c r="C70" i="10" s="1"/>
  <c r="D49" i="5"/>
  <c r="E70" i="10" s="1"/>
  <c r="C50" i="5"/>
  <c r="C71" i="10" s="1"/>
  <c r="D50" i="5"/>
  <c r="E71" i="10" s="1"/>
  <c r="C47" i="5"/>
  <c r="C68" i="10" s="1"/>
  <c r="D47" i="5"/>
  <c r="E68" i="10" s="1"/>
  <c r="C19" i="5"/>
  <c r="C40" i="5"/>
  <c r="B59" i="8" s="1"/>
  <c r="C41" i="5"/>
  <c r="B60" i="8" s="1"/>
  <c r="C42" i="5"/>
  <c r="B61" i="8" s="1"/>
  <c r="C38" i="5"/>
  <c r="B57" i="8" s="1"/>
  <c r="C39" i="5"/>
  <c r="B58" i="8" s="1"/>
  <c r="N43" i="3"/>
  <c r="E43" i="3"/>
  <c r="F43" i="3"/>
  <c r="H43" i="3"/>
  <c r="I43" i="3"/>
  <c r="J43" i="3"/>
  <c r="K43" i="3"/>
  <c r="L43" i="3"/>
  <c r="M43" i="3"/>
  <c r="D81" i="4"/>
  <c r="F19" i="3"/>
  <c r="I19" i="3"/>
  <c r="J19" i="3"/>
  <c r="K19" i="3"/>
  <c r="L19" i="3"/>
  <c r="M19" i="3"/>
  <c r="E19" i="3"/>
  <c r="K28" i="4"/>
  <c r="L28" i="4"/>
  <c r="M28" i="4"/>
  <c r="N28" i="4"/>
  <c r="O28" i="4"/>
  <c r="Q28" i="4"/>
  <c r="R28" i="4"/>
  <c r="G28" i="4"/>
  <c r="E5" i="12" l="1"/>
  <c r="E5" i="15"/>
  <c r="J5" i="12"/>
  <c r="J5" i="15"/>
  <c r="H5" i="12"/>
  <c r="H5" i="15"/>
  <c r="M5" i="12"/>
  <c r="M5" i="15"/>
  <c r="L5" i="12"/>
  <c r="L5" i="15"/>
  <c r="I5" i="12"/>
  <c r="I5" i="15"/>
  <c r="G5" i="12"/>
  <c r="G5" i="15"/>
  <c r="K5" i="12"/>
  <c r="K5" i="15"/>
  <c r="F21" i="9"/>
  <c r="E22" i="9"/>
  <c r="G22" i="9"/>
  <c r="F22" i="9"/>
  <c r="H22" i="9"/>
  <c r="J22" i="9"/>
  <c r="I22" i="9"/>
  <c r="D22" i="9"/>
  <c r="D21" i="9"/>
  <c r="I29" i="6"/>
  <c r="F29" i="6"/>
  <c r="G29" i="6"/>
  <c r="H29" i="6"/>
  <c r="D29" i="6"/>
  <c r="E29" i="6"/>
  <c r="K31" i="11"/>
  <c r="K44" i="11" s="1"/>
  <c r="J31" i="11"/>
  <c r="J44" i="11" s="1"/>
  <c r="I31" i="11"/>
  <c r="I44" i="11" s="1"/>
  <c r="H31" i="11"/>
  <c r="H44" i="11" s="1"/>
  <c r="G31" i="11"/>
  <c r="G44" i="11" s="1"/>
  <c r="E31" i="11"/>
  <c r="E44" i="11" s="1"/>
  <c r="E22" i="11"/>
  <c r="E52" i="11" s="1"/>
  <c r="F52" i="11"/>
  <c r="F31" i="11"/>
  <c r="F44" i="11" s="1"/>
  <c r="D31" i="11"/>
  <c r="D37" i="11" s="1"/>
  <c r="K10" i="11"/>
  <c r="K32" i="11" s="1"/>
  <c r="I40" i="11"/>
  <c r="G40" i="11"/>
  <c r="E40" i="11"/>
  <c r="F40" i="11"/>
  <c r="D40" i="11"/>
  <c r="H21" i="9"/>
  <c r="I33" i="11"/>
  <c r="D45" i="11"/>
  <c r="D13" i="9"/>
  <c r="J14" i="9"/>
  <c r="F14" i="9"/>
  <c r="E14" i="9"/>
  <c r="I14" i="9"/>
  <c r="G14" i="9"/>
  <c r="H14" i="9"/>
  <c r="D14" i="9"/>
  <c r="B17" i="12"/>
  <c r="C26" i="10"/>
  <c r="C30" i="10" s="1"/>
  <c r="C34" i="10" s="1"/>
  <c r="B19" i="12"/>
  <c r="C28" i="10"/>
  <c r="C32" i="10" s="1"/>
  <c r="C36" i="10" s="1"/>
  <c r="B18" i="12"/>
  <c r="C27" i="10"/>
  <c r="C31" i="10" s="1"/>
  <c r="C35" i="10" s="1"/>
  <c r="K13" i="9"/>
  <c r="J13" i="9"/>
  <c r="F13" i="9"/>
  <c r="E13" i="9"/>
  <c r="I13" i="9"/>
  <c r="G13" i="9"/>
  <c r="H13" i="9"/>
  <c r="C20" i="5"/>
  <c r="C33" i="5" s="1"/>
  <c r="B52" i="8" s="1"/>
  <c r="C21" i="5"/>
  <c r="C34" i="5" s="1"/>
  <c r="B53" i="8" s="1"/>
  <c r="C23" i="5"/>
  <c r="C22" i="5"/>
  <c r="B39" i="8" s="1"/>
  <c r="E21" i="9"/>
  <c r="K22" i="6"/>
  <c r="F15" i="9" s="1"/>
  <c r="C32" i="5"/>
  <c r="B51" i="8" s="1"/>
  <c r="G33" i="11"/>
  <c r="I32" i="11"/>
  <c r="J10" i="11"/>
  <c r="J40" i="11"/>
  <c r="H10" i="11"/>
  <c r="H40" i="11"/>
  <c r="F33" i="11"/>
  <c r="E33" i="11"/>
  <c r="E73" i="10"/>
  <c r="K28" i="6"/>
  <c r="E17" i="9" s="1"/>
  <c r="K25" i="6"/>
  <c r="H19" i="9" s="1"/>
  <c r="K31" i="6"/>
  <c r="K23" i="9" s="1"/>
  <c r="M69" i="10" s="1"/>
  <c r="K21" i="9"/>
  <c r="J21" i="9"/>
  <c r="I21" i="9"/>
  <c r="G21" i="9"/>
  <c r="G34" i="11"/>
  <c r="L34" i="11" s="1"/>
  <c r="F32" i="11"/>
  <c r="F51" i="11" s="1"/>
  <c r="G32" i="11"/>
  <c r="G51" i="11" s="1"/>
  <c r="D62" i="10"/>
  <c r="D60" i="10"/>
  <c r="D59" i="10"/>
  <c r="D57" i="10"/>
  <c r="D56" i="10"/>
  <c r="B36" i="8"/>
  <c r="B21" i="8"/>
  <c r="B45" i="8"/>
  <c r="B25" i="8"/>
  <c r="B48" i="8"/>
  <c r="B24" i="8"/>
  <c r="B47" i="8"/>
  <c r="B23" i="8"/>
  <c r="B46" i="8"/>
  <c r="B22" i="8"/>
  <c r="B16" i="8"/>
  <c r="B10" i="8"/>
  <c r="B15" i="8"/>
  <c r="B9" i="8"/>
  <c r="B6" i="8"/>
  <c r="B8" i="8"/>
  <c r="B7" i="8"/>
  <c r="E32" i="11" l="1"/>
  <c r="E51" i="11" s="1"/>
  <c r="D44" i="11"/>
  <c r="K37" i="11"/>
  <c r="H16" i="9"/>
  <c r="F16" i="9"/>
  <c r="I16" i="9"/>
  <c r="H70" i="10"/>
  <c r="K29" i="6"/>
  <c r="J27" i="9" s="1"/>
  <c r="I18" i="9"/>
  <c r="H18" i="9"/>
  <c r="L22" i="9"/>
  <c r="J20" i="9"/>
  <c r="G18" i="9"/>
  <c r="L31" i="11"/>
  <c r="L44" i="11" s="1"/>
  <c r="F20" i="9"/>
  <c r="D18" i="9"/>
  <c r="I20" i="9"/>
  <c r="J16" i="9"/>
  <c r="D17" i="9"/>
  <c r="K42" i="11"/>
  <c r="M6" i="12" s="1"/>
  <c r="M8" i="15" s="1"/>
  <c r="E18" i="9"/>
  <c r="H20" i="9"/>
  <c r="D20" i="9"/>
  <c r="G16" i="9"/>
  <c r="D19" i="9"/>
  <c r="J18" i="9"/>
  <c r="F18" i="9"/>
  <c r="G20" i="9"/>
  <c r="D16" i="9"/>
  <c r="E20" i="9"/>
  <c r="E16" i="9"/>
  <c r="L21" i="9"/>
  <c r="H32" i="11"/>
  <c r="H50" i="11"/>
  <c r="J32" i="11"/>
  <c r="J37" i="11" s="1"/>
  <c r="J50" i="11"/>
  <c r="C25" i="12"/>
  <c r="P73" i="10"/>
  <c r="I45" i="11"/>
  <c r="I46" i="11" s="1"/>
  <c r="I47" i="11" s="1"/>
  <c r="I51" i="11"/>
  <c r="G23" i="9"/>
  <c r="E23" i="9"/>
  <c r="K45" i="11"/>
  <c r="K46" i="11" s="1"/>
  <c r="K47" i="11" s="1"/>
  <c r="D42" i="11"/>
  <c r="E6" i="12" s="1"/>
  <c r="E8" i="15" s="1"/>
  <c r="E15" i="9"/>
  <c r="H23" i="9"/>
  <c r="G15" i="9"/>
  <c r="G27" i="9"/>
  <c r="K15" i="9"/>
  <c r="M70" i="10" s="1"/>
  <c r="G45" i="11"/>
  <c r="G46" i="11" s="1"/>
  <c r="G47" i="11" s="1"/>
  <c r="E45" i="11"/>
  <c r="F37" i="11"/>
  <c r="F45" i="11"/>
  <c r="D46" i="11"/>
  <c r="D47" i="11" s="1"/>
  <c r="L13" i="9"/>
  <c r="H37" i="11"/>
  <c r="H45" i="11"/>
  <c r="L14" i="9"/>
  <c r="D15" i="9"/>
  <c r="H15" i="9"/>
  <c r="J70" i="10" s="1"/>
  <c r="I15" i="9"/>
  <c r="K70" i="10" s="1"/>
  <c r="J17" i="9"/>
  <c r="I17" i="9"/>
  <c r="G17" i="9"/>
  <c r="J15" i="9"/>
  <c r="B37" i="8"/>
  <c r="C36" i="5"/>
  <c r="B55" i="8" s="1"/>
  <c r="B40" i="8"/>
  <c r="C35" i="5"/>
  <c r="B54" i="8" s="1"/>
  <c r="B38" i="8"/>
  <c r="L40" i="11"/>
  <c r="H17" i="9"/>
  <c r="F23" i="9"/>
  <c r="I24" i="9"/>
  <c r="H24" i="9"/>
  <c r="J68" i="10" s="1"/>
  <c r="J24" i="9"/>
  <c r="L69" i="10" s="1"/>
  <c r="K17" i="9"/>
  <c r="G24" i="9"/>
  <c r="I69" i="10" s="1"/>
  <c r="D23" i="9"/>
  <c r="D24" i="9"/>
  <c r="F68" i="10" s="1"/>
  <c r="E24" i="9"/>
  <c r="F24" i="9"/>
  <c r="H68" i="10" s="1"/>
  <c r="E37" i="11"/>
  <c r="E42" i="11" s="1"/>
  <c r="G37" i="11"/>
  <c r="I37" i="11"/>
  <c r="K19" i="9"/>
  <c r="F19" i="9"/>
  <c r="E19" i="9"/>
  <c r="G19" i="9"/>
  <c r="I19" i="9"/>
  <c r="I23" i="9"/>
  <c r="J23" i="9"/>
  <c r="F17" i="9"/>
  <c r="J19" i="9"/>
  <c r="L33" i="11"/>
  <c r="M68" i="10"/>
  <c r="G69" i="10" l="1"/>
  <c r="L32" i="11"/>
  <c r="L37" i="11" s="1"/>
  <c r="H27" i="9"/>
  <c r="F27" i="9"/>
  <c r="G70" i="10"/>
  <c r="E27" i="9"/>
  <c r="F70" i="10"/>
  <c r="I70" i="10"/>
  <c r="I27" i="9"/>
  <c r="L20" i="9"/>
  <c r="L18" i="9"/>
  <c r="L16" i="9"/>
  <c r="J42" i="11"/>
  <c r="L6" i="12" s="1"/>
  <c r="L8" i="15" s="1"/>
  <c r="H42" i="11"/>
  <c r="J6" i="12" s="1"/>
  <c r="J8" i="15" s="1"/>
  <c r="F42" i="11"/>
  <c r="H6" i="12" s="1"/>
  <c r="H8" i="15" s="1"/>
  <c r="J51" i="11"/>
  <c r="G42" i="11"/>
  <c r="I6" i="12" s="1"/>
  <c r="I8" i="15" s="1"/>
  <c r="L70" i="10"/>
  <c r="L17" i="9"/>
  <c r="L19" i="9"/>
  <c r="H51" i="11"/>
  <c r="J45" i="11"/>
  <c r="J46" i="11" s="1"/>
  <c r="J47" i="11" s="1"/>
  <c r="K48" i="11"/>
  <c r="L45" i="11"/>
  <c r="L46" i="11" s="1"/>
  <c r="G48" i="11"/>
  <c r="I48" i="11"/>
  <c r="F46" i="11"/>
  <c r="F47" i="11" s="1"/>
  <c r="D48" i="11"/>
  <c r="E46" i="11"/>
  <c r="E47" i="11" s="1"/>
  <c r="H46" i="11"/>
  <c r="H47" i="11" s="1"/>
  <c r="L15" i="9"/>
  <c r="J69" i="10"/>
  <c r="G68" i="10"/>
  <c r="L68" i="10"/>
  <c r="I68" i="10"/>
  <c r="H69" i="10"/>
  <c r="F69" i="10"/>
  <c r="L24" i="9"/>
  <c r="L23" i="9"/>
  <c r="I42" i="11"/>
  <c r="K69" i="10"/>
  <c r="K68" i="10"/>
  <c r="G6" i="12" l="1"/>
  <c r="G8" i="15" s="1"/>
  <c r="F30" i="9"/>
  <c r="I31" i="9"/>
  <c r="L27" i="9"/>
  <c r="D31" i="9"/>
  <c r="F72" i="10" s="1"/>
  <c r="D30" i="9"/>
  <c r="K30" i="9"/>
  <c r="F31" i="9"/>
  <c r="I30" i="9"/>
  <c r="H30" i="9"/>
  <c r="H31" i="9"/>
  <c r="E30" i="9"/>
  <c r="J30" i="9"/>
  <c r="E31" i="9"/>
  <c r="J31" i="9"/>
  <c r="G30" i="9"/>
  <c r="G31" i="9"/>
  <c r="E48" i="11"/>
  <c r="F48" i="11"/>
  <c r="H48" i="11"/>
  <c r="J48" i="11"/>
  <c r="L47" i="11"/>
  <c r="L42" i="11"/>
  <c r="K6" i="12"/>
  <c r="K8" i="15" s="1"/>
  <c r="K72" i="10"/>
  <c r="F6" i="12" l="1"/>
  <c r="L30" i="9"/>
  <c r="H72" i="10"/>
  <c r="J72" i="10"/>
  <c r="I72" i="10"/>
  <c r="G72" i="10"/>
  <c r="L48" i="11"/>
  <c r="M72" i="10"/>
  <c r="L31" i="9"/>
  <c r="L72" i="10"/>
  <c r="F8" i="15" l="1"/>
  <c r="C6" i="12"/>
  <c r="D8" i="15"/>
  <c r="C8" i="15"/>
  <c r="S10" i="4" l="1"/>
  <c r="S11" i="4"/>
  <c r="S12" i="4"/>
  <c r="S13" i="4"/>
  <c r="S14" i="4"/>
  <c r="S15" i="4"/>
  <c r="S16" i="4"/>
  <c r="S17" i="4"/>
  <c r="S19" i="4"/>
  <c r="S20" i="4"/>
  <c r="S22" i="4"/>
  <c r="S23" i="4"/>
  <c r="S24" i="4"/>
  <c r="S25" i="4"/>
  <c r="S26" i="4"/>
  <c r="S27" i="4"/>
  <c r="S9" i="4"/>
  <c r="S21" i="4"/>
  <c r="C26" i="4"/>
  <c r="D26" i="4"/>
  <c r="D51" i="4" s="1"/>
  <c r="D77" i="4" s="1"/>
  <c r="C27" i="4"/>
  <c r="D27" i="4"/>
  <c r="D52" i="4" s="1"/>
  <c r="D78" i="4" s="1"/>
  <c r="C28" i="4"/>
  <c r="D28" i="4"/>
  <c r="D53" i="4" s="1"/>
  <c r="D79" i="4" s="1"/>
  <c r="C10" i="4"/>
  <c r="D10" i="4"/>
  <c r="D35" i="4" s="1"/>
  <c r="D61" i="4" s="1"/>
  <c r="C11" i="4"/>
  <c r="D11" i="4"/>
  <c r="D36" i="4" s="1"/>
  <c r="D62" i="4" s="1"/>
  <c r="C12" i="4"/>
  <c r="D12" i="4"/>
  <c r="D37" i="4" s="1"/>
  <c r="D63" i="4" s="1"/>
  <c r="C13" i="4"/>
  <c r="D13" i="4"/>
  <c r="D38" i="4" s="1"/>
  <c r="D64" i="4" s="1"/>
  <c r="C14" i="4"/>
  <c r="D14" i="4"/>
  <c r="D39" i="4" s="1"/>
  <c r="D65" i="4" s="1"/>
  <c r="C15" i="4"/>
  <c r="D15" i="4"/>
  <c r="D40" i="4" s="1"/>
  <c r="D66" i="4" s="1"/>
  <c r="C16" i="4"/>
  <c r="D16" i="4"/>
  <c r="D41" i="4" s="1"/>
  <c r="D67" i="4" s="1"/>
  <c r="C17" i="4"/>
  <c r="D17" i="4"/>
  <c r="D42" i="4" s="1"/>
  <c r="D68" i="4" s="1"/>
  <c r="C19" i="4"/>
  <c r="D19" i="4"/>
  <c r="D44" i="4" s="1"/>
  <c r="D70" i="4" s="1"/>
  <c r="C20" i="4"/>
  <c r="D20" i="4"/>
  <c r="D45" i="4" s="1"/>
  <c r="D71" i="4" s="1"/>
  <c r="C21" i="4"/>
  <c r="D21" i="4"/>
  <c r="D46" i="4" s="1"/>
  <c r="D72" i="4" s="1"/>
  <c r="C22" i="4"/>
  <c r="D22" i="4"/>
  <c r="D47" i="4" s="1"/>
  <c r="D73" i="4" s="1"/>
  <c r="C23" i="4"/>
  <c r="D23" i="4"/>
  <c r="D48" i="4" s="1"/>
  <c r="D74" i="4" s="1"/>
  <c r="C24" i="4"/>
  <c r="D24" i="4"/>
  <c r="D49" i="4" s="1"/>
  <c r="D75" i="4" s="1"/>
  <c r="C25" i="4"/>
  <c r="D25" i="4"/>
  <c r="D50" i="4" s="1"/>
  <c r="D76" i="4" s="1"/>
  <c r="D9" i="4"/>
  <c r="D34" i="4" s="1"/>
  <c r="D60" i="4" s="1"/>
  <c r="C9" i="4"/>
  <c r="M21" i="3"/>
  <c r="Q21" i="3" s="1"/>
  <c r="Q38" i="3"/>
  <c r="C29" i="3"/>
  <c r="C63" i="3" s="1"/>
  <c r="B38" i="3"/>
  <c r="B72" i="3" s="1"/>
  <c r="D45" i="5"/>
  <c r="Q11" i="3"/>
  <c r="Q12" i="3"/>
  <c r="Q13" i="3"/>
  <c r="Q16" i="3"/>
  <c r="Q17" i="3"/>
  <c r="Q18" i="3"/>
  <c r="Q19" i="3"/>
  <c r="Q20" i="3"/>
  <c r="Q22" i="3"/>
  <c r="Q24" i="3"/>
  <c r="Q25" i="3"/>
  <c r="Q26" i="3"/>
  <c r="Q27" i="3"/>
  <c r="Q10" i="3"/>
  <c r="U13" i="3"/>
  <c r="C11" i="3"/>
  <c r="C45" i="3" s="1"/>
  <c r="C12" i="3"/>
  <c r="C46" i="3" s="1"/>
  <c r="C13" i="3"/>
  <c r="C47" i="3" s="1"/>
  <c r="C14" i="3"/>
  <c r="C48" i="3" s="1"/>
  <c r="C15" i="3"/>
  <c r="C16" i="3"/>
  <c r="C50" i="3" s="1"/>
  <c r="C17" i="3"/>
  <c r="C51" i="3" s="1"/>
  <c r="C18" i="3"/>
  <c r="C52" i="3" s="1"/>
  <c r="C19" i="3"/>
  <c r="C53" i="3" s="1"/>
  <c r="C20" i="3"/>
  <c r="C54" i="3" s="1"/>
  <c r="C21" i="3"/>
  <c r="C55" i="3" s="1"/>
  <c r="C22" i="3"/>
  <c r="C56" i="3" s="1"/>
  <c r="C23" i="3"/>
  <c r="C24" i="3"/>
  <c r="C58" i="3" s="1"/>
  <c r="C25" i="3"/>
  <c r="C59" i="3" s="1"/>
  <c r="C26" i="3"/>
  <c r="C60" i="3" s="1"/>
  <c r="C27" i="3"/>
  <c r="C61" i="3" s="1"/>
  <c r="C28" i="3"/>
  <c r="C62" i="3" s="1"/>
  <c r="C30" i="3"/>
  <c r="C64" i="3" s="1"/>
  <c r="C31" i="3"/>
  <c r="C65" i="3" s="1"/>
  <c r="C32" i="3"/>
  <c r="C66" i="3" s="1"/>
  <c r="C33" i="3"/>
  <c r="C67" i="3" s="1"/>
  <c r="C34" i="3"/>
  <c r="C68" i="3" s="1"/>
  <c r="C35" i="3"/>
  <c r="C69" i="3" s="1"/>
  <c r="C36" i="3"/>
  <c r="C70" i="3" s="1"/>
  <c r="C37" i="3"/>
  <c r="C71" i="3" s="1"/>
  <c r="C10" i="3"/>
  <c r="C44" i="3" s="1"/>
  <c r="B35" i="3"/>
  <c r="B69" i="3" s="1"/>
  <c r="B36" i="3"/>
  <c r="B70" i="3" s="1"/>
  <c r="B37" i="3"/>
  <c r="B71" i="3" s="1"/>
  <c r="B32" i="3"/>
  <c r="B66" i="3" s="1"/>
  <c r="B33" i="3"/>
  <c r="B67" i="3" s="1"/>
  <c r="B34" i="3"/>
  <c r="B68" i="3" s="1"/>
  <c r="B28" i="3"/>
  <c r="B62" i="3" s="1"/>
  <c r="B29" i="3"/>
  <c r="B63" i="3" s="1"/>
  <c r="B30" i="3"/>
  <c r="B64" i="3" s="1"/>
  <c r="B31" i="3"/>
  <c r="B65" i="3" s="1"/>
  <c r="B10" i="3"/>
  <c r="B44" i="3" s="1"/>
  <c r="B11" i="3"/>
  <c r="B45" i="3" s="1"/>
  <c r="B12" i="3"/>
  <c r="B46" i="3" s="1"/>
  <c r="B13" i="3"/>
  <c r="B47" i="3" s="1"/>
  <c r="B14" i="3"/>
  <c r="B48" i="3" s="1"/>
  <c r="B15" i="3"/>
  <c r="B49" i="3" s="1"/>
  <c r="B16" i="3"/>
  <c r="B50" i="3" s="1"/>
  <c r="B17" i="3"/>
  <c r="B51" i="3" s="1"/>
  <c r="B18" i="3"/>
  <c r="B52" i="3" s="1"/>
  <c r="B19" i="3"/>
  <c r="B53" i="3" s="1"/>
  <c r="B20" i="3"/>
  <c r="B54" i="3" s="1"/>
  <c r="B21" i="3"/>
  <c r="B55" i="3" s="1"/>
  <c r="B22" i="3"/>
  <c r="B56" i="3" s="1"/>
  <c r="B23" i="3"/>
  <c r="B57" i="3" s="1"/>
  <c r="B24" i="3"/>
  <c r="B58" i="3" s="1"/>
  <c r="B25" i="3"/>
  <c r="B59" i="3" s="1"/>
  <c r="B26" i="3"/>
  <c r="B60" i="3" s="1"/>
  <c r="B27" i="3"/>
  <c r="B61" i="3" s="1"/>
  <c r="E32" i="2"/>
  <c r="K7" i="2"/>
  <c r="E61" i="4" s="1"/>
  <c r="J9" i="2"/>
  <c r="J10" i="2"/>
  <c r="J11" i="2"/>
  <c r="K12" i="2"/>
  <c r="E62" i="4" s="1"/>
  <c r="K13" i="2"/>
  <c r="E63" i="4" s="1"/>
  <c r="K14" i="2"/>
  <c r="E64" i="4" s="1"/>
  <c r="K16" i="2"/>
  <c r="E66" i="4" s="1"/>
  <c r="K18" i="2"/>
  <c r="E68" i="4" s="1"/>
  <c r="K20" i="2"/>
  <c r="E70" i="4" s="1"/>
  <c r="K21" i="2"/>
  <c r="E71" i="4" s="1"/>
  <c r="K22" i="2"/>
  <c r="E72" i="4" s="1"/>
  <c r="K23" i="2"/>
  <c r="E73" i="4" s="1"/>
  <c r="K25" i="2"/>
  <c r="E75" i="4" s="1"/>
  <c r="K26" i="2"/>
  <c r="E76" i="4" s="1"/>
  <c r="K27" i="2"/>
  <c r="E77" i="4" s="1"/>
  <c r="K28" i="2"/>
  <c r="E78" i="4" s="1"/>
  <c r="K29" i="2"/>
  <c r="K6" i="2"/>
  <c r="D46" i="5"/>
  <c r="D44" i="5"/>
  <c r="I32" i="2"/>
  <c r="B37" i="1"/>
  <c r="D7" i="2"/>
  <c r="D8" i="2"/>
  <c r="D9" i="2"/>
  <c r="F9" i="2" s="1"/>
  <c r="D10" i="2"/>
  <c r="F10" i="2" s="1"/>
  <c r="D11" i="2"/>
  <c r="D12" i="2"/>
  <c r="D13" i="2"/>
  <c r="D14" i="2"/>
  <c r="D15" i="2"/>
  <c r="D16" i="2"/>
  <c r="D17" i="2"/>
  <c r="D18" i="2"/>
  <c r="D20" i="2"/>
  <c r="D21" i="2"/>
  <c r="D22" i="2"/>
  <c r="D23" i="2"/>
  <c r="D24" i="2"/>
  <c r="D25" i="2"/>
  <c r="D26" i="2"/>
  <c r="F26" i="2" s="1"/>
  <c r="H26" i="2" s="1"/>
  <c r="D27" i="2"/>
  <c r="F27" i="2" s="1"/>
  <c r="H27" i="2" s="1"/>
  <c r="D28" i="2"/>
  <c r="D29" i="2"/>
  <c r="F29" i="2" s="1"/>
  <c r="Q70" i="4" l="1"/>
  <c r="D26" i="5" s="1"/>
  <c r="C43" i="8" s="1"/>
  <c r="I43" i="8" s="1"/>
  <c r="I70" i="4"/>
  <c r="Q66" i="4"/>
  <c r="I66" i="4"/>
  <c r="Q63" i="4"/>
  <c r="I63" i="4"/>
  <c r="Q64" i="4"/>
  <c r="I64" i="4"/>
  <c r="C57" i="3"/>
  <c r="G57" i="3" s="1"/>
  <c r="N23" i="3"/>
  <c r="Q68" i="4"/>
  <c r="I68" i="4"/>
  <c r="Q62" i="4"/>
  <c r="I62" i="4"/>
  <c r="K17" i="2"/>
  <c r="E67" i="4" s="1"/>
  <c r="J67" i="4" s="1"/>
  <c r="Q77" i="4"/>
  <c r="I77" i="4"/>
  <c r="Q78" i="4"/>
  <c r="I78" i="4"/>
  <c r="Q76" i="4"/>
  <c r="I76" i="4"/>
  <c r="Q73" i="4"/>
  <c r="I73" i="4"/>
  <c r="Q72" i="4"/>
  <c r="D25" i="5" s="1"/>
  <c r="C42" i="8" s="1"/>
  <c r="I42" i="8" s="1"/>
  <c r="I72" i="4"/>
  <c r="Q61" i="4"/>
  <c r="I61" i="4"/>
  <c r="Q75" i="4"/>
  <c r="I75" i="4"/>
  <c r="Q71" i="4"/>
  <c r="I71" i="4"/>
  <c r="L43" i="8"/>
  <c r="M43" i="8"/>
  <c r="N43" i="8"/>
  <c r="P43" i="8"/>
  <c r="D43" i="8"/>
  <c r="Q43" i="8"/>
  <c r="E43" i="8"/>
  <c r="O43" i="8"/>
  <c r="F43" i="8"/>
  <c r="J43" i="8"/>
  <c r="G43" i="8"/>
  <c r="H43" i="8"/>
  <c r="K43" i="8"/>
  <c r="O67" i="3"/>
  <c r="G67" i="3"/>
  <c r="F67" i="3"/>
  <c r="O50" i="3"/>
  <c r="F50" i="3"/>
  <c r="G50" i="3"/>
  <c r="O63" i="3"/>
  <c r="G63" i="3"/>
  <c r="F63" i="3"/>
  <c r="O69" i="3"/>
  <c r="F69" i="3"/>
  <c r="G69" i="3"/>
  <c r="O65" i="3"/>
  <c r="F65" i="3"/>
  <c r="G65" i="3"/>
  <c r="O48" i="3"/>
  <c r="G48" i="3"/>
  <c r="O64" i="3"/>
  <c r="G64" i="3"/>
  <c r="O47" i="3"/>
  <c r="G47" i="3"/>
  <c r="F47" i="3"/>
  <c r="O45" i="3"/>
  <c r="G45" i="3"/>
  <c r="F45" i="3"/>
  <c r="O52" i="3"/>
  <c r="F52" i="3"/>
  <c r="G52" i="3"/>
  <c r="O62" i="3"/>
  <c r="G62" i="3"/>
  <c r="F62" i="3"/>
  <c r="O60" i="3"/>
  <c r="G60" i="3"/>
  <c r="F60" i="3"/>
  <c r="O61" i="3"/>
  <c r="F61" i="3"/>
  <c r="G61" i="3"/>
  <c r="O66" i="3"/>
  <c r="F66" i="3"/>
  <c r="G66" i="3"/>
  <c r="O46" i="3"/>
  <c r="G46" i="3"/>
  <c r="F46" i="3"/>
  <c r="O58" i="3"/>
  <c r="F58" i="3"/>
  <c r="G58" i="3"/>
  <c r="O68" i="3"/>
  <c r="F68" i="3"/>
  <c r="G68" i="3"/>
  <c r="O51" i="3"/>
  <c r="F51" i="3"/>
  <c r="G51" i="3"/>
  <c r="O56" i="3"/>
  <c r="F56" i="3"/>
  <c r="G56" i="3"/>
  <c r="O44" i="3"/>
  <c r="F44" i="3"/>
  <c r="G44" i="3"/>
  <c r="O55" i="3"/>
  <c r="F55" i="3"/>
  <c r="G55" i="3"/>
  <c r="O71" i="3"/>
  <c r="F71" i="3"/>
  <c r="G71" i="3"/>
  <c r="O54" i="3"/>
  <c r="F54" i="3"/>
  <c r="G54" i="3"/>
  <c r="O59" i="3"/>
  <c r="F59" i="3"/>
  <c r="G59" i="3"/>
  <c r="O70" i="3"/>
  <c r="F70" i="3"/>
  <c r="G70" i="3"/>
  <c r="O53" i="3"/>
  <c r="F53" i="3"/>
  <c r="G53" i="3"/>
  <c r="E51" i="4"/>
  <c r="F51" i="4" s="1"/>
  <c r="E50" i="4"/>
  <c r="F50" i="4" s="1"/>
  <c r="E60" i="4"/>
  <c r="F60" i="4" s="1"/>
  <c r="T24" i="10"/>
  <c r="U26" i="10"/>
  <c r="C38" i="3"/>
  <c r="C72" i="3" s="1"/>
  <c r="E72" i="3" s="1"/>
  <c r="F13" i="2"/>
  <c r="H13" i="2" s="1"/>
  <c r="H29" i="2"/>
  <c r="F12" i="2"/>
  <c r="H12" i="2" s="1"/>
  <c r="F28" i="2"/>
  <c r="H28" i="2" s="1"/>
  <c r="K8" i="2"/>
  <c r="K9" i="2"/>
  <c r="K15" i="2"/>
  <c r="E65" i="4" s="1"/>
  <c r="I65" i="4" s="1"/>
  <c r="J24" i="2"/>
  <c r="K24" i="2" s="1"/>
  <c r="K11" i="2"/>
  <c r="E79" i="4"/>
  <c r="I79" i="4" s="1"/>
  <c r="K10" i="2"/>
  <c r="F25" i="2"/>
  <c r="H25" i="2" s="1"/>
  <c r="F21" i="2"/>
  <c r="H21" i="2" s="1"/>
  <c r="F24" i="2"/>
  <c r="F7" i="2"/>
  <c r="H7" i="2" s="1"/>
  <c r="F20" i="2"/>
  <c r="H20" i="2" s="1"/>
  <c r="E30" i="2"/>
  <c r="E33" i="2" s="1"/>
  <c r="F23" i="2"/>
  <c r="H23" i="2" s="1"/>
  <c r="F22" i="2"/>
  <c r="H22" i="2" s="1"/>
  <c r="F15" i="2"/>
  <c r="F14" i="2"/>
  <c r="H14" i="2" s="1"/>
  <c r="G9" i="1"/>
  <c r="F18" i="2"/>
  <c r="H18" i="2" s="1"/>
  <c r="F17" i="2"/>
  <c r="F16" i="2"/>
  <c r="F11" i="2"/>
  <c r="G11" i="2" s="1"/>
  <c r="G24" i="2" s="1"/>
  <c r="F8" i="2"/>
  <c r="G8" i="2" s="1"/>
  <c r="H63" i="3"/>
  <c r="I63" i="3"/>
  <c r="J63" i="3"/>
  <c r="K63" i="3"/>
  <c r="D63" i="3"/>
  <c r="E63" i="3"/>
  <c r="L63" i="3"/>
  <c r="M63" i="3"/>
  <c r="N63" i="3"/>
  <c r="D62" i="3"/>
  <c r="E62" i="3"/>
  <c r="L62" i="3"/>
  <c r="M62" i="3"/>
  <c r="N62" i="3"/>
  <c r="H62" i="3"/>
  <c r="I62" i="3"/>
  <c r="J62" i="3"/>
  <c r="K62" i="3"/>
  <c r="L46" i="3"/>
  <c r="M46" i="3"/>
  <c r="N46" i="3"/>
  <c r="D46" i="3"/>
  <c r="E46" i="3"/>
  <c r="H46" i="3"/>
  <c r="I46" i="3"/>
  <c r="J46" i="3"/>
  <c r="K46" i="3"/>
  <c r="L60" i="3"/>
  <c r="M60" i="3"/>
  <c r="N60" i="3"/>
  <c r="D60" i="3"/>
  <c r="E60" i="3"/>
  <c r="H60" i="3"/>
  <c r="I60" i="3"/>
  <c r="J60" i="3"/>
  <c r="K60" i="3"/>
  <c r="H59" i="3"/>
  <c r="I59" i="3"/>
  <c r="J59" i="3"/>
  <c r="K59" i="3"/>
  <c r="D59" i="3"/>
  <c r="E59" i="3"/>
  <c r="L59" i="3"/>
  <c r="M59" i="3"/>
  <c r="N59" i="3"/>
  <c r="D44" i="3"/>
  <c r="E44" i="3"/>
  <c r="M44" i="3"/>
  <c r="H44" i="3"/>
  <c r="I44" i="3"/>
  <c r="J44" i="3"/>
  <c r="K44" i="3"/>
  <c r="L44" i="3"/>
  <c r="N44" i="3"/>
  <c r="H55" i="3"/>
  <c r="I55" i="3"/>
  <c r="J55" i="3"/>
  <c r="K55" i="3"/>
  <c r="L55" i="3"/>
  <c r="M55" i="3"/>
  <c r="N55" i="3"/>
  <c r="D55" i="3"/>
  <c r="E55" i="3"/>
  <c r="D65" i="3"/>
  <c r="E65" i="3"/>
  <c r="H65" i="3"/>
  <c r="I65" i="3"/>
  <c r="J65" i="3"/>
  <c r="K65" i="3"/>
  <c r="L65" i="3"/>
  <c r="M65" i="3"/>
  <c r="N65" i="3"/>
  <c r="L64" i="3"/>
  <c r="N64" i="3"/>
  <c r="I64" i="3"/>
  <c r="K64" i="3"/>
  <c r="E64" i="3"/>
  <c r="D61" i="3"/>
  <c r="E61" i="3"/>
  <c r="H61" i="3"/>
  <c r="I61" i="3"/>
  <c r="J61" i="3"/>
  <c r="K61" i="3"/>
  <c r="L61" i="3"/>
  <c r="M61" i="3"/>
  <c r="N61" i="3"/>
  <c r="H45" i="3"/>
  <c r="I45" i="3"/>
  <c r="J45" i="3"/>
  <c r="K45" i="3"/>
  <c r="L45" i="3"/>
  <c r="M45" i="3"/>
  <c r="N45" i="3"/>
  <c r="D45" i="3"/>
  <c r="E45" i="3"/>
  <c r="D58" i="3"/>
  <c r="E58" i="3"/>
  <c r="H58" i="3"/>
  <c r="I58" i="3"/>
  <c r="J58" i="3"/>
  <c r="K58" i="3"/>
  <c r="L58" i="3"/>
  <c r="M58" i="3"/>
  <c r="N58" i="3"/>
  <c r="L56" i="3"/>
  <c r="M56" i="3"/>
  <c r="N56" i="3"/>
  <c r="D56" i="3"/>
  <c r="E56" i="3"/>
  <c r="H56" i="3"/>
  <c r="I56" i="3"/>
  <c r="J56" i="3"/>
  <c r="K56" i="3"/>
  <c r="H71" i="3"/>
  <c r="I71" i="3"/>
  <c r="J71" i="3"/>
  <c r="K71" i="3"/>
  <c r="L71" i="3"/>
  <c r="M71" i="3"/>
  <c r="N71" i="3"/>
  <c r="D71" i="3"/>
  <c r="E71" i="3"/>
  <c r="D54" i="3"/>
  <c r="E54" i="3"/>
  <c r="H54" i="3"/>
  <c r="I54" i="3"/>
  <c r="J54" i="3"/>
  <c r="K54" i="3"/>
  <c r="L54" i="3"/>
  <c r="M54" i="3"/>
  <c r="N54" i="3"/>
  <c r="E48" i="3"/>
  <c r="I48" i="3"/>
  <c r="K48" i="3"/>
  <c r="L48" i="3"/>
  <c r="N48" i="3"/>
  <c r="K47" i="3"/>
  <c r="I47" i="3"/>
  <c r="J47" i="3"/>
  <c r="L47" i="3"/>
  <c r="M47" i="3"/>
  <c r="N47" i="3"/>
  <c r="D47" i="3"/>
  <c r="E47" i="3"/>
  <c r="H47" i="3"/>
  <c r="D70" i="3"/>
  <c r="E70" i="3"/>
  <c r="H70" i="3"/>
  <c r="I70" i="3"/>
  <c r="J70" i="3"/>
  <c r="K70" i="3"/>
  <c r="L70" i="3"/>
  <c r="M70" i="3"/>
  <c r="N70" i="3"/>
  <c r="D53" i="3"/>
  <c r="N53" i="3"/>
  <c r="K53" i="3"/>
  <c r="J53" i="3"/>
  <c r="I53" i="3"/>
  <c r="H53" i="3"/>
  <c r="E53" i="3"/>
  <c r="M53" i="3"/>
  <c r="L53" i="3"/>
  <c r="L69" i="3"/>
  <c r="M69" i="3"/>
  <c r="N69" i="3"/>
  <c r="D69" i="3"/>
  <c r="H69" i="3"/>
  <c r="I69" i="3"/>
  <c r="J69" i="3"/>
  <c r="K69" i="3"/>
  <c r="E69" i="3"/>
  <c r="D52" i="3"/>
  <c r="E52" i="3"/>
  <c r="H52" i="3"/>
  <c r="I52" i="3"/>
  <c r="J52" i="3"/>
  <c r="K52" i="3"/>
  <c r="L52" i="3"/>
  <c r="M52" i="3"/>
  <c r="N52" i="3"/>
  <c r="L68" i="3"/>
  <c r="M68" i="3"/>
  <c r="N68" i="3"/>
  <c r="D68" i="3"/>
  <c r="E68" i="3"/>
  <c r="H68" i="3"/>
  <c r="I68" i="3"/>
  <c r="J68" i="3"/>
  <c r="K68" i="3"/>
  <c r="H51" i="3"/>
  <c r="I51" i="3"/>
  <c r="J51" i="3"/>
  <c r="K51" i="3"/>
  <c r="L51" i="3"/>
  <c r="M51" i="3"/>
  <c r="N51" i="3"/>
  <c r="D51" i="3"/>
  <c r="E51" i="3"/>
  <c r="H67" i="3"/>
  <c r="I67" i="3"/>
  <c r="J67" i="3"/>
  <c r="K67" i="3"/>
  <c r="D67" i="3"/>
  <c r="E67" i="3"/>
  <c r="L67" i="3"/>
  <c r="M67" i="3"/>
  <c r="N67" i="3"/>
  <c r="L50" i="3"/>
  <c r="M50" i="3"/>
  <c r="N50" i="3"/>
  <c r="D50" i="3"/>
  <c r="E50" i="3"/>
  <c r="H50" i="3"/>
  <c r="I50" i="3"/>
  <c r="J50" i="3"/>
  <c r="K50" i="3"/>
  <c r="D66" i="3"/>
  <c r="E66" i="3"/>
  <c r="H66" i="3"/>
  <c r="I66" i="3"/>
  <c r="J66" i="3"/>
  <c r="K66" i="3"/>
  <c r="L66" i="3"/>
  <c r="M66" i="3"/>
  <c r="N66" i="3"/>
  <c r="U19" i="3"/>
  <c r="I15" i="3" s="1"/>
  <c r="C49" i="3"/>
  <c r="K64" i="4"/>
  <c r="F64" i="4"/>
  <c r="N64" i="4"/>
  <c r="O64" i="4"/>
  <c r="L64" i="4"/>
  <c r="M64" i="4"/>
  <c r="P64" i="4"/>
  <c r="G64" i="4"/>
  <c r="H64" i="4"/>
  <c r="J64" i="4"/>
  <c r="L72" i="4"/>
  <c r="O72" i="4"/>
  <c r="P72" i="4"/>
  <c r="M72" i="4"/>
  <c r="N72" i="4"/>
  <c r="F72" i="4"/>
  <c r="G72" i="4"/>
  <c r="H72" i="4"/>
  <c r="J72" i="4"/>
  <c r="K72" i="4"/>
  <c r="M62" i="4"/>
  <c r="P62" i="4"/>
  <c r="N62" i="4"/>
  <c r="O62" i="4"/>
  <c r="F62" i="4"/>
  <c r="G62" i="4"/>
  <c r="H62" i="4"/>
  <c r="K62" i="4"/>
  <c r="L62" i="4"/>
  <c r="J62" i="4"/>
  <c r="H78" i="4"/>
  <c r="G78" i="4"/>
  <c r="J78" i="4"/>
  <c r="K78" i="4"/>
  <c r="M78" i="4"/>
  <c r="N78" i="4"/>
  <c r="O78" i="4"/>
  <c r="L78" i="4"/>
  <c r="F78" i="4"/>
  <c r="P78" i="4"/>
  <c r="N70" i="4"/>
  <c r="O70" i="4"/>
  <c r="P70" i="4"/>
  <c r="F70" i="4"/>
  <c r="J70" i="4"/>
  <c r="M70" i="4"/>
  <c r="G70" i="4"/>
  <c r="K70" i="4"/>
  <c r="H70" i="4"/>
  <c r="L70" i="4"/>
  <c r="H61" i="4"/>
  <c r="J61" i="4"/>
  <c r="P61" i="4"/>
  <c r="G61" i="4"/>
  <c r="K61" i="4"/>
  <c r="N61" i="4"/>
  <c r="L61" i="4"/>
  <c r="M61" i="4"/>
  <c r="O61" i="4"/>
  <c r="F61" i="4"/>
  <c r="G63" i="4"/>
  <c r="H63" i="4"/>
  <c r="K63" i="4"/>
  <c r="L63" i="4"/>
  <c r="M63" i="4"/>
  <c r="J63" i="4"/>
  <c r="F63" i="4"/>
  <c r="N63" i="4"/>
  <c r="O63" i="4"/>
  <c r="P63" i="4"/>
  <c r="O77" i="4"/>
  <c r="P77" i="4"/>
  <c r="G77" i="4"/>
  <c r="H77" i="4"/>
  <c r="J77" i="4"/>
  <c r="K77" i="4"/>
  <c r="F77" i="4"/>
  <c r="M77" i="4"/>
  <c r="N77" i="4"/>
  <c r="L77" i="4"/>
  <c r="K68" i="4"/>
  <c r="G68" i="4"/>
  <c r="H68" i="4"/>
  <c r="J68" i="4"/>
  <c r="F68" i="4"/>
  <c r="L68" i="4"/>
  <c r="N68" i="4"/>
  <c r="M68" i="4"/>
  <c r="O68" i="4"/>
  <c r="P68" i="4"/>
  <c r="G73" i="4"/>
  <c r="J73" i="4"/>
  <c r="K73" i="4"/>
  <c r="H73" i="4"/>
  <c r="F73" i="4"/>
  <c r="L73" i="4"/>
  <c r="M73" i="4"/>
  <c r="N73" i="4"/>
  <c r="O73" i="4"/>
  <c r="P73" i="4"/>
  <c r="G76" i="4"/>
  <c r="K76" i="4"/>
  <c r="L76" i="4"/>
  <c r="H76" i="4"/>
  <c r="J76" i="4"/>
  <c r="M76" i="4"/>
  <c r="O76" i="4"/>
  <c r="P76" i="4"/>
  <c r="N76" i="4"/>
  <c r="F76" i="4"/>
  <c r="H75" i="4"/>
  <c r="J75" i="4"/>
  <c r="G75" i="4"/>
  <c r="O75" i="4"/>
  <c r="L75" i="4"/>
  <c r="M75" i="4"/>
  <c r="P75" i="4"/>
  <c r="K75" i="4"/>
  <c r="F75" i="4"/>
  <c r="N75" i="4"/>
  <c r="H66" i="4"/>
  <c r="F66" i="4"/>
  <c r="L66" i="4"/>
  <c r="J66" i="4"/>
  <c r="K66" i="4"/>
  <c r="M66" i="4"/>
  <c r="N66" i="4"/>
  <c r="O66" i="4"/>
  <c r="P66" i="4"/>
  <c r="G66" i="4"/>
  <c r="G71" i="4"/>
  <c r="H71" i="4"/>
  <c r="J71" i="4"/>
  <c r="L71" i="4"/>
  <c r="M71" i="4"/>
  <c r="N71" i="4"/>
  <c r="K71" i="4"/>
  <c r="F71" i="4"/>
  <c r="O71" i="4"/>
  <c r="P71" i="4"/>
  <c r="G9" i="2"/>
  <c r="G17" i="2" s="1"/>
  <c r="I33" i="2"/>
  <c r="K32" i="2"/>
  <c r="G10" i="2"/>
  <c r="H10" i="2" s="1"/>
  <c r="D6" i="2"/>
  <c r="D14" i="3"/>
  <c r="D48" i="3" s="1"/>
  <c r="J14" i="3"/>
  <c r="J64" i="3" s="1"/>
  <c r="D32" i="2"/>
  <c r="M57" i="3" l="1"/>
  <c r="J72" i="3"/>
  <c r="H51" i="4"/>
  <c r="D72" i="3"/>
  <c r="G51" i="4"/>
  <c r="N72" i="3"/>
  <c r="K51" i="4"/>
  <c r="M72" i="3"/>
  <c r="J51" i="4"/>
  <c r="L72" i="3"/>
  <c r="I72" i="3"/>
  <c r="H72" i="3"/>
  <c r="K72" i="3"/>
  <c r="L60" i="4"/>
  <c r="G60" i="4"/>
  <c r="K60" i="4"/>
  <c r="N57" i="3"/>
  <c r="K57" i="3"/>
  <c r="L57" i="3"/>
  <c r="O57" i="3"/>
  <c r="J57" i="3"/>
  <c r="I57" i="3"/>
  <c r="E57" i="3"/>
  <c r="D57" i="3"/>
  <c r="H17" i="2"/>
  <c r="E41" i="4" s="1"/>
  <c r="M41" i="4" s="1"/>
  <c r="N50" i="4"/>
  <c r="J50" i="4"/>
  <c r="M51" i="4"/>
  <c r="P50" i="4"/>
  <c r="O50" i="4"/>
  <c r="H50" i="4"/>
  <c r="K67" i="4"/>
  <c r="M50" i="4"/>
  <c r="G50" i="4"/>
  <c r="N51" i="4"/>
  <c r="L67" i="4"/>
  <c r="L50" i="4"/>
  <c r="P51" i="4"/>
  <c r="L51" i="4"/>
  <c r="K50" i="4"/>
  <c r="O51" i="4"/>
  <c r="F42" i="8"/>
  <c r="H42" i="8"/>
  <c r="Q50" i="4"/>
  <c r="I50" i="4"/>
  <c r="K42" i="8"/>
  <c r="E42" i="8"/>
  <c r="Q51" i="4"/>
  <c r="I51" i="4"/>
  <c r="D42" i="8"/>
  <c r="J42" i="8"/>
  <c r="F23" i="3"/>
  <c r="H23" i="3"/>
  <c r="P28" i="4"/>
  <c r="P79" i="4" s="1"/>
  <c r="G42" i="8"/>
  <c r="Q60" i="4"/>
  <c r="I60" i="4"/>
  <c r="O42" i="8"/>
  <c r="Q42" i="8"/>
  <c r="N42" i="8"/>
  <c r="P42" i="8"/>
  <c r="M42" i="8"/>
  <c r="L42" i="8"/>
  <c r="G67" i="4"/>
  <c r="I67" i="4"/>
  <c r="O67" i="4"/>
  <c r="M67" i="4"/>
  <c r="F67" i="4"/>
  <c r="P67" i="4"/>
  <c r="H67" i="4"/>
  <c r="O72" i="3"/>
  <c r="F72" i="3"/>
  <c r="G72" i="3"/>
  <c r="O49" i="3"/>
  <c r="G49" i="3"/>
  <c r="K30" i="2"/>
  <c r="K33" i="2" s="1"/>
  <c r="E42" i="4"/>
  <c r="I42" i="4" s="1"/>
  <c r="E38" i="4"/>
  <c r="O38" i="4" s="1"/>
  <c r="E46" i="4"/>
  <c r="F46" i="4" s="1"/>
  <c r="E47" i="4"/>
  <c r="F47" i="4" s="1"/>
  <c r="E52" i="4"/>
  <c r="I52" i="4" s="1"/>
  <c r="E36" i="4"/>
  <c r="E44" i="4"/>
  <c r="H44" i="4" s="1"/>
  <c r="E53" i="4"/>
  <c r="I53" i="4" s="1"/>
  <c r="E35" i="4"/>
  <c r="L35" i="4" s="1"/>
  <c r="E37" i="4"/>
  <c r="F37" i="4" s="1"/>
  <c r="E45" i="4"/>
  <c r="E49" i="4"/>
  <c r="G16" i="2"/>
  <c r="H16" i="2" s="1"/>
  <c r="K12" i="9" s="1"/>
  <c r="F11" i="1"/>
  <c r="G11" i="1" s="1"/>
  <c r="H60" i="4"/>
  <c r="J60" i="4"/>
  <c r="N60" i="4"/>
  <c r="M60" i="4"/>
  <c r="O79" i="4"/>
  <c r="Q79" i="4"/>
  <c r="P60" i="4"/>
  <c r="F65" i="4"/>
  <c r="Q65" i="4"/>
  <c r="O60" i="4"/>
  <c r="M65" i="4"/>
  <c r="N67" i="4"/>
  <c r="Q67" i="4"/>
  <c r="O65" i="4"/>
  <c r="L65" i="4"/>
  <c r="H65" i="4"/>
  <c r="P65" i="4"/>
  <c r="M79" i="4"/>
  <c r="F32" i="2"/>
  <c r="N79" i="4"/>
  <c r="G79" i="4"/>
  <c r="L79" i="4"/>
  <c r="K79" i="4"/>
  <c r="F79" i="4"/>
  <c r="N65" i="4"/>
  <c r="K65" i="4"/>
  <c r="G65" i="4"/>
  <c r="J65" i="4"/>
  <c r="J30" i="2"/>
  <c r="E74" i="4"/>
  <c r="H24" i="2"/>
  <c r="C73" i="3"/>
  <c r="O66" i="10" s="1"/>
  <c r="K15" i="3"/>
  <c r="K49" i="3" s="1"/>
  <c r="J48" i="3"/>
  <c r="I49" i="3"/>
  <c r="L49" i="3"/>
  <c r="N49" i="3"/>
  <c r="D49" i="3"/>
  <c r="E49" i="3"/>
  <c r="J15" i="3"/>
  <c r="J49" i="3" s="1"/>
  <c r="H11" i="2"/>
  <c r="H9" i="2"/>
  <c r="D64" i="3"/>
  <c r="D30" i="2"/>
  <c r="D33" i="2" s="1"/>
  <c r="F6" i="2"/>
  <c r="F30" i="2" s="1"/>
  <c r="H15" i="2"/>
  <c r="H8" i="2"/>
  <c r="O73" i="3" l="1"/>
  <c r="D43" i="5" s="1"/>
  <c r="C62" i="8" s="1"/>
  <c r="N62" i="8" s="1"/>
  <c r="P44" i="4"/>
  <c r="L44" i="4"/>
  <c r="F44" i="4"/>
  <c r="Q44" i="4"/>
  <c r="D13" i="5" s="1"/>
  <c r="O41" i="4"/>
  <c r="F41" i="4"/>
  <c r="H42" i="4"/>
  <c r="P41" i="4"/>
  <c r="N41" i="4"/>
  <c r="K41" i="4"/>
  <c r="H41" i="4"/>
  <c r="J41" i="4"/>
  <c r="L41" i="4"/>
  <c r="K47" i="4"/>
  <c r="L47" i="4"/>
  <c r="N44" i="4"/>
  <c r="O44" i="4"/>
  <c r="N46" i="4"/>
  <c r="P36" i="4"/>
  <c r="I36" i="4"/>
  <c r="L46" i="4"/>
  <c r="J46" i="4"/>
  <c r="H46" i="4"/>
  <c r="L38" i="4"/>
  <c r="K44" i="4"/>
  <c r="Q74" i="4"/>
  <c r="Q81" i="4" s="1"/>
  <c r="I74" i="4"/>
  <c r="I81" i="4" s="1"/>
  <c r="Q49" i="4"/>
  <c r="I49" i="4"/>
  <c r="N38" i="4"/>
  <c r="O46" i="4"/>
  <c r="N47" i="4"/>
  <c r="O37" i="4"/>
  <c r="I37" i="4"/>
  <c r="G73" i="3"/>
  <c r="D35" i="5" s="1"/>
  <c r="M47" i="4"/>
  <c r="I47" i="4"/>
  <c r="G46" i="4"/>
  <c r="P45" i="4"/>
  <c r="I45" i="4"/>
  <c r="J38" i="4"/>
  <c r="I38" i="4"/>
  <c r="F35" i="4"/>
  <c r="I35" i="4"/>
  <c r="Q46" i="4"/>
  <c r="D12" i="5" s="1"/>
  <c r="C27" i="8" s="1"/>
  <c r="K46" i="4"/>
  <c r="P46" i="4"/>
  <c r="I46" i="4"/>
  <c r="P47" i="4"/>
  <c r="M44" i="4"/>
  <c r="I44" i="4"/>
  <c r="N35" i="4"/>
  <c r="J44" i="4"/>
  <c r="J28" i="4"/>
  <c r="J79" i="4" s="1"/>
  <c r="H57" i="3"/>
  <c r="F42" i="4"/>
  <c r="M46" i="4"/>
  <c r="G41" i="4"/>
  <c r="I41" i="4"/>
  <c r="H28" i="4"/>
  <c r="H53" i="4" s="1"/>
  <c r="Q23" i="3"/>
  <c r="F57" i="3"/>
  <c r="G44" i="4"/>
  <c r="H47" i="4"/>
  <c r="J62" i="8"/>
  <c r="M35" i="4"/>
  <c r="H38" i="4"/>
  <c r="Q38" i="4"/>
  <c r="G38" i="4"/>
  <c r="M38" i="4"/>
  <c r="K38" i="4"/>
  <c r="L45" i="4"/>
  <c r="F38" i="4"/>
  <c r="Q47" i="4"/>
  <c r="O36" i="4"/>
  <c r="H45" i="4"/>
  <c r="M45" i="4"/>
  <c r="L49" i="4"/>
  <c r="K45" i="4"/>
  <c r="N36" i="4"/>
  <c r="G47" i="4"/>
  <c r="O35" i="4"/>
  <c r="J45" i="4"/>
  <c r="G45" i="4"/>
  <c r="K36" i="4"/>
  <c r="P35" i="4"/>
  <c r="Q35" i="4"/>
  <c r="F36" i="4"/>
  <c r="O47" i="4"/>
  <c r="J47" i="4"/>
  <c r="K35" i="4"/>
  <c r="N45" i="4"/>
  <c r="P38" i="4"/>
  <c r="G35" i="4"/>
  <c r="H35" i="4"/>
  <c r="Q45" i="4"/>
  <c r="J35" i="4"/>
  <c r="O45" i="4"/>
  <c r="K73" i="3"/>
  <c r="D39" i="5" s="1"/>
  <c r="C58" i="8" s="1"/>
  <c r="E39" i="4"/>
  <c r="O39" i="4" s="1"/>
  <c r="I73" i="3"/>
  <c r="D37" i="5" s="1"/>
  <c r="C56" i="8" s="1"/>
  <c r="O49" i="4"/>
  <c r="J49" i="4"/>
  <c r="F49" i="4"/>
  <c r="G49" i="4"/>
  <c r="N49" i="4"/>
  <c r="H49" i="4"/>
  <c r="P49" i="4"/>
  <c r="M49" i="4"/>
  <c r="Q36" i="4"/>
  <c r="L36" i="4"/>
  <c r="J42" i="4"/>
  <c r="N42" i="4"/>
  <c r="K49" i="4"/>
  <c r="Q37" i="4"/>
  <c r="J37" i="4"/>
  <c r="L37" i="4"/>
  <c r="N37" i="4"/>
  <c r="G37" i="4"/>
  <c r="K37" i="4"/>
  <c r="H37" i="4"/>
  <c r="E48" i="4"/>
  <c r="M48" i="4" s="1"/>
  <c r="P42" i="4"/>
  <c r="M36" i="4"/>
  <c r="Q52" i="4"/>
  <c r="F52" i="4"/>
  <c r="G52" i="4"/>
  <c r="L52" i="4"/>
  <c r="H52" i="4"/>
  <c r="M52" i="4"/>
  <c r="K52" i="4"/>
  <c r="J52" i="4"/>
  <c r="P52" i="4"/>
  <c r="N52" i="4"/>
  <c r="O52" i="4"/>
  <c r="Q42" i="4"/>
  <c r="K42" i="4"/>
  <c r="M37" i="4"/>
  <c r="F45" i="4"/>
  <c r="L42" i="4"/>
  <c r="E40" i="4"/>
  <c r="H36" i="4"/>
  <c r="Q53" i="4"/>
  <c r="L53" i="4"/>
  <c r="F53" i="4"/>
  <c r="G53" i="4"/>
  <c r="M53" i="4"/>
  <c r="N53" i="4"/>
  <c r="K53" i="4"/>
  <c r="P53" i="4"/>
  <c r="O53" i="4"/>
  <c r="G36" i="4"/>
  <c r="O42" i="4"/>
  <c r="J36" i="4"/>
  <c r="E73" i="3"/>
  <c r="D33" i="5" s="1"/>
  <c r="C52" i="8" s="1"/>
  <c r="N73" i="3"/>
  <c r="D42" i="5" s="1"/>
  <c r="C61" i="8" s="1"/>
  <c r="G42" i="4"/>
  <c r="Q41" i="4"/>
  <c r="P37" i="4"/>
  <c r="L73" i="3"/>
  <c r="D40" i="5" s="1"/>
  <c r="C59" i="8" s="1"/>
  <c r="M42" i="4"/>
  <c r="F33" i="2"/>
  <c r="T23" i="10"/>
  <c r="O19" i="10"/>
  <c r="L74" i="4"/>
  <c r="L81" i="4" s="1"/>
  <c r="D27" i="5" s="1"/>
  <c r="N74" i="4"/>
  <c r="N81" i="4" s="1"/>
  <c r="O74" i="4"/>
  <c r="O81" i="4" s="1"/>
  <c r="F74" i="4"/>
  <c r="F81" i="4" s="1"/>
  <c r="P74" i="4"/>
  <c r="P81" i="4" s="1"/>
  <c r="H74" i="4"/>
  <c r="G74" i="4"/>
  <c r="G81" i="4" s="1"/>
  <c r="E81" i="4"/>
  <c r="K74" i="4"/>
  <c r="K81" i="4" s="1"/>
  <c r="D24" i="5" s="1"/>
  <c r="C41" i="8" s="1"/>
  <c r="J74" i="4"/>
  <c r="M74" i="4"/>
  <c r="M81" i="4" s="1"/>
  <c r="J73" i="3"/>
  <c r="D73" i="3"/>
  <c r="G30" i="2"/>
  <c r="H6" i="2"/>
  <c r="P62" i="8" l="1"/>
  <c r="H62" i="8"/>
  <c r="G62" i="8"/>
  <c r="F62" i="8"/>
  <c r="L62" i="8"/>
  <c r="K62" i="8"/>
  <c r="M62" i="8"/>
  <c r="O19" i="8"/>
  <c r="I62" i="8"/>
  <c r="E62" i="8"/>
  <c r="D62" i="8"/>
  <c r="Q19" i="8"/>
  <c r="Q62" i="8" s="1"/>
  <c r="O62" i="8"/>
  <c r="J81" i="4"/>
  <c r="D23" i="5" s="1"/>
  <c r="C40" i="8" s="1"/>
  <c r="J53" i="4"/>
  <c r="N48" i="4"/>
  <c r="J39" i="4"/>
  <c r="N39" i="4"/>
  <c r="D22" i="5"/>
  <c r="C39" i="8" s="1"/>
  <c r="M39" i="4"/>
  <c r="S28" i="4"/>
  <c r="H79" i="4"/>
  <c r="H81" i="4" s="1"/>
  <c r="H27" i="8"/>
  <c r="P27" i="8"/>
  <c r="N27" i="8"/>
  <c r="L27" i="8"/>
  <c r="E27" i="8"/>
  <c r="G27" i="8"/>
  <c r="Q27" i="8"/>
  <c r="I27" i="8"/>
  <c r="J27" i="8"/>
  <c r="M27" i="8"/>
  <c r="F27" i="8"/>
  <c r="K27" i="8"/>
  <c r="O27" i="8"/>
  <c r="D27" i="8"/>
  <c r="F39" i="4"/>
  <c r="P39" i="4"/>
  <c r="L39" i="4"/>
  <c r="L48" i="4"/>
  <c r="I48" i="4"/>
  <c r="Q39" i="4"/>
  <c r="I39" i="4"/>
  <c r="H39" i="4"/>
  <c r="L40" i="4"/>
  <c r="I40" i="4"/>
  <c r="N59" i="8"/>
  <c r="O59" i="8"/>
  <c r="G59" i="8"/>
  <c r="H59" i="8"/>
  <c r="J59" i="8"/>
  <c r="K59" i="8"/>
  <c r="D59" i="8"/>
  <c r="I59" i="8"/>
  <c r="L59" i="8"/>
  <c r="Q59" i="8"/>
  <c r="E59" i="8"/>
  <c r="M59" i="8"/>
  <c r="F59" i="8"/>
  <c r="P59" i="8"/>
  <c r="N58" i="8"/>
  <c r="Q58" i="8"/>
  <c r="D58" i="8"/>
  <c r="G58" i="8"/>
  <c r="H58" i="8"/>
  <c r="M58" i="8"/>
  <c r="F58" i="8"/>
  <c r="I58" i="8"/>
  <c r="K58" i="8"/>
  <c r="L58" i="8"/>
  <c r="O58" i="8"/>
  <c r="J58" i="8"/>
  <c r="P58" i="8"/>
  <c r="E58" i="8"/>
  <c r="D56" i="8"/>
  <c r="O56" i="8"/>
  <c r="P56" i="8"/>
  <c r="F56" i="8"/>
  <c r="G56" i="8"/>
  <c r="E56" i="8"/>
  <c r="Q56" i="8"/>
  <c r="H56" i="8"/>
  <c r="M56" i="8"/>
  <c r="N56" i="8"/>
  <c r="I56" i="8"/>
  <c r="J56" i="8"/>
  <c r="K56" i="8"/>
  <c r="L56" i="8"/>
  <c r="D41" i="8"/>
  <c r="I41" i="8"/>
  <c r="F41" i="8"/>
  <c r="N41" i="8"/>
  <c r="H41" i="8"/>
  <c r="J41" i="8"/>
  <c r="K41" i="8"/>
  <c r="Q41" i="8"/>
  <c r="O41" i="8"/>
  <c r="M41" i="8"/>
  <c r="E41" i="8"/>
  <c r="G41" i="8"/>
  <c r="L41" i="8"/>
  <c r="P41" i="8"/>
  <c r="H61" i="8"/>
  <c r="I61" i="8"/>
  <c r="J61" i="8"/>
  <c r="K61" i="8"/>
  <c r="L61" i="8"/>
  <c r="M61" i="8"/>
  <c r="N61" i="8"/>
  <c r="D61" i="8"/>
  <c r="Q61" i="8"/>
  <c r="P61" i="8"/>
  <c r="F61" i="8"/>
  <c r="G61" i="8"/>
  <c r="O61" i="8"/>
  <c r="E61" i="8"/>
  <c r="H52" i="8"/>
  <c r="I52" i="8"/>
  <c r="J52" i="8"/>
  <c r="L52" i="8"/>
  <c r="M52" i="8"/>
  <c r="N52" i="8"/>
  <c r="O52" i="8"/>
  <c r="P52" i="8"/>
  <c r="Q52" i="8"/>
  <c r="E52" i="8"/>
  <c r="K52" i="8"/>
  <c r="D52" i="8"/>
  <c r="F52" i="8"/>
  <c r="G52" i="8"/>
  <c r="C28" i="8"/>
  <c r="K39" i="4"/>
  <c r="O40" i="4"/>
  <c r="M40" i="4"/>
  <c r="K48" i="4"/>
  <c r="J40" i="4"/>
  <c r="J48" i="4"/>
  <c r="G40" i="4"/>
  <c r="P40" i="4"/>
  <c r="F40" i="4"/>
  <c r="P48" i="4"/>
  <c r="N40" i="4"/>
  <c r="H48" i="4"/>
  <c r="G48" i="4"/>
  <c r="O48" i="4"/>
  <c r="F48" i="4"/>
  <c r="K40" i="4"/>
  <c r="Q48" i="4"/>
  <c r="G39" i="4"/>
  <c r="H40" i="4"/>
  <c r="C44" i="8"/>
  <c r="Q40" i="4"/>
  <c r="D28" i="5"/>
  <c r="C45" i="8" s="1"/>
  <c r="D20" i="5"/>
  <c r="C37" i="8" s="1"/>
  <c r="D31" i="5"/>
  <c r="C48" i="8" s="1"/>
  <c r="D30" i="5"/>
  <c r="C47" i="8" s="1"/>
  <c r="D29" i="5"/>
  <c r="C46" i="8" s="1"/>
  <c r="D19" i="5"/>
  <c r="C36" i="8" s="1"/>
  <c r="D32" i="5"/>
  <c r="C51" i="8" s="1"/>
  <c r="D38" i="5"/>
  <c r="C57" i="8" s="1"/>
  <c r="H30" i="2"/>
  <c r="H33" i="2" s="1"/>
  <c r="E34" i="4"/>
  <c r="R19" i="8" l="1"/>
  <c r="D21" i="5"/>
  <c r="C38" i="8" s="1"/>
  <c r="D38" i="8" s="1"/>
  <c r="Q34" i="4"/>
  <c r="I34" i="4"/>
  <c r="N57" i="8"/>
  <c r="P57" i="8"/>
  <c r="F57" i="8"/>
  <c r="O57" i="8"/>
  <c r="G57" i="8"/>
  <c r="I57" i="8"/>
  <c r="M57" i="8"/>
  <c r="H57" i="8"/>
  <c r="L57" i="8"/>
  <c r="D57" i="8"/>
  <c r="E57" i="8"/>
  <c r="J57" i="8"/>
  <c r="K57" i="8"/>
  <c r="Q57" i="8"/>
  <c r="D44" i="8"/>
  <c r="E44" i="8"/>
  <c r="F44" i="8"/>
  <c r="G44" i="8"/>
  <c r="M44" i="8"/>
  <c r="H44" i="8"/>
  <c r="I44" i="8"/>
  <c r="O44" i="8"/>
  <c r="P44" i="8"/>
  <c r="J44" i="8"/>
  <c r="Q44" i="8"/>
  <c r="K44" i="8"/>
  <c r="N44" i="8"/>
  <c r="L44" i="8"/>
  <c r="P39" i="8"/>
  <c r="L39" i="8"/>
  <c r="Q39" i="8"/>
  <c r="M39" i="8"/>
  <c r="D39" i="8"/>
  <c r="I39" i="8"/>
  <c r="E39" i="8"/>
  <c r="F39" i="8"/>
  <c r="O39" i="8"/>
  <c r="G39" i="8"/>
  <c r="J39" i="8"/>
  <c r="N39" i="8"/>
  <c r="H39" i="8"/>
  <c r="K39" i="8"/>
  <c r="H46" i="8"/>
  <c r="I46" i="8"/>
  <c r="K46" i="8"/>
  <c r="L46" i="8"/>
  <c r="M46" i="8"/>
  <c r="N46" i="8"/>
  <c r="O46" i="8"/>
  <c r="P46" i="8"/>
  <c r="F46" i="8"/>
  <c r="E46" i="8"/>
  <c r="D46" i="8"/>
  <c r="J46" i="8"/>
  <c r="Q46" i="8"/>
  <c r="G46" i="8"/>
  <c r="P40" i="8"/>
  <c r="D40" i="8"/>
  <c r="E40" i="8"/>
  <c r="F40" i="8"/>
  <c r="G40" i="8"/>
  <c r="H40" i="8"/>
  <c r="I40" i="8"/>
  <c r="O40" i="8"/>
  <c r="Q40" i="8"/>
  <c r="J40" i="8"/>
  <c r="M40" i="8"/>
  <c r="K40" i="8"/>
  <c r="L40" i="8"/>
  <c r="N40" i="8"/>
  <c r="P47" i="8"/>
  <c r="Q47" i="8"/>
  <c r="D47" i="8"/>
  <c r="E47" i="8"/>
  <c r="F47" i="8"/>
  <c r="G47" i="8"/>
  <c r="H47" i="8"/>
  <c r="I47" i="8"/>
  <c r="O47" i="8"/>
  <c r="J47" i="8"/>
  <c r="K47" i="8"/>
  <c r="N47" i="8"/>
  <c r="L47" i="8"/>
  <c r="M47" i="8"/>
  <c r="L48" i="8"/>
  <c r="M48" i="8"/>
  <c r="J48" i="8"/>
  <c r="K48" i="8"/>
  <c r="O48" i="8"/>
  <c r="D48" i="8"/>
  <c r="I48" i="8"/>
  <c r="E48" i="8"/>
  <c r="F48" i="8"/>
  <c r="P48" i="8"/>
  <c r="G48" i="8"/>
  <c r="N48" i="8"/>
  <c r="Q48" i="8"/>
  <c r="H48" i="8"/>
  <c r="E51" i="8"/>
  <c r="F51" i="8"/>
  <c r="G51" i="8"/>
  <c r="I51" i="8"/>
  <c r="J51" i="8"/>
  <c r="K51" i="8"/>
  <c r="L51" i="8"/>
  <c r="D51" i="8"/>
  <c r="M51" i="8"/>
  <c r="N51" i="8"/>
  <c r="O51" i="8"/>
  <c r="P51" i="8"/>
  <c r="H51" i="8"/>
  <c r="Q51" i="8"/>
  <c r="D36" i="8"/>
  <c r="E36" i="8"/>
  <c r="F36" i="8"/>
  <c r="G36" i="8"/>
  <c r="H36" i="8"/>
  <c r="N36" i="8"/>
  <c r="I36" i="8"/>
  <c r="P36" i="8"/>
  <c r="J36" i="8"/>
  <c r="O36" i="8"/>
  <c r="Q36" i="8"/>
  <c r="K36" i="8"/>
  <c r="L36" i="8"/>
  <c r="M36" i="8"/>
  <c r="D37" i="8"/>
  <c r="E37" i="8"/>
  <c r="F37" i="8"/>
  <c r="G37" i="8"/>
  <c r="H37" i="8"/>
  <c r="I37" i="8"/>
  <c r="J37" i="8"/>
  <c r="K37" i="8"/>
  <c r="Q37" i="8"/>
  <c r="L37" i="8"/>
  <c r="M37" i="8"/>
  <c r="N37" i="8"/>
  <c r="O37" i="8"/>
  <c r="P37" i="8"/>
  <c r="D45" i="8"/>
  <c r="E45" i="8"/>
  <c r="F45" i="8"/>
  <c r="H45" i="8"/>
  <c r="I45" i="8"/>
  <c r="J45" i="8"/>
  <c r="K45" i="8"/>
  <c r="L45" i="8"/>
  <c r="M45" i="8"/>
  <c r="Q45" i="8"/>
  <c r="N45" i="8"/>
  <c r="O45" i="8"/>
  <c r="G45" i="8"/>
  <c r="P45" i="8"/>
  <c r="J28" i="8"/>
  <c r="L28" i="8"/>
  <c r="P28" i="8"/>
  <c r="K28" i="8"/>
  <c r="D28" i="8"/>
  <c r="G28" i="8"/>
  <c r="E28" i="8"/>
  <c r="M28" i="8"/>
  <c r="O28" i="8"/>
  <c r="Q28" i="8"/>
  <c r="F28" i="8"/>
  <c r="N28" i="8"/>
  <c r="H28" i="8"/>
  <c r="I28" i="8"/>
  <c r="F34" i="4"/>
  <c r="P34" i="4"/>
  <c r="M34" i="4"/>
  <c r="N34" i="4"/>
  <c r="E55" i="4"/>
  <c r="J34" i="4"/>
  <c r="G34" i="4"/>
  <c r="H34" i="4"/>
  <c r="K34" i="4"/>
  <c r="L34" i="4"/>
  <c r="O34" i="4"/>
  <c r="L38" i="8" l="1"/>
  <c r="H38" i="8"/>
  <c r="H49" i="8" s="1"/>
  <c r="K38" i="8"/>
  <c r="K49" i="8" s="1"/>
  <c r="M38" i="8"/>
  <c r="M49" i="8" s="1"/>
  <c r="I38" i="8"/>
  <c r="I49" i="8" s="1"/>
  <c r="C49" i="8"/>
  <c r="O38" i="8"/>
  <c r="O49" i="8" s="1"/>
  <c r="E50" i="10" s="1"/>
  <c r="N38" i="8"/>
  <c r="N49" i="8" s="1"/>
  <c r="F38" i="8"/>
  <c r="F49" i="8" s="1"/>
  <c r="Q55" i="4"/>
  <c r="Q38" i="8"/>
  <c r="Q49" i="8" s="1"/>
  <c r="P38" i="8"/>
  <c r="P49" i="8" s="1"/>
  <c r="E38" i="8"/>
  <c r="E49" i="8" s="1"/>
  <c r="J38" i="8"/>
  <c r="J49" i="8" s="1"/>
  <c r="G38" i="8"/>
  <c r="G49" i="8" s="1"/>
  <c r="I55" i="4"/>
  <c r="D9" i="5" s="1"/>
  <c r="L49" i="8"/>
  <c r="F55" i="4"/>
  <c r="D6" i="5" s="1"/>
  <c r="C21" i="8" s="1"/>
  <c r="P55" i="4"/>
  <c r="D18" i="5" s="1"/>
  <c r="C33" i="8" s="1"/>
  <c r="M55" i="4"/>
  <c r="D15" i="5" s="1"/>
  <c r="C30" i="8" s="1"/>
  <c r="L55" i="4"/>
  <c r="D14" i="5" s="1"/>
  <c r="C29" i="8" s="1"/>
  <c r="N55" i="4"/>
  <c r="D16" i="5" s="1"/>
  <c r="C31" i="8" s="1"/>
  <c r="O55" i="4"/>
  <c r="D17" i="5" s="1"/>
  <c r="C32" i="8" s="1"/>
  <c r="H55" i="4"/>
  <c r="K55" i="4"/>
  <c r="D11" i="5" s="1"/>
  <c r="C26" i="8" s="1"/>
  <c r="G55" i="4"/>
  <c r="D7" i="5" s="1"/>
  <c r="C22" i="8" s="1"/>
  <c r="J55" i="4"/>
  <c r="D49" i="8"/>
  <c r="F39" i="3" l="1"/>
  <c r="F14" i="3" s="1"/>
  <c r="F48" i="3" s="1"/>
  <c r="K32" i="8"/>
  <c r="D32" i="8"/>
  <c r="J32" i="8"/>
  <c r="H32" i="8"/>
  <c r="Q32" i="8"/>
  <c r="E32" i="8"/>
  <c r="P32" i="8"/>
  <c r="I32" i="8"/>
  <c r="G32" i="8"/>
  <c r="F32" i="8"/>
  <c r="M32" i="8"/>
  <c r="O32" i="8"/>
  <c r="N32" i="8"/>
  <c r="L32" i="8"/>
  <c r="N30" i="8"/>
  <c r="K30" i="8"/>
  <c r="Q30" i="8"/>
  <c r="M30" i="8"/>
  <c r="G30" i="8"/>
  <c r="L30" i="8"/>
  <c r="O30" i="8"/>
  <c r="H30" i="8"/>
  <c r="D30" i="8"/>
  <c r="J30" i="8"/>
  <c r="I30" i="8"/>
  <c r="P30" i="8"/>
  <c r="F30" i="8"/>
  <c r="E30" i="8"/>
  <c r="P31" i="8"/>
  <c r="J31" i="8"/>
  <c r="M31" i="8"/>
  <c r="O31" i="8"/>
  <c r="I31" i="8"/>
  <c r="H31" i="8"/>
  <c r="N31" i="8"/>
  <c r="Q31" i="8"/>
  <c r="K31" i="8"/>
  <c r="D31" i="8"/>
  <c r="G31" i="8"/>
  <c r="E31" i="8"/>
  <c r="F31" i="8"/>
  <c r="L31" i="8"/>
  <c r="L29" i="8"/>
  <c r="P29" i="8"/>
  <c r="F29" i="8"/>
  <c r="M29" i="8"/>
  <c r="G29" i="8"/>
  <c r="N29" i="8"/>
  <c r="Q29" i="8"/>
  <c r="O29" i="8"/>
  <c r="J29" i="8"/>
  <c r="I29" i="8"/>
  <c r="K29" i="8"/>
  <c r="H29" i="8"/>
  <c r="E29" i="8"/>
  <c r="D29" i="8"/>
  <c r="F26" i="8"/>
  <c r="K26" i="8"/>
  <c r="O26" i="8"/>
  <c r="E26" i="8"/>
  <c r="I26" i="8"/>
  <c r="M26" i="8"/>
  <c r="G26" i="8"/>
  <c r="P26" i="8"/>
  <c r="Q26" i="8"/>
  <c r="L26" i="8"/>
  <c r="D26" i="8"/>
  <c r="N26" i="8"/>
  <c r="J26" i="8"/>
  <c r="H26" i="8"/>
  <c r="C24" i="8"/>
  <c r="H24" i="8" s="1"/>
  <c r="D10" i="5"/>
  <c r="C25" i="8" s="1"/>
  <c r="F25" i="8" s="1"/>
  <c r="D8" i="5"/>
  <c r="C23" i="8" s="1"/>
  <c r="I23" i="8" s="1"/>
  <c r="H39" i="3"/>
  <c r="H14" i="3" s="1"/>
  <c r="E51" i="10"/>
  <c r="O22" i="8"/>
  <c r="P22" i="8"/>
  <c r="L22" i="8"/>
  <c r="M22" i="8"/>
  <c r="N22" i="8"/>
  <c r="F22" i="8"/>
  <c r="D33" i="8"/>
  <c r="F33" i="8"/>
  <c r="L33" i="8"/>
  <c r="E33" i="8"/>
  <c r="M33" i="8"/>
  <c r="G33" i="8"/>
  <c r="J33" i="8"/>
  <c r="N33" i="8"/>
  <c r="O33" i="8"/>
  <c r="P33" i="8"/>
  <c r="I33" i="8"/>
  <c r="K33" i="8"/>
  <c r="Q33" i="8"/>
  <c r="H33" i="8"/>
  <c r="N21" i="8"/>
  <c r="O21" i="8"/>
  <c r="F21" i="8"/>
  <c r="L21" i="8"/>
  <c r="M21" i="8"/>
  <c r="P21" i="8"/>
  <c r="E49" i="10"/>
  <c r="I49" i="10" s="1"/>
  <c r="E46" i="10"/>
  <c r="K46" i="10" s="1"/>
  <c r="E45" i="10"/>
  <c r="F45" i="10" s="1"/>
  <c r="E39" i="10"/>
  <c r="E48" i="10"/>
  <c r="E41" i="10"/>
  <c r="M41" i="10" s="1"/>
  <c r="E43" i="10"/>
  <c r="J43" i="10" s="1"/>
  <c r="E44" i="10"/>
  <c r="E40" i="10"/>
  <c r="E47" i="10"/>
  <c r="M47" i="10" s="1"/>
  <c r="E42" i="10"/>
  <c r="G42" i="10" s="1"/>
  <c r="K22" i="8"/>
  <c r="I22" i="8"/>
  <c r="G22" i="8"/>
  <c r="D22" i="8"/>
  <c r="Q22" i="8"/>
  <c r="H22" i="8"/>
  <c r="J22" i="8"/>
  <c r="E22" i="8"/>
  <c r="G21" i="8"/>
  <c r="H21" i="8"/>
  <c r="E21" i="8"/>
  <c r="Q21" i="8"/>
  <c r="J21" i="8"/>
  <c r="D21" i="8"/>
  <c r="I21" i="8"/>
  <c r="K21" i="8"/>
  <c r="I24" i="8" l="1"/>
  <c r="G24" i="8"/>
  <c r="Q23" i="8"/>
  <c r="N24" i="8"/>
  <c r="L24" i="8"/>
  <c r="G23" i="8"/>
  <c r="K23" i="8"/>
  <c r="H23" i="8"/>
  <c r="H15" i="3"/>
  <c r="H49" i="3" s="1"/>
  <c r="F24" i="8"/>
  <c r="E23" i="8"/>
  <c r="P24" i="8"/>
  <c r="D23" i="8"/>
  <c r="O24" i="8"/>
  <c r="M24" i="8"/>
  <c r="F23" i="8"/>
  <c r="F15" i="3"/>
  <c r="F49" i="3" s="1"/>
  <c r="J23" i="8"/>
  <c r="O23" i="8"/>
  <c r="E24" i="8"/>
  <c r="L23" i="8"/>
  <c r="D24" i="8"/>
  <c r="Q24" i="8"/>
  <c r="N23" i="8"/>
  <c r="K24" i="8"/>
  <c r="J24" i="8"/>
  <c r="M23" i="8"/>
  <c r="P23" i="8"/>
  <c r="L25" i="8"/>
  <c r="K25" i="8"/>
  <c r="H25" i="8"/>
  <c r="E25" i="8"/>
  <c r="O25" i="8"/>
  <c r="D25" i="8"/>
  <c r="M25" i="8"/>
  <c r="N25" i="8"/>
  <c r="I25" i="8"/>
  <c r="J25" i="8"/>
  <c r="Q25" i="8"/>
  <c r="P25" i="8"/>
  <c r="G25" i="8"/>
  <c r="C34" i="8"/>
  <c r="G51" i="10"/>
  <c r="M51" i="10"/>
  <c r="F51" i="10"/>
  <c r="K51" i="10"/>
  <c r="L51" i="10"/>
  <c r="J51" i="10"/>
  <c r="I51" i="10"/>
  <c r="H51" i="10"/>
  <c r="E52" i="10"/>
  <c r="M49" i="10"/>
  <c r="L49" i="10"/>
  <c r="K49" i="10"/>
  <c r="G49" i="10"/>
  <c r="H49" i="10"/>
  <c r="F49" i="10"/>
  <c r="J49" i="10"/>
  <c r="F46" i="10"/>
  <c r="H46" i="10"/>
  <c r="I46" i="10"/>
  <c r="G46" i="10"/>
  <c r="J46" i="10"/>
  <c r="K45" i="10"/>
  <c r="M45" i="10"/>
  <c r="F47" i="10"/>
  <c r="K42" i="10"/>
  <c r="J42" i="10"/>
  <c r="I45" i="10"/>
  <c r="K47" i="10"/>
  <c r="H45" i="10"/>
  <c r="J47" i="10"/>
  <c r="L45" i="10"/>
  <c r="I47" i="10"/>
  <c r="J45" i="10"/>
  <c r="G45" i="10"/>
  <c r="M42" i="10"/>
  <c r="L42" i="10"/>
  <c r="M46" i="10"/>
  <c r="F42" i="10"/>
  <c r="L46" i="10"/>
  <c r="H42" i="10"/>
  <c r="M39" i="10"/>
  <c r="L47" i="10"/>
  <c r="I42" i="10"/>
  <c r="G47" i="10"/>
  <c r="H47" i="10"/>
  <c r="M43" i="10"/>
  <c r="F43" i="10"/>
  <c r="L43" i="10"/>
  <c r="H43" i="10"/>
  <c r="F44" i="10"/>
  <c r="L44" i="10"/>
  <c r="H44" i="10"/>
  <c r="I44" i="10"/>
  <c r="M44" i="10"/>
  <c r="G43" i="10"/>
  <c r="K43" i="10"/>
  <c r="I43" i="10"/>
  <c r="G44" i="10"/>
  <c r="J44" i="10"/>
  <c r="K44" i="10"/>
  <c r="H64" i="3"/>
  <c r="H48" i="3"/>
  <c r="M14" i="3"/>
  <c r="Q14" i="3" s="1"/>
  <c r="I34" i="8" l="1"/>
  <c r="E11" i="10" s="1"/>
  <c r="H11" i="10" s="1"/>
  <c r="F34" i="8"/>
  <c r="E8" i="10" s="1"/>
  <c r="M8" i="10" s="1"/>
  <c r="Q34" i="8"/>
  <c r="H34" i="8"/>
  <c r="E10" i="10" s="1"/>
  <c r="G10" i="10" s="1"/>
  <c r="K34" i="8"/>
  <c r="E13" i="10" s="1"/>
  <c r="F13" i="10" s="1"/>
  <c r="G34" i="8"/>
  <c r="E9" i="10" s="1"/>
  <c r="G9" i="10" s="1"/>
  <c r="E34" i="8"/>
  <c r="E7" i="10" s="1"/>
  <c r="D34" i="8"/>
  <c r="E6" i="10" s="1"/>
  <c r="M6" i="10" s="1"/>
  <c r="M15" i="3"/>
  <c r="M49" i="3" s="1"/>
  <c r="P34" i="8"/>
  <c r="E18" i="10" s="1"/>
  <c r="F18" i="10" s="1"/>
  <c r="L34" i="8"/>
  <c r="E14" i="10" s="1"/>
  <c r="I14" i="10" s="1"/>
  <c r="N34" i="8"/>
  <c r="E16" i="10" s="1"/>
  <c r="M16" i="10" s="1"/>
  <c r="M34" i="8"/>
  <c r="E15" i="10" s="1"/>
  <c r="L15" i="10" s="1"/>
  <c r="O34" i="8"/>
  <c r="E17" i="10" s="1"/>
  <c r="J34" i="8"/>
  <c r="E12" i="10" s="1"/>
  <c r="L12" i="10" s="1"/>
  <c r="F64" i="3"/>
  <c r="F73" i="3" s="1"/>
  <c r="H73" i="3"/>
  <c r="D36" i="5" s="1"/>
  <c r="C55" i="8" s="1"/>
  <c r="M64" i="3"/>
  <c r="M48" i="3"/>
  <c r="G11" i="10" l="1"/>
  <c r="K11" i="10"/>
  <c r="L11" i="10"/>
  <c r="I11" i="10"/>
  <c r="F11" i="10"/>
  <c r="J11" i="10"/>
  <c r="M11" i="10"/>
  <c r="M13" i="10"/>
  <c r="J13" i="10"/>
  <c r="I13" i="10"/>
  <c r="K13" i="10"/>
  <c r="H13" i="10"/>
  <c r="G13" i="10"/>
  <c r="L13" i="10"/>
  <c r="H10" i="10"/>
  <c r="J9" i="10"/>
  <c r="H9" i="10"/>
  <c r="I9" i="10"/>
  <c r="F9" i="10"/>
  <c r="L9" i="10"/>
  <c r="M9" i="10"/>
  <c r="K9" i="10"/>
  <c r="F10" i="10"/>
  <c r="I10" i="10"/>
  <c r="L10" i="10"/>
  <c r="M10" i="10"/>
  <c r="K10" i="10"/>
  <c r="J10" i="10"/>
  <c r="Q15" i="3"/>
  <c r="H14" i="10"/>
  <c r="J14" i="10"/>
  <c r="K14" i="10"/>
  <c r="L14" i="10"/>
  <c r="F14" i="10"/>
  <c r="G14" i="10"/>
  <c r="M14" i="10"/>
  <c r="L16" i="10"/>
  <c r="K16" i="10"/>
  <c r="H16" i="10"/>
  <c r="G16" i="10"/>
  <c r="I16" i="10"/>
  <c r="F16" i="10"/>
  <c r="J16" i="10"/>
  <c r="J18" i="10"/>
  <c r="H18" i="10"/>
  <c r="L18" i="10"/>
  <c r="K18" i="10"/>
  <c r="G18" i="10"/>
  <c r="I18" i="10"/>
  <c r="M18" i="10"/>
  <c r="J15" i="10"/>
  <c r="H15" i="10"/>
  <c r="G15" i="10"/>
  <c r="K15" i="10"/>
  <c r="I15" i="10"/>
  <c r="F15" i="10"/>
  <c r="M15" i="10"/>
  <c r="E19" i="10"/>
  <c r="P19" i="10" s="1"/>
  <c r="I12" i="10"/>
  <c r="K12" i="10"/>
  <c r="J12" i="10"/>
  <c r="G12" i="10"/>
  <c r="M12" i="10"/>
  <c r="F12" i="10"/>
  <c r="H12" i="10"/>
  <c r="Q30" i="3"/>
  <c r="J55" i="8"/>
  <c r="Q55" i="8"/>
  <c r="O55" i="8"/>
  <c r="P55" i="8"/>
  <c r="D55" i="8"/>
  <c r="E55" i="8"/>
  <c r="F55" i="8"/>
  <c r="I55" i="8"/>
  <c r="K55" i="8"/>
  <c r="G55" i="8"/>
  <c r="M55" i="8"/>
  <c r="N55" i="8"/>
  <c r="H55" i="8"/>
  <c r="L55" i="8"/>
  <c r="C54" i="8"/>
  <c r="D34" i="5"/>
  <c r="C53" i="8" s="1"/>
  <c r="M73" i="3"/>
  <c r="L54" i="8" l="1"/>
  <c r="M54" i="8"/>
  <c r="E54" i="8"/>
  <c r="P54" i="8"/>
  <c r="D54" i="8"/>
  <c r="F54" i="8"/>
  <c r="K54" i="8"/>
  <c r="G54" i="8"/>
  <c r="N54" i="8"/>
  <c r="H54" i="8"/>
  <c r="O54" i="8"/>
  <c r="I54" i="8"/>
  <c r="J54" i="8"/>
  <c r="Q54" i="8"/>
  <c r="F53" i="8"/>
  <c r="I53" i="8"/>
  <c r="J53" i="8"/>
  <c r="K53" i="8"/>
  <c r="M53" i="8"/>
  <c r="L53" i="8"/>
  <c r="N53" i="8"/>
  <c r="O53" i="8"/>
  <c r="P53" i="8"/>
  <c r="Q53" i="8"/>
  <c r="G53" i="8"/>
  <c r="H53" i="8"/>
  <c r="E53" i="8"/>
  <c r="D53" i="8"/>
  <c r="D41" i="5"/>
  <c r="C60" i="8" s="1"/>
  <c r="E60" i="8" l="1"/>
  <c r="E63" i="8" s="1"/>
  <c r="F60" i="8"/>
  <c r="F63" i="8" s="1"/>
  <c r="G60" i="8"/>
  <c r="G63" i="8" s="1"/>
  <c r="I60" i="8"/>
  <c r="I63" i="8" s="1"/>
  <c r="J60" i="8"/>
  <c r="J63" i="8" s="1"/>
  <c r="K60" i="8"/>
  <c r="K63" i="8" s="1"/>
  <c r="E59" i="10" s="1"/>
  <c r="H60" i="8"/>
  <c r="H63" i="8" s="1"/>
  <c r="E58" i="10" s="1"/>
  <c r="N60" i="8"/>
  <c r="N63" i="8" s="1"/>
  <c r="E62" i="10" s="1"/>
  <c r="D60" i="8"/>
  <c r="D63" i="8" s="1"/>
  <c r="E54" i="10" s="1"/>
  <c r="O60" i="8"/>
  <c r="O63" i="8" s="1"/>
  <c r="E63" i="10" s="1"/>
  <c r="P60" i="8"/>
  <c r="P63" i="8" s="1"/>
  <c r="E64" i="10" s="1"/>
  <c r="M60" i="8"/>
  <c r="M63" i="8" s="1"/>
  <c r="E61" i="10" s="1"/>
  <c r="Q60" i="8"/>
  <c r="Q63" i="8" s="1"/>
  <c r="E65" i="10" s="1"/>
  <c r="L60" i="8"/>
  <c r="L63" i="8" s="1"/>
  <c r="E60" i="10" s="1"/>
  <c r="C63" i="8"/>
  <c r="P15" i="12" s="1"/>
  <c r="K64" i="10" l="1"/>
  <c r="K78" i="10" s="1"/>
  <c r="M64" i="10"/>
  <c r="M78" i="10" s="1"/>
  <c r="G64" i="10"/>
  <c r="G78" i="10" s="1"/>
  <c r="L64" i="10"/>
  <c r="L78" i="10" s="1"/>
  <c r="J64" i="10"/>
  <c r="J78" i="10" s="1"/>
  <c r="I64" i="10"/>
  <c r="I78" i="10" s="1"/>
  <c r="F64" i="10"/>
  <c r="F78" i="10" s="1"/>
  <c r="H64" i="10"/>
  <c r="H78" i="10" s="1"/>
  <c r="L65" i="10"/>
  <c r="G65" i="10"/>
  <c r="K65" i="10"/>
  <c r="H65" i="10"/>
  <c r="J65" i="10"/>
  <c r="F65" i="10"/>
  <c r="I65" i="10"/>
  <c r="M65" i="10"/>
  <c r="E55" i="10"/>
  <c r="E56" i="10"/>
  <c r="E57" i="10"/>
  <c r="G57" i="10" s="1"/>
  <c r="M54" i="10"/>
  <c r="M75" i="10" s="1"/>
  <c r="F60" i="10"/>
  <c r="I57" i="10"/>
  <c r="T25" i="10"/>
  <c r="M56" i="10" l="1"/>
  <c r="M57" i="10"/>
  <c r="E66" i="10"/>
  <c r="P66" i="10" s="1"/>
  <c r="H57" i="10"/>
  <c r="K57" i="10"/>
  <c r="F57" i="10"/>
  <c r="L57" i="10"/>
  <c r="J57" i="10"/>
  <c r="H60" i="10"/>
  <c r="M60" i="10"/>
  <c r="J60" i="10"/>
  <c r="L60" i="10"/>
  <c r="I60" i="10"/>
  <c r="K60" i="10"/>
  <c r="G60" i="10"/>
  <c r="M58" i="10"/>
  <c r="H58" i="10"/>
  <c r="K58" i="10"/>
  <c r="J58" i="10"/>
  <c r="G58" i="10"/>
  <c r="F58" i="10"/>
  <c r="L58" i="10"/>
  <c r="I58" i="10"/>
  <c r="J62" i="10"/>
  <c r="F62" i="10"/>
  <c r="M62" i="10"/>
  <c r="L62" i="10"/>
  <c r="H62" i="10"/>
  <c r="K62" i="10"/>
  <c r="I62" i="10"/>
  <c r="G62" i="10"/>
  <c r="L59" i="10"/>
  <c r="G59" i="10"/>
  <c r="H59" i="10"/>
  <c r="J59" i="10"/>
  <c r="K59" i="10"/>
  <c r="M59" i="10"/>
  <c r="F59" i="10"/>
  <c r="T26" i="10"/>
  <c r="U25" i="10" s="1"/>
  <c r="I59" i="10"/>
  <c r="E31" i="10" l="1"/>
  <c r="E32" i="10"/>
  <c r="E30" i="10"/>
  <c r="U23" i="10"/>
  <c r="U24" i="10"/>
  <c r="E27" i="10" l="1"/>
  <c r="E28" i="10"/>
  <c r="E26" i="10"/>
  <c r="E23" i="10"/>
  <c r="E24" i="10"/>
  <c r="E22" i="10"/>
  <c r="M27" i="10" l="1"/>
  <c r="H27" i="10"/>
  <c r="F27" i="10"/>
  <c r="J27" i="10"/>
  <c r="K27" i="10"/>
  <c r="G27" i="10"/>
  <c r="L27" i="10"/>
  <c r="I27" i="10"/>
  <c r="M28" i="10"/>
  <c r="K28" i="10"/>
  <c r="I28" i="10"/>
  <c r="L28" i="10"/>
  <c r="H28" i="10"/>
  <c r="J28" i="10"/>
  <c r="F28" i="10"/>
  <c r="G28" i="10"/>
  <c r="F26" i="10"/>
  <c r="M26" i="10"/>
  <c r="I26" i="10"/>
  <c r="H26" i="10"/>
  <c r="K26" i="10"/>
  <c r="J26" i="10"/>
  <c r="L26" i="10"/>
  <c r="G26" i="10"/>
  <c r="E36" i="10"/>
  <c r="E34" i="10"/>
  <c r="E35" i="10"/>
  <c r="E37" i="10" l="1"/>
  <c r="I19" i="6"/>
  <c r="G14" i="6" l="1"/>
  <c r="G15" i="6" s="1"/>
  <c r="E15" i="6" l="1"/>
  <c r="F14" i="6"/>
  <c r="F15" i="6" s="1"/>
  <c r="D15" i="6"/>
  <c r="C15" i="6"/>
  <c r="K15" i="6" l="1"/>
  <c r="F7" i="9" s="1"/>
  <c r="K6" i="9" l="1"/>
  <c r="J6" i="9"/>
  <c r="I6" i="9"/>
  <c r="H6" i="9"/>
  <c r="F6" i="9"/>
  <c r="E6" i="9"/>
  <c r="G6" i="9"/>
  <c r="D6" i="9"/>
  <c r="H54" i="10"/>
  <c r="J7" i="9"/>
  <c r="L54" i="10" s="1"/>
  <c r="I7" i="9"/>
  <c r="K54" i="10" s="1"/>
  <c r="H7" i="9"/>
  <c r="J54" i="10" s="1"/>
  <c r="D7" i="9"/>
  <c r="F54" i="10" s="1"/>
  <c r="E7" i="9"/>
  <c r="G7" i="9"/>
  <c r="I54" i="10" s="1"/>
  <c r="H39" i="10"/>
  <c r="H6" i="10"/>
  <c r="F19" i="6"/>
  <c r="H75" i="10" l="1"/>
  <c r="G54" i="10"/>
  <c r="I39" i="10"/>
  <c r="I75" i="10" s="1"/>
  <c r="I6" i="10"/>
  <c r="L6" i="9"/>
  <c r="J39" i="10"/>
  <c r="J75" i="10" s="1"/>
  <c r="J6" i="10"/>
  <c r="G39" i="10"/>
  <c r="G6" i="10"/>
  <c r="L39" i="10"/>
  <c r="L75" i="10" s="1"/>
  <c r="L6" i="10"/>
  <c r="K39" i="10"/>
  <c r="K75" i="10" s="1"/>
  <c r="K6" i="10"/>
  <c r="L7" i="9"/>
  <c r="F39" i="10"/>
  <c r="F75" i="10" s="1"/>
  <c r="F6" i="10"/>
  <c r="E19" i="6"/>
  <c r="C19" i="6"/>
  <c r="D19" i="6"/>
  <c r="G75" i="10" l="1"/>
  <c r="H19" i="6"/>
  <c r="K19" i="6" l="1"/>
  <c r="I10" i="9" s="1"/>
  <c r="I9" i="9" l="1"/>
  <c r="I11" i="9"/>
  <c r="K56" i="10" s="1"/>
  <c r="F8" i="9"/>
  <c r="H8" i="9"/>
  <c r="I8" i="9"/>
  <c r="J8" i="9"/>
  <c r="K8" i="9"/>
  <c r="D8" i="9"/>
  <c r="E8" i="9"/>
  <c r="G8" i="9"/>
  <c r="K7" i="10"/>
  <c r="K10" i="9"/>
  <c r="K40" i="10"/>
  <c r="K55" i="10"/>
  <c r="J11" i="9"/>
  <c r="J9" i="9"/>
  <c r="J10" i="9"/>
  <c r="G11" i="9"/>
  <c r="H11" i="9"/>
  <c r="H10" i="9"/>
  <c r="D11" i="9"/>
  <c r="F10" i="9"/>
  <c r="E9" i="9"/>
  <c r="F9" i="9"/>
  <c r="G9" i="9"/>
  <c r="G10" i="9"/>
  <c r="E11" i="9"/>
  <c r="D9" i="9"/>
  <c r="F11" i="9"/>
  <c r="H9" i="9"/>
  <c r="E10" i="9"/>
  <c r="D10" i="9"/>
  <c r="K8" i="10" l="1"/>
  <c r="I28" i="9" s="1"/>
  <c r="K17" i="10" s="1"/>
  <c r="K19" i="10" s="1"/>
  <c r="I12" i="9"/>
  <c r="K41" i="10"/>
  <c r="K76" i="10" s="1"/>
  <c r="F12" i="9"/>
  <c r="H41" i="10"/>
  <c r="H8" i="10"/>
  <c r="H56" i="10"/>
  <c r="M40" i="10"/>
  <c r="M7" i="10"/>
  <c r="M55" i="10"/>
  <c r="I7" i="10"/>
  <c r="H7" i="10"/>
  <c r="D12" i="9"/>
  <c r="F41" i="10"/>
  <c r="F8" i="10"/>
  <c r="F56" i="10"/>
  <c r="E12" i="9"/>
  <c r="G41" i="10"/>
  <c r="G8" i="10"/>
  <c r="G56" i="10"/>
  <c r="J7" i="10"/>
  <c r="H12" i="9"/>
  <c r="J41" i="10"/>
  <c r="J8" i="10"/>
  <c r="J56" i="10"/>
  <c r="G12" i="9"/>
  <c r="I41" i="10"/>
  <c r="I8" i="10"/>
  <c r="I56" i="10"/>
  <c r="L7" i="10"/>
  <c r="G7" i="10"/>
  <c r="J12" i="9"/>
  <c r="L41" i="10"/>
  <c r="L8" i="10"/>
  <c r="L56" i="10"/>
  <c r="L11" i="9"/>
  <c r="F40" i="10"/>
  <c r="F7" i="10"/>
  <c r="K61" i="10"/>
  <c r="I29" i="9" s="1"/>
  <c r="H40" i="10"/>
  <c r="L55" i="10"/>
  <c r="H55" i="10"/>
  <c r="L10" i="9"/>
  <c r="F55" i="10"/>
  <c r="G55" i="10"/>
  <c r="J55" i="10"/>
  <c r="J40" i="10"/>
  <c r="I40" i="10"/>
  <c r="L8" i="9"/>
  <c r="L9" i="9"/>
  <c r="I55" i="10"/>
  <c r="L40" i="10"/>
  <c r="G40" i="10"/>
  <c r="I76" i="10" l="1"/>
  <c r="J76" i="10"/>
  <c r="M76" i="10"/>
  <c r="H76" i="10"/>
  <c r="G76" i="10"/>
  <c r="L76" i="10"/>
  <c r="F76" i="10"/>
  <c r="K28" i="9"/>
  <c r="F28" i="9"/>
  <c r="H28" i="9"/>
  <c r="D28" i="9"/>
  <c r="F71" i="10" s="1"/>
  <c r="L12" i="9"/>
  <c r="J28" i="9"/>
  <c r="L17" i="10" s="1"/>
  <c r="L19" i="10" s="1"/>
  <c r="G28" i="9"/>
  <c r="I17" i="10" s="1"/>
  <c r="I19" i="10" s="1"/>
  <c r="K71" i="10"/>
  <c r="K50" i="10"/>
  <c r="K48" i="10"/>
  <c r="K77" i="10" s="1"/>
  <c r="E28" i="9"/>
  <c r="K24" i="10"/>
  <c r="K22" i="10"/>
  <c r="K23" i="10"/>
  <c r="M61" i="10"/>
  <c r="K29" i="9" s="1"/>
  <c r="F61" i="10"/>
  <c r="D29" i="9" s="1"/>
  <c r="L61" i="10"/>
  <c r="J29" i="9" s="1"/>
  <c r="J61" i="10"/>
  <c r="H29" i="9" s="1"/>
  <c r="H61" i="10"/>
  <c r="F29" i="9" s="1"/>
  <c r="M17" i="10" l="1"/>
  <c r="M19" i="10" s="1"/>
  <c r="M48" i="10"/>
  <c r="M77" i="10" s="1"/>
  <c r="M24" i="10"/>
  <c r="M22" i="10"/>
  <c r="M71" i="10"/>
  <c r="M73" i="10" s="1"/>
  <c r="M23" i="10"/>
  <c r="M50" i="10"/>
  <c r="G17" i="10"/>
  <c r="G19" i="10" s="1"/>
  <c r="H71" i="10"/>
  <c r="H17" i="10"/>
  <c r="H19" i="10" s="1"/>
  <c r="H50" i="10"/>
  <c r="J17" i="10"/>
  <c r="J19" i="10" s="1"/>
  <c r="J50" i="10"/>
  <c r="J71" i="10"/>
  <c r="F50" i="10"/>
  <c r="F73" i="10"/>
  <c r="E7" i="12" s="1"/>
  <c r="F48" i="10"/>
  <c r="F77" i="10" s="1"/>
  <c r="F17" i="10"/>
  <c r="F19" i="10" s="1"/>
  <c r="G48" i="10"/>
  <c r="K52" i="10"/>
  <c r="G71" i="10"/>
  <c r="G50" i="10"/>
  <c r="I71" i="10"/>
  <c r="I50" i="10"/>
  <c r="K73" i="10"/>
  <c r="L71" i="10"/>
  <c r="L50" i="10"/>
  <c r="I61" i="10"/>
  <c r="G29" i="9" s="1"/>
  <c r="G61" i="10"/>
  <c r="H48" i="10"/>
  <c r="H77" i="10" s="1"/>
  <c r="I48" i="10"/>
  <c r="J48" i="10"/>
  <c r="J77" i="10" s="1"/>
  <c r="L24" i="10"/>
  <c r="L22" i="10"/>
  <c r="L23" i="10"/>
  <c r="J24" i="10"/>
  <c r="J22" i="10"/>
  <c r="J23" i="10"/>
  <c r="L28" i="9"/>
  <c r="H22" i="10"/>
  <c r="H23" i="10"/>
  <c r="H24" i="10"/>
  <c r="I24" i="10"/>
  <c r="I22" i="10"/>
  <c r="I23" i="10"/>
  <c r="G22" i="10"/>
  <c r="G23" i="10"/>
  <c r="G24" i="10"/>
  <c r="L48" i="10"/>
  <c r="L77" i="10" s="1"/>
  <c r="F23" i="10"/>
  <c r="F24" i="10"/>
  <c r="F22" i="10"/>
  <c r="I77" i="10" l="1"/>
  <c r="E10" i="15"/>
  <c r="G77" i="10"/>
  <c r="M52" i="10"/>
  <c r="M16" i="12" s="1"/>
  <c r="E29" i="9"/>
  <c r="H73" i="10"/>
  <c r="H25" i="12" s="1"/>
  <c r="H52" i="10"/>
  <c r="J73" i="10"/>
  <c r="J25" i="12" s="1"/>
  <c r="E25" i="12"/>
  <c r="F52" i="10"/>
  <c r="J52" i="10"/>
  <c r="J16" i="12" s="1"/>
  <c r="I52" i="10"/>
  <c r="G52" i="10"/>
  <c r="K16" i="12"/>
  <c r="G73" i="10"/>
  <c r="L73" i="10"/>
  <c r="K7" i="12"/>
  <c r="K25" i="12"/>
  <c r="I73" i="10"/>
  <c r="M25" i="12"/>
  <c r="M7" i="12"/>
  <c r="E8" i="12"/>
  <c r="L52" i="10"/>
  <c r="L16" i="12" s="1"/>
  <c r="M10" i="15" l="1"/>
  <c r="K10" i="15"/>
  <c r="H7" i="12"/>
  <c r="K8" i="12"/>
  <c r="M8" i="12"/>
  <c r="H16" i="12"/>
  <c r="E16" i="12"/>
  <c r="J7" i="12"/>
  <c r="I16" i="12"/>
  <c r="G16" i="12"/>
  <c r="L7" i="12"/>
  <c r="L25" i="12"/>
  <c r="I7" i="12"/>
  <c r="I25" i="12"/>
  <c r="G7" i="12"/>
  <c r="G25" i="12"/>
  <c r="D25" i="12" s="1"/>
  <c r="L10" i="15" l="1"/>
  <c r="J10" i="15"/>
  <c r="I10" i="15"/>
  <c r="H10" i="15"/>
  <c r="G10" i="15"/>
  <c r="H8" i="12"/>
  <c r="D16" i="12"/>
  <c r="F7" i="12"/>
  <c r="D7" i="12"/>
  <c r="F16" i="12"/>
  <c r="I8" i="12"/>
  <c r="L8" i="12"/>
  <c r="J8" i="12"/>
  <c r="G8" i="12"/>
  <c r="F10" i="15" l="1"/>
  <c r="C7" i="12"/>
  <c r="F8" i="12"/>
  <c r="C8" i="12" s="1"/>
  <c r="C16" i="12"/>
  <c r="D8" i="12"/>
  <c r="D10" i="15" l="1"/>
  <c r="C10" i="15"/>
  <c r="P20" i="12"/>
  <c r="Q16" i="12"/>
  <c r="F32" i="10"/>
  <c r="F36" i="10" s="1"/>
  <c r="F31" i="10"/>
  <c r="F35" i="10" s="1"/>
  <c r="F63" i="10"/>
  <c r="F30" i="10"/>
  <c r="F34" i="10" s="1"/>
  <c r="F37" i="10" l="1"/>
  <c r="F66" i="10"/>
  <c r="E15" i="12" s="1"/>
  <c r="F94" i="10"/>
  <c r="E17" i="12"/>
  <c r="E18" i="12"/>
  <c r="E19" i="12"/>
  <c r="F90" i="10" l="1"/>
  <c r="F93" i="10"/>
  <c r="F80" i="10"/>
  <c r="F85" i="10" s="1"/>
  <c r="F82" i="10"/>
  <c r="F87" i="10" s="1"/>
  <c r="F83" i="10"/>
  <c r="F88" i="10" s="1"/>
  <c r="F81" i="10"/>
  <c r="F86" i="10" s="1"/>
  <c r="E20" i="12"/>
  <c r="E7" i="15" l="1"/>
  <c r="F98" i="10"/>
  <c r="F89" i="10"/>
  <c r="F91" i="10" s="1"/>
  <c r="F99" i="10"/>
  <c r="F97" i="10"/>
  <c r="F100" i="10"/>
  <c r="E26" i="12"/>
  <c r="F101" i="10" l="1"/>
  <c r="E29" i="12"/>
  <c r="L30" i="10"/>
  <c r="L34" i="10" s="1"/>
  <c r="J30" i="10"/>
  <c r="J34" i="10" s="1"/>
  <c r="I31" i="10"/>
  <c r="I35" i="10" s="1"/>
  <c r="L31" i="10"/>
  <c r="L35" i="10" s="1"/>
  <c r="K30" i="10"/>
  <c r="K34" i="10" s="1"/>
  <c r="M32" i="10"/>
  <c r="M36" i="10" s="1"/>
  <c r="H31" i="10"/>
  <c r="H35" i="10" s="1"/>
  <c r="M31" i="10"/>
  <c r="M35" i="10" s="1"/>
  <c r="I30" i="10"/>
  <c r="I34" i="10" s="1"/>
  <c r="J32" i="10"/>
  <c r="J36" i="10" s="1"/>
  <c r="J31" i="10"/>
  <c r="J35" i="10" s="1"/>
  <c r="I63" i="10"/>
  <c r="I32" i="10"/>
  <c r="I36" i="10" s="1"/>
  <c r="H30" i="10"/>
  <c r="H34" i="10" s="1"/>
  <c r="H32" i="10"/>
  <c r="H36" i="10" s="1"/>
  <c r="G31" i="10"/>
  <c r="L32" i="10"/>
  <c r="L36" i="10" s="1"/>
  <c r="L19" i="12" s="1"/>
  <c r="K31" i="10"/>
  <c r="K35" i="10" s="1"/>
  <c r="K32" i="10"/>
  <c r="K36" i="10" s="1"/>
  <c r="K19" i="12" s="1"/>
  <c r="M30" i="10"/>
  <c r="M34" i="10" s="1"/>
  <c r="G32" i="10"/>
  <c r="J63" i="10"/>
  <c r="H63" i="10"/>
  <c r="M63" i="10"/>
  <c r="K63" i="10"/>
  <c r="G30" i="10"/>
  <c r="L63" i="10"/>
  <c r="L29" i="9"/>
  <c r="G63" i="10"/>
  <c r="G94" i="10" s="1"/>
  <c r="I37" i="10" l="1"/>
  <c r="J37" i="10"/>
  <c r="L37" i="10"/>
  <c r="M37" i="10"/>
  <c r="H37" i="10"/>
  <c r="K37" i="10"/>
  <c r="I66" i="10"/>
  <c r="I15" i="12" s="1"/>
  <c r="I94" i="10"/>
  <c r="K66" i="10"/>
  <c r="K15" i="12" s="1"/>
  <c r="K94" i="10"/>
  <c r="J66" i="10"/>
  <c r="J15" i="12" s="1"/>
  <c r="J94" i="10"/>
  <c r="L66" i="10"/>
  <c r="L15" i="12" s="1"/>
  <c r="L94" i="10"/>
  <c r="M66" i="10"/>
  <c r="M15" i="12" s="1"/>
  <c r="M94" i="10"/>
  <c r="H66" i="10"/>
  <c r="H15" i="12" s="1"/>
  <c r="H94" i="10"/>
  <c r="G35" i="10"/>
  <c r="G18" i="12" s="1"/>
  <c r="G36" i="10"/>
  <c r="G34" i="10"/>
  <c r="G17" i="12" s="1"/>
  <c r="M17" i="12"/>
  <c r="G66" i="10"/>
  <c r="K18" i="12"/>
  <c r="H17" i="12"/>
  <c r="I19" i="12"/>
  <c r="H19" i="12"/>
  <c r="J19" i="12"/>
  <c r="I17" i="12"/>
  <c r="M18" i="12"/>
  <c r="H18" i="12"/>
  <c r="J18" i="12"/>
  <c r="L18" i="12"/>
  <c r="I18" i="12"/>
  <c r="M19" i="12"/>
  <c r="J17" i="12"/>
  <c r="K17" i="12"/>
  <c r="L17" i="12"/>
  <c r="K90" i="10" l="1"/>
  <c r="I90" i="10"/>
  <c r="M90" i="10"/>
  <c r="L90" i="10"/>
  <c r="H90" i="10"/>
  <c r="J90" i="10"/>
  <c r="G37" i="10"/>
  <c r="G90" i="10" s="1"/>
  <c r="G19" i="12"/>
  <c r="H81" i="10"/>
  <c r="H86" i="10" s="1"/>
  <c r="H83" i="10"/>
  <c r="H88" i="10" s="1"/>
  <c r="H93" i="10"/>
  <c r="H82" i="10"/>
  <c r="H87" i="10" s="1"/>
  <c r="H80" i="10"/>
  <c r="H85" i="10" s="1"/>
  <c r="M93" i="10"/>
  <c r="M81" i="10"/>
  <c r="M86" i="10" s="1"/>
  <c r="M83" i="10"/>
  <c r="M88" i="10" s="1"/>
  <c r="M82" i="10"/>
  <c r="M87" i="10" s="1"/>
  <c r="M80" i="10"/>
  <c r="M85" i="10" s="1"/>
  <c r="J83" i="10"/>
  <c r="J88" i="10" s="1"/>
  <c r="J82" i="10"/>
  <c r="J87" i="10" s="1"/>
  <c r="J93" i="10"/>
  <c r="J81" i="10"/>
  <c r="J86" i="10" s="1"/>
  <c r="J80" i="10"/>
  <c r="J85" i="10" s="1"/>
  <c r="I93" i="10"/>
  <c r="I80" i="10"/>
  <c r="I85" i="10" s="1"/>
  <c r="I81" i="10"/>
  <c r="I86" i="10" s="1"/>
  <c r="I82" i="10"/>
  <c r="I87" i="10" s="1"/>
  <c r="I83" i="10"/>
  <c r="I88" i="10" s="1"/>
  <c r="L93" i="10"/>
  <c r="L81" i="10"/>
  <c r="L86" i="10" s="1"/>
  <c r="L80" i="10"/>
  <c r="L85" i="10" s="1"/>
  <c r="L83" i="10"/>
  <c r="L88" i="10" s="1"/>
  <c r="L82" i="10"/>
  <c r="L87" i="10" s="1"/>
  <c r="K82" i="10"/>
  <c r="K87" i="10" s="1"/>
  <c r="K83" i="10"/>
  <c r="K88" i="10" s="1"/>
  <c r="K93" i="10"/>
  <c r="K81" i="10"/>
  <c r="K86" i="10" s="1"/>
  <c r="K80" i="10"/>
  <c r="K85" i="10" s="1"/>
  <c r="G15" i="12"/>
  <c r="D18" i="12"/>
  <c r="D17" i="12"/>
  <c r="F18" i="12"/>
  <c r="C18" i="12" s="1"/>
  <c r="F17" i="12"/>
  <c r="L20" i="12"/>
  <c r="I20" i="12"/>
  <c r="J20" i="12"/>
  <c r="M20" i="12"/>
  <c r="H20" i="12"/>
  <c r="K20" i="12"/>
  <c r="K7" i="15" l="1"/>
  <c r="M7" i="15"/>
  <c r="J7" i="15"/>
  <c r="I7" i="15"/>
  <c r="H7" i="15"/>
  <c r="L7" i="15"/>
  <c r="D19" i="12"/>
  <c r="Q18" i="12"/>
  <c r="I97" i="10"/>
  <c r="F19" i="12"/>
  <c r="C19" i="12" s="1"/>
  <c r="G20" i="12"/>
  <c r="H97" i="10"/>
  <c r="J97" i="10"/>
  <c r="M97" i="10"/>
  <c r="K97" i="10"/>
  <c r="H99" i="10"/>
  <c r="L100" i="10"/>
  <c r="J99" i="10"/>
  <c r="L99" i="10"/>
  <c r="M98" i="10"/>
  <c r="L98" i="10"/>
  <c r="K98" i="10"/>
  <c r="J100" i="10"/>
  <c r="L97" i="10"/>
  <c r="K99" i="10"/>
  <c r="I100" i="10"/>
  <c r="M99" i="10"/>
  <c r="I99" i="10"/>
  <c r="M100" i="10"/>
  <c r="I98" i="10"/>
  <c r="H100" i="10"/>
  <c r="J98" i="10"/>
  <c r="K100" i="10"/>
  <c r="H98" i="10"/>
  <c r="J89" i="10"/>
  <c r="J91" i="10" s="1"/>
  <c r="K89" i="10"/>
  <c r="K91" i="10" s="1"/>
  <c r="H89" i="10"/>
  <c r="H91" i="10" s="1"/>
  <c r="M89" i="10"/>
  <c r="M91" i="10" s="1"/>
  <c r="L89" i="10"/>
  <c r="L91" i="10" s="1"/>
  <c r="G82" i="10"/>
  <c r="G87" i="10" s="1"/>
  <c r="G80" i="10"/>
  <c r="G85" i="10" s="1"/>
  <c r="G83" i="10"/>
  <c r="G88" i="10" s="1"/>
  <c r="G81" i="10"/>
  <c r="G86" i="10" s="1"/>
  <c r="G93" i="10"/>
  <c r="I89" i="10"/>
  <c r="I91" i="10" s="1"/>
  <c r="F15" i="12"/>
  <c r="C15" i="12" s="1"/>
  <c r="Q15" i="12" s="1"/>
  <c r="D15" i="12"/>
  <c r="M26" i="12"/>
  <c r="M29" i="12" s="1"/>
  <c r="I26" i="12"/>
  <c r="I29" i="12" s="1"/>
  <c r="C17" i="12"/>
  <c r="L26" i="12"/>
  <c r="L29" i="12" s="1"/>
  <c r="J26" i="12"/>
  <c r="J29" i="12" s="1"/>
  <c r="K26" i="12"/>
  <c r="K29" i="12" s="1"/>
  <c r="H26" i="12"/>
  <c r="H29" i="12" s="1"/>
  <c r="G7" i="15" l="1"/>
  <c r="D20" i="12"/>
  <c r="Q19" i="12"/>
  <c r="Q17" i="12"/>
  <c r="G26" i="12"/>
  <c r="G29" i="12" s="1"/>
  <c r="L101" i="10"/>
  <c r="H101" i="10"/>
  <c r="M101" i="10"/>
  <c r="K101" i="10"/>
  <c r="J101" i="10"/>
  <c r="I101" i="10"/>
  <c r="G98" i="10"/>
  <c r="G97" i="10"/>
  <c r="G99" i="10"/>
  <c r="G100" i="10"/>
  <c r="G89" i="10"/>
  <c r="G91" i="10" s="1"/>
  <c r="F20" i="12"/>
  <c r="F7" i="15" l="1"/>
  <c r="C7" i="15" s="1"/>
  <c r="D26" i="12"/>
  <c r="D29" i="12" s="1"/>
  <c r="E100" i="10"/>
  <c r="O100" i="10"/>
  <c r="E99" i="10"/>
  <c r="O99" i="10"/>
  <c r="E98" i="10"/>
  <c r="O98" i="10"/>
  <c r="E97" i="10"/>
  <c r="O97" i="10"/>
  <c r="G101" i="10"/>
  <c r="C20" i="12"/>
  <c r="C10" i="12" s="1"/>
  <c r="D7" i="15" l="1"/>
  <c r="Q20" i="12"/>
  <c r="R20" i="12" s="1"/>
  <c r="E101" i="10"/>
  <c r="O101" i="10"/>
  <c r="M11" i="12"/>
  <c r="C26" i="12"/>
  <c r="C29" i="12" s="1"/>
  <c r="M9" i="15" l="1"/>
  <c r="M11" i="15" s="1"/>
  <c r="D11" i="12"/>
  <c r="D12" i="12" s="1"/>
  <c r="D22" i="12" s="1"/>
  <c r="F11" i="12"/>
  <c r="K11" i="12"/>
  <c r="G11" i="12"/>
  <c r="E11" i="12"/>
  <c r="J11" i="12"/>
  <c r="L11" i="12"/>
  <c r="I11" i="12"/>
  <c r="H11" i="12"/>
  <c r="M12" i="12"/>
  <c r="M13" i="15" l="1"/>
  <c r="M14" i="15" s="1"/>
  <c r="H9" i="15"/>
  <c r="I9" i="15"/>
  <c r="I11" i="15" s="1"/>
  <c r="I13" i="15" s="1"/>
  <c r="L9" i="15"/>
  <c r="L11" i="15" s="1"/>
  <c r="J9" i="15"/>
  <c r="G9" i="15"/>
  <c r="G11" i="15" s="1"/>
  <c r="K9" i="15"/>
  <c r="K11" i="15" s="1"/>
  <c r="F9" i="15"/>
  <c r="E9" i="15"/>
  <c r="E11" i="15" s="1"/>
  <c r="E13" i="15" s="1"/>
  <c r="H12" i="12"/>
  <c r="E12" i="12"/>
  <c r="J12" i="12"/>
  <c r="J22" i="12" s="1"/>
  <c r="F12" i="12"/>
  <c r="L12" i="12"/>
  <c r="L22" i="12" s="1"/>
  <c r="K12" i="12"/>
  <c r="K22" i="12" s="1"/>
  <c r="G12" i="12"/>
  <c r="I12" i="12"/>
  <c r="C11" i="12"/>
  <c r="M22" i="12"/>
  <c r="M17" i="15" l="1"/>
  <c r="M21" i="15" s="1"/>
  <c r="M15" i="15"/>
  <c r="L13" i="15"/>
  <c r="L14" i="15" s="1"/>
  <c r="L15" i="15" s="1"/>
  <c r="K13" i="15"/>
  <c r="K14" i="15" s="1"/>
  <c r="I14" i="15"/>
  <c r="C9" i="15"/>
  <c r="G13" i="15"/>
  <c r="G14" i="15" s="1"/>
  <c r="D9" i="15"/>
  <c r="E14" i="15"/>
  <c r="H22" i="12"/>
  <c r="E22" i="12"/>
  <c r="J11" i="15"/>
  <c r="H11" i="15"/>
  <c r="F11" i="15"/>
  <c r="G22" i="12"/>
  <c r="F22" i="12"/>
  <c r="I22" i="12"/>
  <c r="C12" i="12"/>
  <c r="C22" i="12" s="1"/>
  <c r="M18" i="15" l="1"/>
  <c r="M19" i="15" s="1"/>
  <c r="K15" i="15"/>
  <c r="K17" i="15"/>
  <c r="K18" i="15" s="1"/>
  <c r="K19" i="15" s="1"/>
  <c r="J13" i="15"/>
  <c r="J14" i="15" s="1"/>
  <c r="F13" i="15"/>
  <c r="F14" i="15" s="1"/>
  <c r="I15" i="15"/>
  <c r="I17" i="15"/>
  <c r="I21" i="15" s="1"/>
  <c r="E15" i="15"/>
  <c r="H13" i="15"/>
  <c r="H14" i="15" s="1"/>
  <c r="G17" i="15"/>
  <c r="G21" i="15" s="1"/>
  <c r="G15" i="15"/>
  <c r="E17" i="15"/>
  <c r="E18" i="15" s="1"/>
  <c r="C11" i="15"/>
  <c r="D11" i="15"/>
  <c r="D13" i="15" s="1"/>
  <c r="K21" i="15" l="1"/>
  <c r="G18" i="15"/>
  <c r="G19" i="15" s="1"/>
  <c r="J15" i="15"/>
  <c r="J17" i="15"/>
  <c r="J18" i="15" s="1"/>
  <c r="F15" i="15"/>
  <c r="F17" i="15"/>
  <c r="F21" i="15" s="1"/>
  <c r="C14" i="15"/>
  <c r="D14" i="15"/>
  <c r="I18" i="15"/>
  <c r="I19" i="15" s="1"/>
  <c r="H17" i="15"/>
  <c r="H21" i="15" s="1"/>
  <c r="H15" i="15"/>
  <c r="E19" i="15"/>
  <c r="E21" i="15"/>
  <c r="C15" i="15" l="1"/>
  <c r="L16" i="15" s="1"/>
  <c r="C16" i="15" s="1"/>
  <c r="J21" i="15"/>
  <c r="D17" i="15"/>
  <c r="D21" i="15" s="1"/>
  <c r="F18" i="15"/>
  <c r="D18" i="15" s="1"/>
  <c r="H18" i="15"/>
  <c r="H19" i="15" s="1"/>
  <c r="D15" i="15"/>
  <c r="J19" i="15"/>
  <c r="F19" i="15" l="1"/>
  <c r="L17" i="15"/>
  <c r="C17" i="15" s="1"/>
  <c r="D19" i="15"/>
  <c r="C21" i="15" l="1"/>
  <c r="L21" i="15"/>
  <c r="L18" i="15"/>
  <c r="C18" i="15" s="1"/>
  <c r="C19" i="15" s="1"/>
  <c r="L19" i="15" l="1"/>
</calcChain>
</file>

<file path=xl/sharedStrings.xml><?xml version="1.0" encoding="utf-8"?>
<sst xmlns="http://schemas.openxmlformats.org/spreadsheetml/2006/main" count="451" uniqueCount="282">
  <si>
    <t>Depreciation Expense</t>
  </si>
  <si>
    <t>Corporate Shared Services</t>
  </si>
  <si>
    <t>Other</t>
  </si>
  <si>
    <t>Return on Deemed Equity</t>
  </si>
  <si>
    <t>Income Taxes (Grossed up)</t>
  </si>
  <si>
    <t>Deemed Interest Expense</t>
  </si>
  <si>
    <t xml:space="preserve">Service Revenue Requirement </t>
  </si>
  <si>
    <t>Rate Base ($)</t>
  </si>
  <si>
    <t>Late Payment Charge               </t>
  </si>
  <si>
    <t>Collection &amp; NSF Fees             </t>
  </si>
  <si>
    <t>Connection Fees                   </t>
  </si>
  <si>
    <t>Bank Interest</t>
  </si>
  <si>
    <t>Miscellaneous Revenue             </t>
  </si>
  <si>
    <t>Revenue Requirement calculated in this model ($)</t>
  </si>
  <si>
    <t>Rate Base calculated in this model ($)</t>
  </si>
  <si>
    <t>Average Gross Value</t>
  </si>
  <si>
    <t>Net Book Value</t>
  </si>
  <si>
    <t>Refunctionalize Contributions</t>
  </si>
  <si>
    <t>Net Book Value net of Contributions</t>
  </si>
  <si>
    <t>Depreciation net of Contributions</t>
  </si>
  <si>
    <t>Total</t>
  </si>
  <si>
    <t>Check</t>
  </si>
  <si>
    <t>From Trial Balance</t>
  </si>
  <si>
    <t>Gas Supply</t>
  </si>
  <si>
    <t xml:space="preserve"> </t>
  </si>
  <si>
    <t>Bad Debt/</t>
  </si>
  <si>
    <t>Direct Assignment to IGPC</t>
  </si>
  <si>
    <t>Other/Direct</t>
  </si>
  <si>
    <t>Ancillary</t>
  </si>
  <si>
    <t>Mains</t>
  </si>
  <si>
    <t>Services</t>
  </si>
  <si>
    <t>Meters</t>
  </si>
  <si>
    <t>Promotion</t>
  </si>
  <si>
    <t>Collection</t>
  </si>
  <si>
    <t xml:space="preserve">A&amp;G  </t>
  </si>
  <si>
    <t>Assignment</t>
  </si>
  <si>
    <t>Contractor Costs</t>
  </si>
  <si>
    <t>Meter Reads</t>
  </si>
  <si>
    <t>Mains &amp; Service Installation</t>
  </si>
  <si>
    <t>Mapping / Engagement with other Utilities</t>
  </si>
  <si>
    <t>Locates</t>
  </si>
  <si>
    <t>Billing Software</t>
  </si>
  <si>
    <t>Engineering</t>
  </si>
  <si>
    <t>Printing</t>
  </si>
  <si>
    <t>Cost of Gas</t>
  </si>
  <si>
    <t>Property Taxes</t>
  </si>
  <si>
    <t>Distribution</t>
  </si>
  <si>
    <t>Depreciation</t>
  </si>
  <si>
    <t>Billing/ Accounting</t>
  </si>
  <si>
    <t>Bad Debt/Collection</t>
  </si>
  <si>
    <t>OM&amp;A</t>
  </si>
  <si>
    <t>Rate Base</t>
  </si>
  <si>
    <t>Other Revenues</t>
  </si>
  <si>
    <t>Cost of Capital</t>
  </si>
  <si>
    <t>Function</t>
  </si>
  <si>
    <t>Category</t>
  </si>
  <si>
    <t>Balance $</t>
  </si>
  <si>
    <t>R1 Residential</t>
  </si>
  <si>
    <t>R1 Industrial</t>
  </si>
  <si>
    <t>R1 Commercial</t>
  </si>
  <si>
    <t>R2 Seasonal</t>
  </si>
  <si>
    <t>R3</t>
  </si>
  <si>
    <t>R4</t>
  </si>
  <si>
    <t>R5</t>
  </si>
  <si>
    <t>R6</t>
  </si>
  <si>
    <t>Total Volumes</t>
  </si>
  <si>
    <t>Customers</t>
  </si>
  <si>
    <t>CP per HDD</t>
  </si>
  <si>
    <t>NCP/Customer</t>
  </si>
  <si>
    <t>Peak Day HDD</t>
  </si>
  <si>
    <t>CP per customer</t>
  </si>
  <si>
    <t>CP Total</t>
  </si>
  <si>
    <t>NCP Total</t>
  </si>
  <si>
    <t>Billing and Collecting</t>
  </si>
  <si>
    <t>Security Deposits</t>
  </si>
  <si>
    <t>Delivery Commodity</t>
  </si>
  <si>
    <t>Delivery Demand</t>
  </si>
  <si>
    <t>Weighted Customer Services</t>
  </si>
  <si>
    <t>Weighted Customer Meters</t>
  </si>
  <si>
    <t>Weighted Customer Billing</t>
  </si>
  <si>
    <t>Unweighted Customer</t>
  </si>
  <si>
    <t>Bad Debt &amp; Collection</t>
  </si>
  <si>
    <t>Composite</t>
  </si>
  <si>
    <t>Coincident Peak</t>
  </si>
  <si>
    <t>Non-Coincident Peak</t>
  </si>
  <si>
    <t>CP</t>
  </si>
  <si>
    <t>NCP</t>
  </si>
  <si>
    <t>WCS</t>
  </si>
  <si>
    <t>WCM</t>
  </si>
  <si>
    <t>WCB</t>
  </si>
  <si>
    <t>UC</t>
  </si>
  <si>
    <t>BDC</t>
  </si>
  <si>
    <t>AvgCP-NCP</t>
  </si>
  <si>
    <t>Distribution Revenue</t>
  </si>
  <si>
    <t>DR</t>
  </si>
  <si>
    <t>Allocator</t>
  </si>
  <si>
    <t>A&amp;G-C</t>
  </si>
  <si>
    <t>A&amp;G-O</t>
  </si>
  <si>
    <t>Admin &amp; General - Capital</t>
  </si>
  <si>
    <t>Admin &amp; General - OM&amp;A</t>
  </si>
  <si>
    <t>Other Revenue</t>
  </si>
  <si>
    <t>Block 1</t>
  </si>
  <si>
    <t>Block 2</t>
  </si>
  <si>
    <t>Block 3</t>
  </si>
  <si>
    <t>Fixed</t>
  </si>
  <si>
    <t>Revenue at Current Rates</t>
  </si>
  <si>
    <t>Misc. Revenue</t>
  </si>
  <si>
    <t>Total Revenue at Current Rates</t>
  </si>
  <si>
    <t>Revenues at Status Quo Rates</t>
  </si>
  <si>
    <t>Deficiency Factor</t>
  </si>
  <si>
    <t>Revenue Requirement</t>
  </si>
  <si>
    <t>Total Revenue Requirement</t>
  </si>
  <si>
    <t>Revenues incl. Misc Revenues</t>
  </si>
  <si>
    <t>Revenue/Cost Ratio</t>
  </si>
  <si>
    <t>Volumes</t>
  </si>
  <si>
    <t>Rates</t>
  </si>
  <si>
    <t>Revenues</t>
  </si>
  <si>
    <t>Measurement</t>
  </si>
  <si>
    <t>Demand</t>
  </si>
  <si>
    <t>Demand - Firm</t>
  </si>
  <si>
    <t>Transportation</t>
  </si>
  <si>
    <t>Net Total</t>
  </si>
  <si>
    <t>Bad Debt &amp; Collection excl. R6</t>
  </si>
  <si>
    <t>BDCxR6</t>
  </si>
  <si>
    <t>Gross Asset Value</t>
  </si>
  <si>
    <t>Distribution Revenues</t>
  </si>
  <si>
    <t>Includes LEAP and Property Taxes</t>
  </si>
  <si>
    <t>Direct Assignment to Residential</t>
  </si>
  <si>
    <t>MetRes</t>
  </si>
  <si>
    <t>Commercial Meters</t>
  </si>
  <si>
    <t>MetCom</t>
  </si>
  <si>
    <t>Residential Meters</t>
  </si>
  <si>
    <t>Asset Rate Base</t>
  </si>
  <si>
    <t>Working Capital COG Rate Base</t>
  </si>
  <si>
    <t>Working Capital OM&amp;A Rate Base</t>
  </si>
  <si>
    <t>Total Rate Base</t>
  </si>
  <si>
    <t>m3</t>
  </si>
  <si>
    <t>Assets</t>
  </si>
  <si>
    <t>m3xR6</t>
  </si>
  <si>
    <t>CPxR6</t>
  </si>
  <si>
    <t>NCPxR6</t>
  </si>
  <si>
    <t>AvgCp-NCPxR6</t>
  </si>
  <si>
    <t>Revenue</t>
  </si>
  <si>
    <t>Balance</t>
  </si>
  <si>
    <t>Fixed Revenue</t>
  </si>
  <si>
    <t>Total Revenue</t>
  </si>
  <si>
    <t>Variable Revenue</t>
  </si>
  <si>
    <t>Fixed %</t>
  </si>
  <si>
    <t>Variable %</t>
  </si>
  <si>
    <t>Volumes excl. R6</t>
  </si>
  <si>
    <t>Coincident Peak excl. R6</t>
  </si>
  <si>
    <t>Non-Coincident Peak excl. R6</t>
  </si>
  <si>
    <t>Delivery Demand excl. R6</t>
  </si>
  <si>
    <t>Administrative</t>
  </si>
  <si>
    <t>Customer Service</t>
  </si>
  <si>
    <t>Weighted - All</t>
  </si>
  <si>
    <t>Weighted - Commercial</t>
  </si>
  <si>
    <t>Employee Salaries</t>
  </si>
  <si>
    <t>Employee Benefits</t>
  </si>
  <si>
    <t>Capital Recoveries</t>
  </si>
  <si>
    <t>Operating Recoveries &amp; Burden</t>
  </si>
  <si>
    <t>Ontario Affiliate Services</t>
  </si>
  <si>
    <t>Contractors and Consultants</t>
  </si>
  <si>
    <t>Regulatory</t>
  </si>
  <si>
    <t>Legal</t>
  </si>
  <si>
    <t>Audit Fees</t>
  </si>
  <si>
    <t>Equipment, Rent &amp; Utilities</t>
  </si>
  <si>
    <t>Telecom &amp; IT Costs</t>
  </si>
  <si>
    <t>Office &amp; Postage</t>
  </si>
  <si>
    <t>Advertising</t>
  </si>
  <si>
    <t>Automotive</t>
  </si>
  <si>
    <t>Dues &amp; Fees</t>
  </si>
  <si>
    <t>Travel &amp; Entertainment</t>
  </si>
  <si>
    <t>Training</t>
  </si>
  <si>
    <t>Insurance</t>
  </si>
  <si>
    <t>Donations</t>
  </si>
  <si>
    <t>Municipal and Other Taxes</t>
  </si>
  <si>
    <t>Finance Costs</t>
  </si>
  <si>
    <t>Bank Fees</t>
  </si>
  <si>
    <t>Bad Debts</t>
  </si>
  <si>
    <t>IGPC O&amp;M</t>
  </si>
  <si>
    <t>LEAP</t>
  </si>
  <si>
    <t>Disallowed Cost</t>
  </si>
  <si>
    <t>Communication Equipment</t>
  </si>
  <si>
    <t>Computer Equipment</t>
  </si>
  <si>
    <t>Contributions - Mains - Metallic (IGPC)</t>
  </si>
  <si>
    <t>Contributions - Mains Plastic</t>
  </si>
  <si>
    <t>Contributions - Services Metal</t>
  </si>
  <si>
    <t>Contributions - Services Plastic</t>
  </si>
  <si>
    <t>Franchise &amp; Consents</t>
  </si>
  <si>
    <t>Furnishing / Office Equipment</t>
  </si>
  <si>
    <t>Land</t>
  </si>
  <si>
    <t>Mains - Metallic</t>
  </si>
  <si>
    <t>Mains - Metallic (IGPC)</t>
  </si>
  <si>
    <t>Mains - Plastic</t>
  </si>
  <si>
    <t>Measuring &amp; Regulating Equip</t>
  </si>
  <si>
    <t>Measuring &amp; Regulating Equip (IGPC)</t>
  </si>
  <si>
    <t>Meters - Commercial</t>
  </si>
  <si>
    <t>Meters - IGPC</t>
  </si>
  <si>
    <t>Meters - Residential</t>
  </si>
  <si>
    <t>Regulators</t>
  </si>
  <si>
    <t>Services - Plastic</t>
  </si>
  <si>
    <t>Software - Acquired</t>
  </si>
  <si>
    <t>Structures &amp; Improvements</t>
  </si>
  <si>
    <t>Tools and Work Equipment</t>
  </si>
  <si>
    <t>Vehicle - Heavy Work Equip</t>
  </si>
  <si>
    <t>Vehicles - Transportation Equip</t>
  </si>
  <si>
    <t>Accumulated Depreciation</t>
  </si>
  <si>
    <t>Customer Operations Management</t>
  </si>
  <si>
    <t>Gas Procurement Support</t>
  </si>
  <si>
    <t>Operations Engineering</t>
  </si>
  <si>
    <t>GIS Support</t>
  </si>
  <si>
    <t>Distribution Revenue Requirement</t>
  </si>
  <si>
    <t>v4 - Unmodified</t>
  </si>
  <si>
    <t>IGPC</t>
  </si>
  <si>
    <t>Weighted Customer Services excl. R6</t>
  </si>
  <si>
    <t>Weighted Customer Meters excl. R6</t>
  </si>
  <si>
    <t>Weighted Customer Billing excl. R6</t>
  </si>
  <si>
    <t>WCSxR6</t>
  </si>
  <si>
    <t>WCMxR6</t>
  </si>
  <si>
    <t>WCBxR6</t>
  </si>
  <si>
    <t>UCxR6</t>
  </si>
  <si>
    <t>Unweighted Customer excl. R6</t>
  </si>
  <si>
    <t>Delivery Demand Adj. R6</t>
  </si>
  <si>
    <t>AvgCp-NCPAdjR6</t>
  </si>
  <si>
    <t>Mains x R6</t>
  </si>
  <si>
    <t>Mains xR6</t>
  </si>
  <si>
    <t>Unweighted Customer Excl. R6</t>
  </si>
  <si>
    <t>Expense Category</t>
  </si>
  <si>
    <t>Test</t>
  </si>
  <si>
    <r>
      <t>Year</t>
    </r>
    <r>
      <rPr>
        <sz val="11"/>
        <color rgb="FF000000"/>
        <rFont val="Arial"/>
        <family val="2"/>
      </rPr>
      <t> </t>
    </r>
  </si>
  <si>
    <t>Information Services and Application Support </t>
  </si>
  <si>
    <t>Corporate Asset Usage</t>
  </si>
  <si>
    <t>Human Resources</t>
  </si>
  <si>
    <t>Finance, Treasury and Audit</t>
  </si>
  <si>
    <t>Supply Chain Management</t>
  </si>
  <si>
    <t>Legal Services, Health, Safety, Security and Environment</t>
  </si>
  <si>
    <t>Public and Government Affairs</t>
  </si>
  <si>
    <t>Board and Executive</t>
  </si>
  <si>
    <t>Incentive Compensation</t>
  </si>
  <si>
    <t>Total Corporate Service Costs</t>
  </si>
  <si>
    <t>Distribution Revenue excl. R6</t>
  </si>
  <si>
    <t>DRxR6</t>
  </si>
  <si>
    <t xml:space="preserve">Return on </t>
  </si>
  <si>
    <t>Capital and</t>
  </si>
  <si>
    <t>Income Taxes</t>
  </si>
  <si>
    <t>Avg. Volumes / Customer</t>
  </si>
  <si>
    <t>Revenues at Current Rates</t>
  </si>
  <si>
    <t>Misc. Revenues</t>
  </si>
  <si>
    <t>Adjusted Revenue to Cost Ratio</t>
  </si>
  <si>
    <t>Rebalanced Revenues</t>
  </si>
  <si>
    <t>R1 Total</t>
  </si>
  <si>
    <t>Adjusted R/C Ratio</t>
  </si>
  <si>
    <t>Rate Increase</t>
  </si>
  <si>
    <t>Min</t>
  </si>
  <si>
    <t>Max</t>
  </si>
  <si>
    <t>R1 General Service</t>
  </si>
  <si>
    <t>Customer</t>
  </si>
  <si>
    <t>Commodity</t>
  </si>
  <si>
    <t>Direct</t>
  </si>
  <si>
    <t>ROE/IT</t>
  </si>
  <si>
    <t>OM&amp;A + Depr.</t>
  </si>
  <si>
    <t>Subtotal</t>
  </si>
  <si>
    <t>Compsite</t>
  </si>
  <si>
    <t>OM&amp;A/Depr</t>
  </si>
  <si>
    <t>EB-2024-0130</t>
  </si>
  <si>
    <t>EPCOR Natural Gas Limited Parternship</t>
  </si>
  <si>
    <t>Cost Allocation Model</t>
  </si>
  <si>
    <t>Range of Reasonableness</t>
  </si>
  <si>
    <t>(R1 Com + R1 Ind)</t>
  </si>
  <si>
    <t>Rebalancing (Adjust to Range)</t>
  </si>
  <si>
    <t>Rebalancing (Revenue Neutrality)</t>
  </si>
  <si>
    <t>Dist. Revenues at Proposed Rates</t>
  </si>
  <si>
    <t>Revenues with Uniform Rate Increase</t>
  </si>
  <si>
    <t>Cost of Gas (Working Capital)</t>
  </si>
  <si>
    <t>OM&amp;A (Working Capital)</t>
  </si>
  <si>
    <t>Weighted Services</t>
  </si>
  <si>
    <t>Weighted B&amp;C</t>
  </si>
  <si>
    <t>Tier 1</t>
  </si>
  <si>
    <t>Tier 2</t>
  </si>
  <si>
    <t>Tier 3</t>
  </si>
  <si>
    <t>Total Revenues (including Misc.)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</si>
</sst>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_-;\-* #,##0_-;_-* &quot;-&quot;??_-;_-@_-"/>
    <numFmt numFmtId="168" formatCode="_-&quot;$&quot;* #,##0_-;\-&quot;$&quot;* #,##0_-;_-&quot;$&quot;* &quot;-&quot;??_-;_-@_-"/>
    <numFmt numFmtId="169" formatCode="0.0_)"/>
    <numFmt numFmtId="170" formatCode="0.0%"/>
    <numFmt numFmtId="171" formatCode="0.000000"/>
    <numFmt numFmtId="172" formatCode="_-* #,##0.000_-;\-* #,##0.000_-;_-* &quot;-&quot;??_-;_-@_-"/>
    <numFmt numFmtId="173" formatCode="_-* #,##0_-;\-* #,##0_-;_-* &quot;-&quot;???_-;_-@_-"/>
    <numFmt numFmtId="174" formatCode="#,##0,"/>
    <numFmt numFmtId="175" formatCode="_-&quot;$&quot;* #,##0.000000_-;\-&quot;$&quot;* #,##0.000000_-;_-&quot;$&quot;* &quot;-&quot;??_-;_-@_-"/>
    <numFmt numFmtId="176" formatCode="&quot;$&quot;#,##0.00_);[Red]\(&quot;$&quot;#,##0.00\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name val="Aptos Narrow"/>
      <family val="2"/>
      <scheme val="minor"/>
    </font>
    <font>
      <b/>
      <sz val="11"/>
      <name val="Arial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name val="Aptos Narrow"/>
      <family val="2"/>
      <scheme val="minor"/>
    </font>
    <font>
      <b/>
      <i/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8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165" fontId="1" fillId="0" borderId="0" applyFont="0" applyFill="0" applyBorder="0" applyAlignment="0" applyProtection="0"/>
    <xf numFmtId="0" fontId="4" fillId="2" borderId="1" applyNumberFormat="0">
      <alignment horizontal="center" vertical="center" wrapText="1"/>
    </xf>
    <xf numFmtId="44" fontId="1" fillId="0" borderId="0" applyFont="0" applyFill="0" applyBorder="0" applyAlignment="0" applyProtection="0"/>
  </cellStyleXfs>
  <cellXfs count="390">
    <xf numFmtId="0" fontId="0" fillId="0" borderId="0" xfId="0"/>
    <xf numFmtId="0" fontId="0" fillId="0" borderId="7" xfId="0" applyBorder="1"/>
    <xf numFmtId="43" fontId="0" fillId="0" borderId="0" xfId="0" applyNumberFormat="1"/>
    <xf numFmtId="0" fontId="0" fillId="0" borderId="10" xfId="0" applyBorder="1"/>
    <xf numFmtId="0" fontId="0" fillId="0" borderId="12" xfId="0" applyBorder="1"/>
    <xf numFmtId="0" fontId="0" fillId="0" borderId="0" xfId="0" applyAlignment="1">
      <alignment horizontal="center" vertical="center" wrapText="1"/>
    </xf>
    <xf numFmtId="167" fontId="3" fillId="0" borderId="11" xfId="0" applyNumberFormat="1" applyFont="1" applyBorder="1"/>
    <xf numFmtId="0" fontId="7" fillId="0" borderId="0" xfId="0" applyFont="1"/>
    <xf numFmtId="0" fontId="6" fillId="0" borderId="0" xfId="0" applyFont="1"/>
    <xf numFmtId="167" fontId="6" fillId="0" borderId="0" xfId="1" applyNumberFormat="1" applyFont="1" applyFill="1"/>
    <xf numFmtId="164" fontId="8" fillId="0" borderId="2" xfId="1" applyNumberFormat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vertical="center" wrapText="1"/>
    </xf>
    <xf numFmtId="164" fontId="8" fillId="0" borderId="5" xfId="1" applyNumberFormat="1" applyFont="1" applyFill="1" applyBorder="1" applyAlignment="1">
      <alignment vertical="center" wrapText="1"/>
    </xf>
    <xf numFmtId="0" fontId="8" fillId="0" borderId="3" xfId="3" applyFont="1" applyBorder="1" applyAlignment="1" applyProtection="1">
      <alignment horizontal="center" vertical="center"/>
      <protection locked="0"/>
    </xf>
    <xf numFmtId="0" fontId="8" fillId="0" borderId="3" xfId="3" applyFont="1" applyBorder="1" applyAlignment="1" applyProtection="1">
      <alignment vertical="center" wrapText="1"/>
      <protection locked="0"/>
    </xf>
    <xf numFmtId="0" fontId="8" fillId="0" borderId="1" xfId="3" applyFont="1" applyBorder="1" applyAlignment="1" applyProtection="1">
      <alignment horizontal="center" vertical="center"/>
      <protection locked="0"/>
    </xf>
    <xf numFmtId="0" fontId="8" fillId="0" borderId="1" xfId="3" applyFont="1" applyBorder="1" applyAlignment="1" applyProtection="1">
      <alignment vertical="center" wrapText="1"/>
      <protection locked="0"/>
    </xf>
    <xf numFmtId="0" fontId="8" fillId="0" borderId="6" xfId="3" applyFont="1" applyBorder="1" applyAlignment="1" applyProtection="1">
      <alignment horizontal="center" vertical="center"/>
      <protection locked="0"/>
    </xf>
    <xf numFmtId="0" fontId="8" fillId="0" borderId="6" xfId="3" applyFont="1" applyBorder="1" applyAlignment="1" applyProtection="1">
      <alignment vertical="center" wrapText="1"/>
      <protection locked="0"/>
    </xf>
    <xf numFmtId="0" fontId="6" fillId="0" borderId="7" xfId="0" applyFont="1" applyBorder="1"/>
    <xf numFmtId="0" fontId="6" fillId="0" borderId="8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0" xfId="0" applyFont="1" applyBorder="1"/>
    <xf numFmtId="0" fontId="6" fillId="0" borderId="15" xfId="0" applyFont="1" applyBorder="1"/>
    <xf numFmtId="0" fontId="6" fillId="0" borderId="16" xfId="0" applyFont="1" applyBorder="1"/>
    <xf numFmtId="0" fontId="8" fillId="0" borderId="16" xfId="4" applyFont="1" applyBorder="1"/>
    <xf numFmtId="0" fontId="11" fillId="0" borderId="0" xfId="0" applyFont="1"/>
    <xf numFmtId="0" fontId="11" fillId="0" borderId="0" xfId="0" applyFont="1" applyAlignment="1">
      <alignment wrapText="1"/>
    </xf>
    <xf numFmtId="0" fontId="5" fillId="0" borderId="34" xfId="3" applyBorder="1" applyAlignment="1" applyProtection="1">
      <alignment horizontal="center" vertical="center"/>
      <protection locked="0"/>
    </xf>
    <xf numFmtId="167" fontId="11" fillId="0" borderId="0" xfId="0" applyNumberFormat="1" applyFont="1"/>
    <xf numFmtId="0" fontId="5" fillId="0" borderId="35" xfId="3" applyBorder="1" applyAlignment="1" applyProtection="1">
      <alignment horizontal="center" vertical="center"/>
      <protection locked="0"/>
    </xf>
    <xf numFmtId="0" fontId="5" fillId="0" borderId="0" xfId="3" applyAlignment="1" applyProtection="1">
      <alignment vertical="center" wrapText="1"/>
      <protection locked="0"/>
    </xf>
    <xf numFmtId="167" fontId="11" fillId="0" borderId="0" xfId="1" applyNumberFormat="1" applyFont="1" applyFill="1"/>
    <xf numFmtId="0" fontId="0" fillId="0" borderId="0" xfId="0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167" fontId="0" fillId="0" borderId="11" xfId="1" applyNumberFormat="1" applyFont="1" applyFill="1" applyBorder="1"/>
    <xf numFmtId="0" fontId="12" fillId="0" borderId="37" xfId="0" applyFont="1" applyBorder="1" applyAlignment="1">
      <alignment wrapText="1"/>
    </xf>
    <xf numFmtId="0" fontId="12" fillId="0" borderId="38" xfId="0" applyFont="1" applyBorder="1" applyAlignment="1">
      <alignment wrapText="1"/>
    </xf>
    <xf numFmtId="0" fontId="12" fillId="0" borderId="38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5" fillId="0" borderId="39" xfId="3" applyBorder="1" applyAlignment="1" applyProtection="1">
      <alignment vertical="center" wrapText="1"/>
      <protection locked="0"/>
    </xf>
    <xf numFmtId="167" fontId="11" fillId="0" borderId="39" xfId="1" applyNumberFormat="1" applyFont="1" applyFill="1" applyBorder="1"/>
    <xf numFmtId="0" fontId="11" fillId="0" borderId="39" xfId="0" applyFont="1" applyBorder="1"/>
    <xf numFmtId="167" fontId="11" fillId="0" borderId="39" xfId="0" applyNumberFormat="1" applyFont="1" applyBorder="1"/>
    <xf numFmtId="167" fontId="11" fillId="0" borderId="19" xfId="0" applyNumberFormat="1" applyFont="1" applyBorder="1"/>
    <xf numFmtId="0" fontId="5" fillId="0" borderId="40" xfId="3" applyBorder="1" applyAlignment="1" applyProtection="1">
      <alignment vertical="center" wrapText="1"/>
      <protection locked="0"/>
    </xf>
    <xf numFmtId="0" fontId="11" fillId="0" borderId="37" xfId="0" applyFont="1" applyBorder="1"/>
    <xf numFmtId="0" fontId="5" fillId="0" borderId="38" xfId="3" applyBorder="1" applyAlignment="1" applyProtection="1">
      <alignment vertical="center" wrapText="1"/>
      <protection locked="0"/>
    </xf>
    <xf numFmtId="167" fontId="11" fillId="0" borderId="38" xfId="0" applyNumberFormat="1" applyFont="1" applyBorder="1"/>
    <xf numFmtId="167" fontId="11" fillId="0" borderId="36" xfId="0" applyNumberFormat="1" applyFont="1" applyBorder="1"/>
    <xf numFmtId="0" fontId="13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0" fillId="0" borderId="34" xfId="0" applyBorder="1"/>
    <xf numFmtId="167" fontId="0" fillId="0" borderId="39" xfId="1" applyNumberFormat="1" applyFont="1" applyFill="1" applyBorder="1"/>
    <xf numFmtId="167" fontId="0" fillId="0" borderId="19" xfId="0" applyNumberFormat="1" applyBorder="1"/>
    <xf numFmtId="0" fontId="0" fillId="0" borderId="35" xfId="0" applyBorder="1"/>
    <xf numFmtId="167" fontId="0" fillId="0" borderId="40" xfId="1" applyNumberFormat="1" applyFont="1" applyFill="1" applyBorder="1"/>
    <xf numFmtId="167" fontId="0" fillId="0" borderId="20" xfId="0" applyNumberFormat="1" applyBorder="1"/>
    <xf numFmtId="0" fontId="0" fillId="0" borderId="30" xfId="0" applyBorder="1"/>
    <xf numFmtId="0" fontId="0" fillId="0" borderId="39" xfId="0" applyBorder="1"/>
    <xf numFmtId="0" fontId="0" fillId="0" borderId="29" xfId="0" applyBorder="1"/>
    <xf numFmtId="0" fontId="0" fillId="0" borderId="41" xfId="0" applyBorder="1"/>
    <xf numFmtId="0" fontId="0" fillId="0" borderId="42" xfId="0" applyBorder="1"/>
    <xf numFmtId="0" fontId="0" fillId="0" borderId="18" xfId="0" applyBorder="1"/>
    <xf numFmtId="0" fontId="0" fillId="0" borderId="19" xfId="0" applyBorder="1"/>
    <xf numFmtId="43" fontId="0" fillId="0" borderId="39" xfId="1" applyFont="1" applyFill="1" applyBorder="1"/>
    <xf numFmtId="43" fontId="0" fillId="0" borderId="39" xfId="0" applyNumberFormat="1" applyBorder="1"/>
    <xf numFmtId="167" fontId="0" fillId="0" borderId="19" xfId="1" applyNumberFormat="1" applyFont="1" applyFill="1" applyBorder="1"/>
    <xf numFmtId="2" fontId="0" fillId="0" borderId="42" xfId="0" applyNumberFormat="1" applyBorder="1"/>
    <xf numFmtId="2" fontId="0" fillId="0" borderId="39" xfId="0" applyNumberFormat="1" applyBorder="1"/>
    <xf numFmtId="167" fontId="0" fillId="0" borderId="39" xfId="0" applyNumberFormat="1" applyBorder="1"/>
    <xf numFmtId="0" fontId="0" fillId="0" borderId="40" xfId="0" applyBorder="1"/>
    <xf numFmtId="167" fontId="0" fillId="0" borderId="20" xfId="1" applyNumberFormat="1" applyFont="1" applyFill="1" applyBorder="1"/>
    <xf numFmtId="167" fontId="0" fillId="0" borderId="0" xfId="1" applyNumberFormat="1" applyFont="1" applyFill="1"/>
    <xf numFmtId="43" fontId="0" fillId="0" borderId="19" xfId="1" applyFont="1" applyFill="1" applyBorder="1"/>
    <xf numFmtId="171" fontId="0" fillId="0" borderId="39" xfId="0" applyNumberFormat="1" applyBorder="1"/>
    <xf numFmtId="171" fontId="0" fillId="0" borderId="0" xfId="0" applyNumberFormat="1"/>
    <xf numFmtId="171" fontId="0" fillId="0" borderId="40" xfId="0" applyNumberFormat="1" applyBorder="1"/>
    <xf numFmtId="171" fontId="0" fillId="0" borderId="20" xfId="0" applyNumberFormat="1" applyBorder="1"/>
    <xf numFmtId="167" fontId="0" fillId="0" borderId="42" xfId="1" applyNumberFormat="1" applyFont="1" applyFill="1" applyBorder="1"/>
    <xf numFmtId="167" fontId="0" fillId="0" borderId="18" xfId="0" applyNumberFormat="1" applyBorder="1"/>
    <xf numFmtId="0" fontId="3" fillId="0" borderId="39" xfId="0" applyFont="1" applyBorder="1"/>
    <xf numFmtId="167" fontId="3" fillId="0" borderId="39" xfId="0" applyNumberFormat="1" applyFont="1" applyBorder="1"/>
    <xf numFmtId="167" fontId="3" fillId="0" borderId="19" xfId="0" applyNumberFormat="1" applyFont="1" applyBorder="1"/>
    <xf numFmtId="0" fontId="3" fillId="0" borderId="40" xfId="0" applyFont="1" applyBorder="1"/>
    <xf numFmtId="167" fontId="3" fillId="0" borderId="40" xfId="0" applyNumberFormat="1" applyFont="1" applyBorder="1"/>
    <xf numFmtId="167" fontId="3" fillId="0" borderId="20" xfId="0" applyNumberFormat="1" applyFont="1" applyBorder="1"/>
    <xf numFmtId="167" fontId="0" fillId="0" borderId="42" xfId="0" applyNumberFormat="1" applyBorder="1"/>
    <xf numFmtId="170" fontId="0" fillId="0" borderId="39" xfId="2" applyNumberFormat="1" applyFont="1" applyFill="1" applyBorder="1"/>
    <xf numFmtId="170" fontId="0" fillId="0" borderId="19" xfId="2" applyNumberFormat="1" applyFont="1" applyFill="1" applyBorder="1"/>
    <xf numFmtId="170" fontId="0" fillId="0" borderId="40" xfId="2" applyNumberFormat="1" applyFont="1" applyFill="1" applyBorder="1"/>
    <xf numFmtId="170" fontId="0" fillId="0" borderId="20" xfId="2" applyNumberFormat="1" applyFont="1" applyFill="1" applyBorder="1"/>
    <xf numFmtId="166" fontId="0" fillId="0" borderId="0" xfId="0" applyNumberFormat="1"/>
    <xf numFmtId="0" fontId="13" fillId="0" borderId="41" xfId="0" applyFont="1" applyBorder="1"/>
    <xf numFmtId="0" fontId="13" fillId="0" borderId="42" xfId="0" applyFont="1" applyBorder="1"/>
    <xf numFmtId="0" fontId="13" fillId="0" borderId="42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6" fillId="0" borderId="9" xfId="0" applyFont="1" applyBorder="1"/>
    <xf numFmtId="0" fontId="6" fillId="0" borderId="11" xfId="0" applyFont="1" applyBorder="1"/>
    <xf numFmtId="170" fontId="6" fillId="0" borderId="0" xfId="2" applyNumberFormat="1" applyFont="1" applyFill="1" applyBorder="1"/>
    <xf numFmtId="9" fontId="6" fillId="0" borderId="0" xfId="0" applyNumberFormat="1" applyFont="1"/>
    <xf numFmtId="0" fontId="6" fillId="0" borderId="14" xfId="0" applyFont="1" applyBorder="1"/>
    <xf numFmtId="43" fontId="6" fillId="0" borderId="0" xfId="0" applyNumberFormat="1" applyFont="1"/>
    <xf numFmtId="3" fontId="6" fillId="0" borderId="0" xfId="0" applyNumberFormat="1" applyFont="1"/>
    <xf numFmtId="167" fontId="6" fillId="0" borderId="13" xfId="0" applyNumberFormat="1" applyFont="1" applyBorder="1"/>
    <xf numFmtId="3" fontId="6" fillId="0" borderId="13" xfId="0" applyNumberFormat="1" applyFont="1" applyBorder="1"/>
    <xf numFmtId="167" fontId="6" fillId="0" borderId="0" xfId="0" applyNumberFormat="1" applyFont="1"/>
    <xf numFmtId="167" fontId="6" fillId="0" borderId="8" xfId="0" applyNumberFormat="1" applyFont="1" applyBorder="1"/>
    <xf numFmtId="3" fontId="6" fillId="0" borderId="8" xfId="0" applyNumberFormat="1" applyFont="1" applyBorder="1"/>
    <xf numFmtId="0" fontId="6" fillId="0" borderId="1" xfId="0" applyFont="1" applyBorder="1"/>
    <xf numFmtId="0" fontId="6" fillId="0" borderId="41" xfId="0" applyFont="1" applyBorder="1"/>
    <xf numFmtId="0" fontId="8" fillId="0" borderId="42" xfId="0" applyFont="1" applyBorder="1"/>
    <xf numFmtId="0" fontId="14" fillId="0" borderId="42" xfId="0" applyFont="1" applyBorder="1" applyAlignment="1">
      <alignment horizontal="center" vertical="center" wrapText="1"/>
    </xf>
    <xf numFmtId="169" fontId="14" fillId="0" borderId="42" xfId="0" applyNumberFormat="1" applyFont="1" applyBorder="1" applyAlignment="1">
      <alignment horizontal="center" vertical="center" wrapText="1"/>
    </xf>
    <xf numFmtId="0" fontId="6" fillId="0" borderId="18" xfId="0" applyFont="1" applyBorder="1"/>
    <xf numFmtId="0" fontId="6" fillId="0" borderId="44" xfId="0" applyFont="1" applyBorder="1"/>
    <xf numFmtId="0" fontId="6" fillId="0" borderId="39" xfId="0" applyFont="1" applyBorder="1"/>
    <xf numFmtId="174" fontId="6" fillId="0" borderId="39" xfId="1" applyNumberFormat="1" applyFont="1" applyFill="1" applyBorder="1"/>
    <xf numFmtId="174" fontId="6" fillId="0" borderId="39" xfId="0" applyNumberFormat="1" applyFont="1" applyBorder="1"/>
    <xf numFmtId="174" fontId="7" fillId="0" borderId="44" xfId="0" applyNumberFormat="1" applyFont="1" applyBorder="1"/>
    <xf numFmtId="0" fontId="7" fillId="0" borderId="1" xfId="0" applyFont="1" applyBorder="1"/>
    <xf numFmtId="43" fontId="6" fillId="0" borderId="1" xfId="0" applyNumberFormat="1" applyFont="1" applyBorder="1"/>
    <xf numFmtId="0" fontId="6" fillId="0" borderId="34" xfId="0" applyFont="1" applyBorder="1"/>
    <xf numFmtId="0" fontId="8" fillId="0" borderId="39" xfId="0" applyFont="1" applyBorder="1"/>
    <xf numFmtId="0" fontId="14" fillId="0" borderId="39" xfId="0" applyFont="1" applyBorder="1" applyAlignment="1">
      <alignment horizontal="center" vertical="center" wrapText="1"/>
    </xf>
    <xf numFmtId="169" fontId="14" fillId="0" borderId="39" xfId="0" applyNumberFormat="1" applyFont="1" applyBorder="1" applyAlignment="1">
      <alignment horizontal="center" vertical="center" wrapText="1"/>
    </xf>
    <xf numFmtId="0" fontId="6" fillId="0" borderId="19" xfId="0" applyFont="1" applyBorder="1"/>
    <xf numFmtId="10" fontId="6" fillId="0" borderId="39" xfId="2" applyNumberFormat="1" applyFont="1" applyFill="1" applyBorder="1"/>
    <xf numFmtId="170" fontId="6" fillId="0" borderId="39" xfId="2" applyNumberFormat="1" applyFont="1" applyFill="1" applyBorder="1"/>
    <xf numFmtId="170" fontId="6" fillId="0" borderId="19" xfId="2" applyNumberFormat="1" applyFont="1" applyFill="1" applyBorder="1"/>
    <xf numFmtId="0" fontId="6" fillId="0" borderId="35" xfId="0" applyFont="1" applyBorder="1"/>
    <xf numFmtId="0" fontId="6" fillId="0" borderId="40" xfId="0" applyFont="1" applyBorder="1"/>
    <xf numFmtId="10" fontId="6" fillId="0" borderId="40" xfId="2" applyNumberFormat="1" applyFont="1" applyFill="1" applyBorder="1"/>
    <xf numFmtId="170" fontId="6" fillId="0" borderId="40" xfId="2" applyNumberFormat="1" applyFont="1" applyFill="1" applyBorder="1"/>
    <xf numFmtId="170" fontId="6" fillId="0" borderId="20" xfId="2" applyNumberFormat="1" applyFont="1" applyFill="1" applyBorder="1"/>
    <xf numFmtId="0" fontId="8" fillId="0" borderId="40" xfId="0" applyFont="1" applyBorder="1"/>
    <xf numFmtId="0" fontId="14" fillId="0" borderId="40" xfId="0" applyFont="1" applyBorder="1" applyAlignment="1">
      <alignment horizontal="center" vertical="center" wrapText="1"/>
    </xf>
    <xf numFmtId="169" fontId="14" fillId="0" borderId="40" xfId="0" applyNumberFormat="1" applyFont="1" applyBorder="1" applyAlignment="1">
      <alignment horizontal="center" vertical="center" wrapText="1"/>
    </xf>
    <xf numFmtId="0" fontId="6" fillId="0" borderId="20" xfId="0" applyFont="1" applyBorder="1"/>
    <xf numFmtId="3" fontId="6" fillId="0" borderId="1" xfId="0" applyNumberFormat="1" applyFont="1" applyBorder="1"/>
    <xf numFmtId="0" fontId="3" fillId="0" borderId="10" xfId="0" applyFont="1" applyBorder="1"/>
    <xf numFmtId="167" fontId="3" fillId="0" borderId="11" xfId="1" applyNumberFormat="1" applyFont="1" applyFill="1" applyBorder="1"/>
    <xf numFmtId="0" fontId="0" fillId="0" borderId="10" xfId="0" quotePrefix="1" applyBorder="1"/>
    <xf numFmtId="37" fontId="0" fillId="0" borderId="11" xfId="0" applyNumberFormat="1" applyBorder="1"/>
    <xf numFmtId="37" fontId="0" fillId="0" borderId="14" xfId="0" applyNumberFormat="1" applyBorder="1"/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0" fillId="0" borderId="25" xfId="0" applyFont="1" applyBorder="1" applyAlignment="1">
      <alignment vertical="center"/>
    </xf>
    <xf numFmtId="3" fontId="10" fillId="0" borderId="11" xfId="0" applyNumberFormat="1" applyFont="1" applyBorder="1" applyAlignment="1">
      <alignment horizontal="right" vertical="center"/>
    </xf>
    <xf numFmtId="0" fontId="0" fillId="0" borderId="13" xfId="0" applyBorder="1"/>
    <xf numFmtId="0" fontId="10" fillId="0" borderId="28" xfId="0" applyFont="1" applyBorder="1" applyAlignment="1">
      <alignment vertical="center"/>
    </xf>
    <xf numFmtId="3" fontId="10" fillId="0" borderId="14" xfId="0" applyNumberFormat="1" applyFont="1" applyBorder="1" applyAlignment="1">
      <alignment horizontal="right" vertical="center"/>
    </xf>
    <xf numFmtId="0" fontId="9" fillId="0" borderId="28" xfId="0" applyFont="1" applyBorder="1" applyAlignment="1">
      <alignment vertical="center"/>
    </xf>
    <xf numFmtId="3" fontId="9" fillId="0" borderId="14" xfId="0" applyNumberFormat="1" applyFont="1" applyBorder="1" applyAlignment="1">
      <alignment horizontal="right" vertical="center"/>
    </xf>
    <xf numFmtId="0" fontId="2" fillId="0" borderId="42" xfId="0" applyFont="1" applyBorder="1" applyAlignment="1">
      <alignment horizontal="center" vertical="center" wrapText="1"/>
    </xf>
    <xf numFmtId="169" fontId="12" fillId="0" borderId="42" xfId="0" applyNumberFormat="1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169" fontId="12" fillId="0" borderId="39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169" fontId="12" fillId="0" borderId="46" xfId="0" applyNumberFormat="1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10" fontId="0" fillId="0" borderId="39" xfId="2" applyNumberFormat="1" applyFont="1" applyFill="1" applyBorder="1"/>
    <xf numFmtId="10" fontId="0" fillId="0" borderId="19" xfId="2" applyNumberFormat="1" applyFont="1" applyFill="1" applyBorder="1"/>
    <xf numFmtId="0" fontId="0" fillId="0" borderId="47" xfId="0" applyBorder="1"/>
    <xf numFmtId="167" fontId="0" fillId="0" borderId="48" xfId="1" applyNumberFormat="1" applyFont="1" applyFill="1" applyBorder="1"/>
    <xf numFmtId="10" fontId="0" fillId="0" borderId="48" xfId="2" applyNumberFormat="1" applyFont="1" applyFill="1" applyBorder="1"/>
    <xf numFmtId="10" fontId="0" fillId="0" borderId="49" xfId="2" applyNumberFormat="1" applyFont="1" applyFill="1" applyBorder="1"/>
    <xf numFmtId="174" fontId="0" fillId="0" borderId="39" xfId="0" applyNumberFormat="1" applyBorder="1"/>
    <xf numFmtId="174" fontId="0" fillId="0" borderId="19" xfId="0" applyNumberFormat="1" applyBorder="1"/>
    <xf numFmtId="174" fontId="3" fillId="0" borderId="20" xfId="0" applyNumberFormat="1" applyFont="1" applyBorder="1"/>
    <xf numFmtId="167" fontId="0" fillId="0" borderId="9" xfId="1" applyNumberFormat="1" applyFont="1" applyFill="1" applyBorder="1"/>
    <xf numFmtId="167" fontId="0" fillId="0" borderId="14" xfId="1" applyNumberFormat="1" applyFont="1" applyFill="1" applyBorder="1"/>
    <xf numFmtId="0" fontId="13" fillId="0" borderId="7" xfId="0" applyFont="1" applyBorder="1"/>
    <xf numFmtId="0" fontId="13" fillId="0" borderId="8" xfId="0" applyFont="1" applyBorder="1"/>
    <xf numFmtId="167" fontId="13" fillId="0" borderId="9" xfId="1" applyNumberFormat="1" applyFont="1" applyFill="1" applyBorder="1"/>
    <xf numFmtId="0" fontId="14" fillId="0" borderId="0" xfId="0" applyFont="1"/>
    <xf numFmtId="0" fontId="15" fillId="0" borderId="0" xfId="0" applyFont="1"/>
    <xf numFmtId="167" fontId="15" fillId="0" borderId="0" xfId="1" applyNumberFormat="1" applyFont="1" applyFill="1"/>
    <xf numFmtId="0" fontId="15" fillId="0" borderId="10" xfId="0" applyFont="1" applyBorder="1"/>
    <xf numFmtId="167" fontId="15" fillId="0" borderId="0" xfId="1" applyNumberFormat="1" applyFont="1" applyFill="1" applyBorder="1"/>
    <xf numFmtId="10" fontId="15" fillId="0" borderId="0" xfId="2" applyNumberFormat="1" applyFont="1" applyFill="1" applyBorder="1"/>
    <xf numFmtId="0" fontId="15" fillId="0" borderId="13" xfId="0" applyFont="1" applyBorder="1"/>
    <xf numFmtId="0" fontId="15" fillId="0" borderId="7" xfId="0" applyFont="1" applyBorder="1"/>
    <xf numFmtId="174" fontId="15" fillId="0" borderId="0" xfId="0" applyNumberFormat="1" applyFont="1"/>
    <xf numFmtId="0" fontId="15" fillId="0" borderId="12" xfId="0" applyFont="1" applyBorder="1"/>
    <xf numFmtId="174" fontId="15" fillId="0" borderId="0" xfId="1" applyNumberFormat="1" applyFont="1" applyFill="1"/>
    <xf numFmtId="0" fontId="13" fillId="0" borderId="8" xfId="0" applyFont="1" applyBorder="1" applyAlignment="1">
      <alignment horizontal="center" vertical="center"/>
    </xf>
    <xf numFmtId="167" fontId="13" fillId="0" borderId="0" xfId="0" applyNumberFormat="1" applyFont="1"/>
    <xf numFmtId="167" fontId="15" fillId="0" borderId="0" xfId="0" applyNumberFormat="1" applyFont="1"/>
    <xf numFmtId="10" fontId="15" fillId="0" borderId="0" xfId="2" applyNumberFormat="1" applyFont="1" applyFill="1"/>
    <xf numFmtId="43" fontId="15" fillId="0" borderId="0" xfId="0" applyNumberFormat="1" applyFont="1"/>
    <xf numFmtId="0" fontId="15" fillId="0" borderId="41" xfId="0" applyFont="1" applyBorder="1"/>
    <xf numFmtId="0" fontId="15" fillId="0" borderId="42" xfId="0" applyFont="1" applyBorder="1"/>
    <xf numFmtId="0" fontId="15" fillId="0" borderId="34" xfId="0" applyFont="1" applyBorder="1"/>
    <xf numFmtId="0" fontId="15" fillId="0" borderId="39" xfId="0" applyFont="1" applyBorder="1"/>
    <xf numFmtId="9" fontId="15" fillId="0" borderId="39" xfId="0" applyNumberFormat="1" applyFont="1" applyBorder="1"/>
    <xf numFmtId="174" fontId="15" fillId="0" borderId="39" xfId="1" applyNumberFormat="1" applyFont="1" applyFill="1" applyBorder="1"/>
    <xf numFmtId="174" fontId="15" fillId="0" borderId="19" xfId="1" applyNumberFormat="1" applyFont="1" applyFill="1" applyBorder="1"/>
    <xf numFmtId="0" fontId="15" fillId="0" borderId="35" xfId="0" applyFont="1" applyBorder="1"/>
    <xf numFmtId="0" fontId="15" fillId="0" borderId="40" xfId="0" applyFont="1" applyBorder="1"/>
    <xf numFmtId="174" fontId="13" fillId="0" borderId="40" xfId="0" applyNumberFormat="1" applyFont="1" applyBorder="1"/>
    <xf numFmtId="174" fontId="13" fillId="0" borderId="20" xfId="0" applyNumberFormat="1" applyFont="1" applyBorder="1"/>
    <xf numFmtId="167" fontId="15" fillId="0" borderId="42" xfId="1" applyNumberFormat="1" applyFont="1" applyFill="1" applyBorder="1"/>
    <xf numFmtId="174" fontId="15" fillId="0" borderId="42" xfId="1" applyNumberFormat="1" applyFont="1" applyFill="1" applyBorder="1"/>
    <xf numFmtId="174" fontId="15" fillId="0" borderId="18" xfId="1" applyNumberFormat="1" applyFont="1" applyFill="1" applyBorder="1"/>
    <xf numFmtId="174" fontId="15" fillId="0" borderId="39" xfId="0" applyNumberFormat="1" applyFont="1" applyBorder="1"/>
    <xf numFmtId="174" fontId="15" fillId="0" borderId="19" xfId="0" applyNumberFormat="1" applyFont="1" applyBorder="1"/>
    <xf numFmtId="0" fontId="13" fillId="0" borderId="39" xfId="0" applyFont="1" applyBorder="1"/>
    <xf numFmtId="9" fontId="15" fillId="0" borderId="42" xfId="0" applyNumberFormat="1" applyFont="1" applyBorder="1"/>
    <xf numFmtId="0" fontId="13" fillId="0" borderId="40" xfId="0" applyFont="1" applyBorder="1"/>
    <xf numFmtId="170" fontId="15" fillId="0" borderId="0" xfId="0" applyNumberFormat="1" applyFont="1"/>
    <xf numFmtId="0" fontId="17" fillId="0" borderId="0" xfId="0" applyFont="1"/>
    <xf numFmtId="0" fontId="18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67" fontId="17" fillId="0" borderId="0" xfId="0" applyNumberFormat="1" applyFont="1"/>
    <xf numFmtId="167" fontId="17" fillId="0" borderId="0" xfId="1" applyNumberFormat="1" applyFont="1" applyFill="1" applyBorder="1"/>
    <xf numFmtId="167" fontId="15" fillId="0" borderId="11" xfId="1" applyNumberFormat="1" applyFont="1" applyFill="1" applyBorder="1"/>
    <xf numFmtId="0" fontId="13" fillId="0" borderId="10" xfId="0" applyFont="1" applyBorder="1"/>
    <xf numFmtId="167" fontId="18" fillId="0" borderId="0" xfId="0" applyNumberFormat="1" applyFont="1"/>
    <xf numFmtId="167" fontId="13" fillId="0" borderId="11" xfId="0" applyNumberFormat="1" applyFont="1" applyBorder="1"/>
    <xf numFmtId="0" fontId="15" fillId="0" borderId="11" xfId="0" applyFont="1" applyBorder="1"/>
    <xf numFmtId="10" fontId="17" fillId="0" borderId="0" xfId="2" applyNumberFormat="1" applyFont="1" applyFill="1" applyBorder="1"/>
    <xf numFmtId="167" fontId="18" fillId="0" borderId="0" xfId="1" applyNumberFormat="1" applyFont="1" applyFill="1" applyBorder="1"/>
    <xf numFmtId="167" fontId="13" fillId="0" borderId="0" xfId="1" applyNumberFormat="1" applyFont="1" applyFill="1" applyBorder="1"/>
    <xf numFmtId="167" fontId="13" fillId="0" borderId="11" xfId="1" applyNumberFormat="1" applyFont="1" applyFill="1" applyBorder="1"/>
    <xf numFmtId="167" fontId="13" fillId="0" borderId="0" xfId="1" applyNumberFormat="1" applyFont="1" applyFill="1"/>
    <xf numFmtId="0" fontId="17" fillId="0" borderId="13" xfId="0" applyFont="1" applyBorder="1"/>
    <xf numFmtId="172" fontId="15" fillId="0" borderId="13" xfId="1" applyNumberFormat="1" applyFont="1" applyFill="1" applyBorder="1"/>
    <xf numFmtId="172" fontId="17" fillId="0" borderId="13" xfId="1" applyNumberFormat="1" applyFont="1" applyFill="1" applyBorder="1"/>
    <xf numFmtId="172" fontId="15" fillId="0" borderId="14" xfId="1" applyNumberFormat="1" applyFont="1" applyFill="1" applyBorder="1"/>
    <xf numFmtId="43" fontId="15" fillId="0" borderId="0" xfId="1" applyFont="1" applyFill="1"/>
    <xf numFmtId="43" fontId="17" fillId="0" borderId="0" xfId="1" applyFont="1" applyFill="1"/>
    <xf numFmtId="167" fontId="17" fillId="0" borderId="0" xfId="1" applyNumberFormat="1" applyFont="1" applyFill="1"/>
    <xf numFmtId="169" fontId="12" fillId="0" borderId="50" xfId="0" applyNumberFormat="1" applyFont="1" applyBorder="1" applyAlignment="1">
      <alignment horizontal="center" vertical="center" wrapText="1"/>
    </xf>
    <xf numFmtId="169" fontId="12" fillId="0" borderId="51" xfId="0" applyNumberFormat="1" applyFont="1" applyBorder="1" applyAlignment="1">
      <alignment horizontal="center" vertical="center" wrapText="1"/>
    </xf>
    <xf numFmtId="169" fontId="12" fillId="0" borderId="8" xfId="0" applyNumberFormat="1" applyFont="1" applyBorder="1" applyAlignment="1">
      <alignment horizontal="center" vertical="center" wrapText="1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2" xfId="0" applyBorder="1" applyAlignment="1">
      <alignment horizontal="center" wrapText="1"/>
    </xf>
    <xf numFmtId="0" fontId="0" fillId="0" borderId="18" xfId="0" applyBorder="1" applyAlignment="1">
      <alignment horizontal="center"/>
    </xf>
    <xf numFmtId="169" fontId="0" fillId="0" borderId="45" xfId="0" applyNumberFormat="1" applyBorder="1" applyAlignment="1">
      <alignment horizontal="center"/>
    </xf>
    <xf numFmtId="0" fontId="3" fillId="0" borderId="48" xfId="0" applyFont="1" applyBorder="1"/>
    <xf numFmtId="174" fontId="3" fillId="0" borderId="48" xfId="0" applyNumberFormat="1" applyFont="1" applyBorder="1"/>
    <xf numFmtId="9" fontId="0" fillId="0" borderId="0" xfId="0" applyNumberFormat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167" fontId="13" fillId="0" borderId="42" xfId="1" applyNumberFormat="1" applyFont="1" applyFill="1" applyBorder="1" applyAlignment="1">
      <alignment horizontal="center" vertical="center"/>
    </xf>
    <xf numFmtId="0" fontId="13" fillId="0" borderId="18" xfId="0" applyFont="1" applyBorder="1"/>
    <xf numFmtId="167" fontId="15" fillId="0" borderId="39" xfId="1" applyNumberFormat="1" applyFont="1" applyFill="1" applyBorder="1"/>
    <xf numFmtId="10" fontId="15" fillId="0" borderId="39" xfId="2" applyNumberFormat="1" applyFont="1" applyFill="1" applyBorder="1"/>
    <xf numFmtId="10" fontId="15" fillId="0" borderId="39" xfId="0" applyNumberFormat="1" applyFont="1" applyBorder="1"/>
    <xf numFmtId="10" fontId="15" fillId="0" borderId="19" xfId="0" applyNumberFormat="1" applyFont="1" applyBorder="1"/>
    <xf numFmtId="0" fontId="15" fillId="0" borderId="48" xfId="0" applyFont="1" applyBorder="1"/>
    <xf numFmtId="167" fontId="15" fillId="0" borderId="48" xfId="1" applyNumberFormat="1" applyFont="1" applyFill="1" applyBorder="1"/>
    <xf numFmtId="10" fontId="15" fillId="0" borderId="48" xfId="2" applyNumberFormat="1" applyFont="1" applyFill="1" applyBorder="1"/>
    <xf numFmtId="10" fontId="15" fillId="0" borderId="20" xfId="0" applyNumberFormat="1" applyFont="1" applyBorder="1"/>
    <xf numFmtId="0" fontId="13" fillId="0" borderId="41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174" fontId="15" fillId="0" borderId="42" xfId="0" applyNumberFormat="1" applyFont="1" applyBorder="1"/>
    <xf numFmtId="174" fontId="15" fillId="0" borderId="18" xfId="0" applyNumberFormat="1" applyFont="1" applyBorder="1"/>
    <xf numFmtId="0" fontId="13" fillId="0" borderId="48" xfId="0" applyFont="1" applyBorder="1"/>
    <xf numFmtId="174" fontId="13" fillId="0" borderId="48" xfId="1" applyNumberFormat="1" applyFont="1" applyFill="1" applyBorder="1"/>
    <xf numFmtId="174" fontId="13" fillId="0" borderId="48" xfId="0" applyNumberFormat="1" applyFont="1" applyBorder="1"/>
    <xf numFmtId="0" fontId="15" fillId="0" borderId="37" xfId="0" applyFont="1" applyBorder="1"/>
    <xf numFmtId="0" fontId="15" fillId="0" borderId="38" xfId="0" applyFont="1" applyBorder="1"/>
    <xf numFmtId="0" fontId="13" fillId="0" borderId="3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6" fillId="0" borderId="41" xfId="0" applyFont="1" applyBorder="1" applyAlignment="1">
      <alignment vertical="center"/>
    </xf>
    <xf numFmtId="170" fontId="15" fillId="0" borderId="39" xfId="2" applyNumberFormat="1" applyFont="1" applyFill="1" applyBorder="1"/>
    <xf numFmtId="9" fontId="15" fillId="0" borderId="19" xfId="0" applyNumberFormat="1" applyFont="1" applyBorder="1"/>
    <xf numFmtId="170" fontId="15" fillId="0" borderId="48" xfId="2" applyNumberFormat="1" applyFont="1" applyFill="1" applyBorder="1"/>
    <xf numFmtId="9" fontId="15" fillId="0" borderId="20" xfId="0" applyNumberFormat="1" applyFont="1" applyBorder="1"/>
    <xf numFmtId="0" fontId="15" fillId="3" borderId="0" xfId="0" applyFont="1" applyFill="1"/>
    <xf numFmtId="0" fontId="14" fillId="3" borderId="0" xfId="0" applyFont="1" applyFill="1"/>
    <xf numFmtId="0" fontId="17" fillId="3" borderId="0" xfId="0" applyFont="1" applyFill="1"/>
    <xf numFmtId="0" fontId="15" fillId="3" borderId="7" xfId="0" applyFont="1" applyFill="1" applyBorder="1"/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0" fillId="3" borderId="0" xfId="0" applyFill="1"/>
    <xf numFmtId="0" fontId="0" fillId="3" borderId="10" xfId="0" applyFill="1" applyBorder="1"/>
    <xf numFmtId="0" fontId="0" fillId="3" borderId="11" xfId="0" applyFill="1" applyBorder="1"/>
    <xf numFmtId="0" fontId="15" fillId="3" borderId="10" xfId="0" applyFont="1" applyFill="1" applyBorder="1"/>
    <xf numFmtId="167" fontId="15" fillId="3" borderId="0" xfId="0" applyNumberFormat="1" applyFont="1" applyFill="1"/>
    <xf numFmtId="167" fontId="17" fillId="3" borderId="0" xfId="0" applyNumberFormat="1" applyFont="1" applyFill="1"/>
    <xf numFmtId="167" fontId="15" fillId="3" borderId="11" xfId="0" applyNumberFormat="1" applyFont="1" applyFill="1" applyBorder="1"/>
    <xf numFmtId="167" fontId="15" fillId="3" borderId="0" xfId="1" applyNumberFormat="1" applyFont="1" applyFill="1" applyBorder="1"/>
    <xf numFmtId="167" fontId="15" fillId="3" borderId="11" xfId="1" applyNumberFormat="1" applyFont="1" applyFill="1" applyBorder="1"/>
    <xf numFmtId="0" fontId="15" fillId="3" borderId="11" xfId="0" applyFont="1" applyFill="1" applyBorder="1"/>
    <xf numFmtId="173" fontId="15" fillId="3" borderId="0" xfId="0" applyNumberFormat="1" applyFont="1" applyFill="1"/>
    <xf numFmtId="173" fontId="15" fillId="3" borderId="11" xfId="0" applyNumberFormat="1" applyFont="1" applyFill="1" applyBorder="1"/>
    <xf numFmtId="0" fontId="15" fillId="3" borderId="10" xfId="0" quotePrefix="1" applyFont="1" applyFill="1" applyBorder="1"/>
    <xf numFmtId="170" fontId="17" fillId="3" borderId="0" xfId="2" applyNumberFormat="1" applyFont="1" applyFill="1" applyBorder="1"/>
    <xf numFmtId="170" fontId="15" fillId="3" borderId="0" xfId="2" applyNumberFormat="1" applyFont="1" applyFill="1" applyBorder="1"/>
    <xf numFmtId="170" fontId="15" fillId="3" borderId="11" xfId="2" applyNumberFormat="1" applyFont="1" applyFill="1" applyBorder="1"/>
    <xf numFmtId="0" fontId="15" fillId="3" borderId="52" xfId="0" applyFont="1" applyFill="1" applyBorder="1"/>
    <xf numFmtId="0" fontId="15" fillId="3" borderId="32" xfId="0" applyFont="1" applyFill="1" applyBorder="1"/>
    <xf numFmtId="0" fontId="17" fillId="3" borderId="32" xfId="0" applyFont="1" applyFill="1" applyBorder="1"/>
    <xf numFmtId="0" fontId="15" fillId="3" borderId="53" xfId="0" applyFont="1" applyFill="1" applyBorder="1"/>
    <xf numFmtId="0" fontId="15" fillId="3" borderId="54" xfId="0" applyFont="1" applyFill="1" applyBorder="1"/>
    <xf numFmtId="0" fontId="15" fillId="3" borderId="55" xfId="0" applyFont="1" applyFill="1" applyBorder="1"/>
    <xf numFmtId="0" fontId="19" fillId="3" borderId="0" xfId="0" applyFont="1" applyFill="1"/>
    <xf numFmtId="173" fontId="15" fillId="4" borderId="0" xfId="0" applyNumberFormat="1" applyFont="1" applyFill="1"/>
    <xf numFmtId="0" fontId="18" fillId="4" borderId="8" xfId="0" applyFont="1" applyFill="1" applyBorder="1" applyAlignment="1">
      <alignment horizontal="center" vertical="center"/>
    </xf>
    <xf numFmtId="167" fontId="17" fillId="4" borderId="0" xfId="0" applyNumberFormat="1" applyFont="1" applyFill="1"/>
    <xf numFmtId="0" fontId="17" fillId="4" borderId="0" xfId="0" applyFont="1" applyFill="1"/>
    <xf numFmtId="170" fontId="17" fillId="4" borderId="0" xfId="2" applyNumberFormat="1" applyFont="1" applyFill="1" applyBorder="1"/>
    <xf numFmtId="0" fontId="17" fillId="4" borderId="32" xfId="0" applyFont="1" applyFill="1" applyBorder="1"/>
    <xf numFmtId="0" fontId="17" fillId="4" borderId="55" xfId="0" applyFont="1" applyFill="1" applyBorder="1"/>
    <xf numFmtId="9" fontId="17" fillId="4" borderId="0" xfId="2" applyFont="1" applyFill="1" applyBorder="1"/>
    <xf numFmtId="9" fontId="15" fillId="3" borderId="0" xfId="2" applyFont="1" applyFill="1" applyBorder="1"/>
    <xf numFmtId="9" fontId="15" fillId="3" borderId="11" xfId="2" applyFont="1" applyFill="1" applyBorder="1"/>
    <xf numFmtId="9" fontId="15" fillId="3" borderId="55" xfId="2" applyFont="1" applyFill="1" applyBorder="1"/>
    <xf numFmtId="9" fontId="15" fillId="3" borderId="56" xfId="2" applyFont="1" applyFill="1" applyBorder="1"/>
    <xf numFmtId="169" fontId="12" fillId="0" borderId="39" xfId="0" applyNumberFormat="1" applyFont="1" applyBorder="1" applyAlignment="1">
      <alignment vertical="center" wrapText="1"/>
    </xf>
    <xf numFmtId="0" fontId="13" fillId="0" borderId="16" xfId="0" applyFont="1" applyBorder="1"/>
    <xf numFmtId="0" fontId="15" fillId="0" borderId="16" xfId="0" applyFont="1" applyBorder="1"/>
    <xf numFmtId="174" fontId="15" fillId="0" borderId="16" xfId="1" applyNumberFormat="1" applyFont="1" applyFill="1" applyBorder="1"/>
    <xf numFmtId="174" fontId="15" fillId="0" borderId="17" xfId="1" applyNumberFormat="1" applyFont="1" applyFill="1" applyBorder="1"/>
    <xf numFmtId="174" fontId="15" fillId="0" borderId="48" xfId="1" applyNumberFormat="1" applyFont="1" applyFill="1" applyBorder="1"/>
    <xf numFmtId="174" fontId="15" fillId="0" borderId="49" xfId="1" applyNumberFormat="1" applyFont="1" applyFill="1" applyBorder="1"/>
    <xf numFmtId="0" fontId="15" fillId="0" borderId="47" xfId="0" applyFont="1" applyBorder="1"/>
    <xf numFmtId="0" fontId="12" fillId="0" borderId="57" xfId="0" applyFont="1" applyBorder="1" applyAlignment="1">
      <alignment horizontal="center" vertical="center" wrapText="1"/>
    </xf>
    <xf numFmtId="167" fontId="11" fillId="0" borderId="29" xfId="0" applyNumberFormat="1" applyFont="1" applyBorder="1"/>
    <xf numFmtId="167" fontId="11" fillId="0" borderId="57" xfId="0" applyNumberFormat="1" applyFont="1" applyBorder="1"/>
    <xf numFmtId="0" fontId="12" fillId="0" borderId="37" xfId="0" applyFont="1" applyBorder="1" applyAlignment="1">
      <alignment horizontal="center" vertical="center" wrapText="1"/>
    </xf>
    <xf numFmtId="167" fontId="11" fillId="0" borderId="34" xfId="1" applyNumberFormat="1" applyFont="1" applyFill="1" applyBorder="1"/>
    <xf numFmtId="167" fontId="11" fillId="0" borderId="37" xfId="1" applyNumberFormat="1" applyFont="1" applyFill="1" applyBorder="1"/>
    <xf numFmtId="175" fontId="0" fillId="0" borderId="39" xfId="7" applyNumberFormat="1" applyFont="1" applyBorder="1"/>
    <xf numFmtId="175" fontId="0" fillId="0" borderId="19" xfId="7" applyNumberFormat="1" applyFont="1" applyBorder="1"/>
    <xf numFmtId="0" fontId="13" fillId="5" borderId="10" xfId="0" applyFont="1" applyFill="1" applyBorder="1"/>
    <xf numFmtId="0" fontId="0" fillId="3" borderId="0" xfId="0" applyFill="1" applyAlignment="1">
      <alignment horizontal="center"/>
    </xf>
    <xf numFmtId="0" fontId="19" fillId="4" borderId="0" xfId="0" applyFont="1" applyFill="1"/>
    <xf numFmtId="167" fontId="17" fillId="4" borderId="0" xfId="1" applyNumberFormat="1" applyFont="1" applyFill="1" applyBorder="1"/>
    <xf numFmtId="173" fontId="17" fillId="4" borderId="0" xfId="0" applyNumberFormat="1" applyFont="1" applyFill="1"/>
    <xf numFmtId="9" fontId="17" fillId="4" borderId="55" xfId="2" applyFont="1" applyFill="1" applyBorder="1"/>
    <xf numFmtId="10" fontId="13" fillId="5" borderId="0" xfId="2" applyNumberFormat="1" applyFont="1" applyFill="1" applyBorder="1"/>
    <xf numFmtId="10" fontId="18" fillId="5" borderId="0" xfId="2" applyNumberFormat="1" applyFont="1" applyFill="1" applyBorder="1"/>
    <xf numFmtId="10" fontId="13" fillId="5" borderId="11" xfId="2" applyNumberFormat="1" applyFont="1" applyFill="1" applyBorder="1"/>
    <xf numFmtId="176" fontId="6" fillId="0" borderId="0" xfId="0" applyNumberFormat="1" applyFont="1"/>
    <xf numFmtId="168" fontId="6" fillId="0" borderId="21" xfId="7" applyNumberFormat="1" applyFont="1" applyFill="1" applyBorder="1" applyAlignment="1">
      <alignment horizontal="right"/>
    </xf>
    <xf numFmtId="168" fontId="6" fillId="0" borderId="22" xfId="7" applyNumberFormat="1" applyFont="1" applyFill="1" applyBorder="1" applyAlignment="1">
      <alignment horizontal="right"/>
    </xf>
    <xf numFmtId="168" fontId="6" fillId="0" borderId="23" xfId="7" applyNumberFormat="1" applyFont="1" applyFill="1" applyBorder="1"/>
    <xf numFmtId="168" fontId="6" fillId="0" borderId="0" xfId="7" applyNumberFormat="1" applyFont="1" applyFill="1"/>
    <xf numFmtId="168" fontId="6" fillId="0" borderId="23" xfId="7" applyNumberFormat="1" applyFont="1" applyFill="1" applyBorder="1" applyAlignment="1">
      <alignment horizontal="right"/>
    </xf>
    <xf numFmtId="168" fontId="6" fillId="0" borderId="21" xfId="7" applyNumberFormat="1" applyFont="1" applyFill="1" applyBorder="1" applyProtection="1"/>
    <xf numFmtId="168" fontId="6" fillId="0" borderId="22" xfId="7" applyNumberFormat="1" applyFont="1" applyFill="1" applyBorder="1" applyProtection="1"/>
    <xf numFmtId="168" fontId="6" fillId="0" borderId="23" xfId="7" applyNumberFormat="1" applyFont="1" applyFill="1" applyBorder="1" applyProtection="1"/>
    <xf numFmtId="168" fontId="6" fillId="0" borderId="17" xfId="7" applyNumberFormat="1" applyFont="1" applyFill="1" applyBorder="1"/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9" fontId="14" fillId="0" borderId="44" xfId="0" applyNumberFormat="1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169" fontId="14" fillId="0" borderId="42" xfId="0" applyNumberFormat="1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169" fontId="14" fillId="0" borderId="50" xfId="0" applyNumberFormat="1" applyFont="1" applyBorder="1" applyAlignment="1">
      <alignment horizontal="center" vertical="center" wrapText="1"/>
    </xf>
    <xf numFmtId="169" fontId="14" fillId="0" borderId="51" xfId="0" applyNumberFormat="1" applyFont="1" applyBorder="1" applyAlignment="1">
      <alignment horizontal="center" vertical="center" wrapText="1"/>
    </xf>
    <xf numFmtId="169" fontId="14" fillId="0" borderId="8" xfId="0" applyNumberFormat="1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169" fontId="12" fillId="0" borderId="31" xfId="0" applyNumberFormat="1" applyFont="1" applyBorder="1" applyAlignment="1">
      <alignment horizontal="center" vertical="center" wrapText="1"/>
    </xf>
    <xf numFmtId="169" fontId="12" fillId="0" borderId="32" xfId="0" applyNumberFormat="1" applyFont="1" applyBorder="1" applyAlignment="1">
      <alignment horizontal="center" vertical="center" wrapText="1"/>
    </xf>
    <xf numFmtId="169" fontId="12" fillId="0" borderId="33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169" fontId="12" fillId="0" borderId="42" xfId="0" applyNumberFormat="1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169" fontId="12" fillId="0" borderId="39" xfId="0" applyNumberFormat="1" applyFont="1" applyBorder="1" applyAlignment="1">
      <alignment horizontal="center" vertical="center" wrapText="1"/>
    </xf>
    <xf numFmtId="169" fontId="12" fillId="0" borderId="4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164" fontId="6" fillId="0" borderId="0" xfId="0" applyNumberFormat="1" applyFont="1"/>
  </cellXfs>
  <cellStyles count="8">
    <cellStyle name="Comma" xfId="1" builtinId="3"/>
    <cellStyle name="Currency" xfId="7" builtinId="4"/>
    <cellStyle name="Currency 2" xfId="5" xr:uid="{00000000-0005-0000-0000-000002000000}"/>
    <cellStyle name="Normal" xfId="0" builtinId="0"/>
    <cellStyle name="Normal 2" xfId="3" xr:uid="{00000000-0005-0000-0000-000004000000}"/>
    <cellStyle name="Normal 3" xfId="4" xr:uid="{00000000-0005-0000-0000-000005000000}"/>
    <cellStyle name="Percent" xfId="2" builtinId="5"/>
    <cellStyle name="TableHeading" xfId="6" xr:uid="{00000000-0005-0000-0000-000007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0.79998168889431442"/>
    <pageSetUpPr fitToPage="1"/>
  </sheetPr>
  <dimension ref="A1:G76"/>
  <sheetViews>
    <sheetView showGridLines="0" topLeftCell="B45" workbookViewId="0">
      <selection activeCell="E70" sqref="E70:E74"/>
    </sheetView>
  </sheetViews>
  <sheetFormatPr defaultColWidth="8.7265625" defaultRowHeight="14" x14ac:dyDescent="0.3"/>
  <cols>
    <col min="1" max="1" width="8.7265625" style="8" hidden="1" customWidth="1"/>
    <col min="2" max="2" width="17.6328125" style="8" customWidth="1"/>
    <col min="3" max="3" width="10.36328125" style="8" customWidth="1"/>
    <col min="4" max="4" width="52.90625" style="8" customWidth="1"/>
    <col min="5" max="5" width="15.81640625" style="354" bestFit="1" customWidth="1"/>
    <col min="6" max="6" width="17.453125" style="8" customWidth="1"/>
    <col min="7" max="7" width="11.90625" style="8" bestFit="1" customWidth="1"/>
    <col min="8" max="16384" width="8.7265625" style="8"/>
  </cols>
  <sheetData>
    <row r="1" spans="2:7" x14ac:dyDescent="0.3">
      <c r="B1" s="7" t="s">
        <v>266</v>
      </c>
    </row>
    <row r="2" spans="2:7" x14ac:dyDescent="0.3">
      <c r="B2" s="7" t="s">
        <v>265</v>
      </c>
    </row>
    <row r="3" spans="2:7" x14ac:dyDescent="0.3">
      <c r="B3" s="7" t="s">
        <v>267</v>
      </c>
    </row>
    <row r="4" spans="2:7" ht="14.5" thickBot="1" x14ac:dyDescent="0.35">
      <c r="B4" s="7" t="str">
        <f ca="1">MID(CELL("filename",A1),FIND("]",CELL("filename",A1))+1,255)</f>
        <v>Trial Balance</v>
      </c>
    </row>
    <row r="5" spans="2:7" x14ac:dyDescent="0.3">
      <c r="D5" s="10" t="s">
        <v>3</v>
      </c>
      <c r="E5" s="351">
        <v>957596.24</v>
      </c>
    </row>
    <row r="6" spans="2:7" x14ac:dyDescent="0.3">
      <c r="D6" s="11" t="s">
        <v>4</v>
      </c>
      <c r="E6" s="352">
        <v>11366.307104064032</v>
      </c>
    </row>
    <row r="7" spans="2:7" x14ac:dyDescent="0.3">
      <c r="D7" s="11" t="s">
        <v>5</v>
      </c>
      <c r="E7" s="352">
        <v>613545.19999999995</v>
      </c>
    </row>
    <row r="8" spans="2:7" x14ac:dyDescent="0.3">
      <c r="D8" s="12" t="s">
        <v>6</v>
      </c>
      <c r="E8" s="352">
        <v>7624349.3165709488</v>
      </c>
    </row>
    <row r="9" spans="2:7" x14ac:dyDescent="0.3">
      <c r="D9" s="12" t="s">
        <v>13</v>
      </c>
      <c r="E9" s="352">
        <f>-E38+SUM(E40:E74)+E5+E6+E7</f>
        <v>7624349.3225033935</v>
      </c>
      <c r="F9" s="389">
        <f>E9-E8</f>
        <v>5.9324447065591812E-3</v>
      </c>
      <c r="G9" s="8" t="str">
        <f>IF(ROUND(F9,0)=0,"Balances Match","Check")</f>
        <v>Balances Match</v>
      </c>
    </row>
    <row r="10" spans="2:7" x14ac:dyDescent="0.3">
      <c r="D10" s="12" t="s">
        <v>7</v>
      </c>
      <c r="E10" s="352">
        <v>25880979.469999999</v>
      </c>
      <c r="F10" s="389"/>
    </row>
    <row r="11" spans="2:7" ht="14.5" thickBot="1" x14ac:dyDescent="0.35">
      <c r="D11" s="13" t="s">
        <v>14</v>
      </c>
      <c r="E11" s="353">
        <f>SUM(E13:E37)+SUM(E40:E67,E76)*0.075</f>
        <v>25880979.471404944</v>
      </c>
      <c r="F11" s="389">
        <f>E11-E10</f>
        <v>1.4049448072910309E-3</v>
      </c>
      <c r="G11" s="8" t="str">
        <f>IF(ROUND(F11,0)=0,"Balances Match","Check")</f>
        <v>Balances Match</v>
      </c>
    </row>
    <row r="12" spans="2:7" ht="14.5" thickBot="1" x14ac:dyDescent="0.35">
      <c r="F12" s="350"/>
    </row>
    <row r="13" spans="2:7" ht="14.5" customHeight="1" x14ac:dyDescent="0.3">
      <c r="B13" s="360" t="s">
        <v>124</v>
      </c>
      <c r="C13" s="14">
        <v>488</v>
      </c>
      <c r="D13" s="15" t="s">
        <v>183</v>
      </c>
      <c r="E13" s="351">
        <v>334295.95999999996</v>
      </c>
    </row>
    <row r="14" spans="2:7" x14ac:dyDescent="0.3">
      <c r="B14" s="361"/>
      <c r="C14" s="16">
        <v>490</v>
      </c>
      <c r="D14" s="17" t="s">
        <v>184</v>
      </c>
      <c r="E14" s="352">
        <v>637393</v>
      </c>
    </row>
    <row r="15" spans="2:7" x14ac:dyDescent="0.3">
      <c r="B15" s="361"/>
      <c r="C15" s="16">
        <v>499</v>
      </c>
      <c r="D15" s="17" t="s">
        <v>185</v>
      </c>
      <c r="E15" s="352">
        <v>-376287.94</v>
      </c>
    </row>
    <row r="16" spans="2:7" x14ac:dyDescent="0.3">
      <c r="B16" s="361"/>
      <c r="C16" s="16">
        <v>499</v>
      </c>
      <c r="D16" s="17" t="s">
        <v>186</v>
      </c>
      <c r="E16" s="352">
        <v>-329996.40000000002</v>
      </c>
    </row>
    <row r="17" spans="2:5" x14ac:dyDescent="0.3">
      <c r="B17" s="361"/>
      <c r="C17" s="16">
        <v>499</v>
      </c>
      <c r="D17" s="17" t="s">
        <v>187</v>
      </c>
      <c r="E17" s="352">
        <v>-13207.81</v>
      </c>
    </row>
    <row r="18" spans="2:5" x14ac:dyDescent="0.3">
      <c r="B18" s="361"/>
      <c r="C18" s="16">
        <v>499</v>
      </c>
      <c r="D18" s="17" t="s">
        <v>188</v>
      </c>
      <c r="E18" s="352">
        <v>-527904.73</v>
      </c>
    </row>
    <row r="19" spans="2:5" x14ac:dyDescent="0.3">
      <c r="B19" s="361"/>
      <c r="C19" s="16">
        <v>401</v>
      </c>
      <c r="D19" s="17" t="s">
        <v>189</v>
      </c>
      <c r="E19" s="352">
        <v>842666.73999999987</v>
      </c>
    </row>
    <row r="20" spans="2:5" x14ac:dyDescent="0.3">
      <c r="B20" s="361"/>
      <c r="C20" s="16">
        <v>483</v>
      </c>
      <c r="D20" s="17" t="s">
        <v>190</v>
      </c>
      <c r="E20" s="352">
        <v>200719.96</v>
      </c>
    </row>
    <row r="21" spans="2:5" x14ac:dyDescent="0.3">
      <c r="B21" s="361"/>
      <c r="C21" s="16">
        <v>480</v>
      </c>
      <c r="D21" s="17" t="s">
        <v>191</v>
      </c>
      <c r="E21" s="352">
        <v>82653.239999999991</v>
      </c>
    </row>
    <row r="22" spans="2:5" x14ac:dyDescent="0.3">
      <c r="B22" s="361"/>
      <c r="C22" s="16">
        <v>475</v>
      </c>
      <c r="D22" s="17" t="s">
        <v>192</v>
      </c>
      <c r="E22" s="352">
        <v>0</v>
      </c>
    </row>
    <row r="23" spans="2:5" x14ac:dyDescent="0.3">
      <c r="B23" s="361"/>
      <c r="C23" s="16">
        <v>475</v>
      </c>
      <c r="D23" s="17" t="s">
        <v>193</v>
      </c>
      <c r="E23" s="352">
        <v>6655973.9499999993</v>
      </c>
    </row>
    <row r="24" spans="2:5" x14ac:dyDescent="0.3">
      <c r="B24" s="361"/>
      <c r="C24" s="16">
        <v>475</v>
      </c>
      <c r="D24" s="17" t="s">
        <v>194</v>
      </c>
      <c r="E24" s="352">
        <v>18462961.049999997</v>
      </c>
    </row>
    <row r="25" spans="2:5" x14ac:dyDescent="0.3">
      <c r="B25" s="361"/>
      <c r="C25" s="16">
        <v>477</v>
      </c>
      <c r="D25" s="17" t="s">
        <v>195</v>
      </c>
      <c r="E25" s="352">
        <v>2449129</v>
      </c>
    </row>
    <row r="26" spans="2:5" x14ac:dyDescent="0.3">
      <c r="B26" s="361"/>
      <c r="C26" s="16">
        <v>477</v>
      </c>
      <c r="D26" s="17" t="s">
        <v>196</v>
      </c>
      <c r="E26" s="352">
        <v>576367.02</v>
      </c>
    </row>
    <row r="27" spans="2:5" x14ac:dyDescent="0.3">
      <c r="B27" s="361"/>
      <c r="C27" s="16">
        <v>478</v>
      </c>
      <c r="D27" s="17" t="s">
        <v>197</v>
      </c>
      <c r="E27" s="352">
        <v>2159749.4699999997</v>
      </c>
    </row>
    <row r="28" spans="2:5" x14ac:dyDescent="0.3">
      <c r="B28" s="361"/>
      <c r="C28" s="16">
        <v>478</v>
      </c>
      <c r="D28" s="17" t="s">
        <v>198</v>
      </c>
      <c r="E28" s="352">
        <v>14139.4</v>
      </c>
    </row>
    <row r="29" spans="2:5" x14ac:dyDescent="0.3">
      <c r="B29" s="361"/>
      <c r="C29" s="16">
        <v>478</v>
      </c>
      <c r="D29" s="17" t="s">
        <v>199</v>
      </c>
      <c r="E29" s="352">
        <v>3858183.1999999993</v>
      </c>
    </row>
    <row r="30" spans="2:5" x14ac:dyDescent="0.3">
      <c r="B30" s="361"/>
      <c r="C30" s="16">
        <v>474</v>
      </c>
      <c r="D30" s="17" t="s">
        <v>200</v>
      </c>
      <c r="E30" s="352">
        <v>1238865.5699999998</v>
      </c>
    </row>
    <row r="31" spans="2:5" x14ac:dyDescent="0.3">
      <c r="B31" s="361"/>
      <c r="C31" s="16">
        <v>473</v>
      </c>
      <c r="D31" s="17" t="s">
        <v>201</v>
      </c>
      <c r="E31" s="352">
        <v>7764472.3200000003</v>
      </c>
    </row>
    <row r="32" spans="2:5" x14ac:dyDescent="0.3">
      <c r="B32" s="361"/>
      <c r="C32" s="16">
        <v>491</v>
      </c>
      <c r="D32" s="17" t="s">
        <v>202</v>
      </c>
      <c r="E32" s="352">
        <v>759686.65999999992</v>
      </c>
    </row>
    <row r="33" spans="2:6" x14ac:dyDescent="0.3">
      <c r="B33" s="361"/>
      <c r="C33" s="16">
        <v>482</v>
      </c>
      <c r="D33" s="17" t="s">
        <v>203</v>
      </c>
      <c r="E33" s="352">
        <v>819326.52</v>
      </c>
    </row>
    <row r="34" spans="2:6" x14ac:dyDescent="0.3">
      <c r="B34" s="361"/>
      <c r="C34" s="16">
        <v>486</v>
      </c>
      <c r="D34" s="17" t="s">
        <v>204</v>
      </c>
      <c r="E34" s="352">
        <v>929193.56000000017</v>
      </c>
    </row>
    <row r="35" spans="2:6" x14ac:dyDescent="0.3">
      <c r="B35" s="361"/>
      <c r="C35" s="16">
        <v>485</v>
      </c>
      <c r="D35" s="17" t="s">
        <v>205</v>
      </c>
      <c r="E35" s="352">
        <v>33032.959999999999</v>
      </c>
    </row>
    <row r="36" spans="2:6" ht="14.5" thickBot="1" x14ac:dyDescent="0.35">
      <c r="B36" s="362"/>
      <c r="C36" s="18">
        <v>484</v>
      </c>
      <c r="D36" s="19" t="s">
        <v>206</v>
      </c>
      <c r="E36" s="352">
        <v>911253.39999999991</v>
      </c>
    </row>
    <row r="37" spans="2:6" x14ac:dyDescent="0.3">
      <c r="B37" s="20" t="str">
        <f>D37</f>
        <v>Accumulated Depreciation</v>
      </c>
      <c r="C37" s="21"/>
      <c r="D37" s="15" t="s">
        <v>207</v>
      </c>
      <c r="E37" s="351">
        <v>-22661723.84</v>
      </c>
    </row>
    <row r="38" spans="2:6" ht="14.5" thickBot="1" x14ac:dyDescent="0.35">
      <c r="B38" s="22" t="str">
        <f>D38</f>
        <v>Depreciation Expense</v>
      </c>
      <c r="C38" s="23"/>
      <c r="D38" s="19" t="s">
        <v>0</v>
      </c>
      <c r="E38" s="353">
        <v>-1302707.17</v>
      </c>
    </row>
    <row r="39" spans="2:6" ht="14.5" thickBot="1" x14ac:dyDescent="0.35"/>
    <row r="40" spans="2:6" x14ac:dyDescent="0.3">
      <c r="B40" s="360" t="s">
        <v>50</v>
      </c>
      <c r="C40" s="21"/>
      <c r="D40" s="15" t="s">
        <v>157</v>
      </c>
      <c r="E40" s="351">
        <v>1811707.0689999999</v>
      </c>
      <c r="F40" s="111"/>
    </row>
    <row r="41" spans="2:6" x14ac:dyDescent="0.3">
      <c r="B41" s="361"/>
      <c r="D41" s="17" t="s">
        <v>158</v>
      </c>
      <c r="E41" s="352">
        <v>445202.15</v>
      </c>
      <c r="F41" s="111"/>
    </row>
    <row r="42" spans="2:6" x14ac:dyDescent="0.3">
      <c r="B42" s="361"/>
      <c r="D42" s="17" t="s">
        <v>159</v>
      </c>
      <c r="E42" s="352">
        <v>-419295.527</v>
      </c>
      <c r="F42" s="111"/>
    </row>
    <row r="43" spans="2:6" x14ac:dyDescent="0.3">
      <c r="B43" s="361"/>
      <c r="D43" s="17" t="s">
        <v>160</v>
      </c>
      <c r="E43" s="352">
        <v>-502054.13660067396</v>
      </c>
      <c r="F43" s="111"/>
    </row>
    <row r="44" spans="2:6" x14ac:dyDescent="0.3">
      <c r="B44" s="361"/>
      <c r="D44" s="17" t="s">
        <v>161</v>
      </c>
      <c r="E44" s="352">
        <v>1085178.45</v>
      </c>
      <c r="F44" s="111"/>
    </row>
    <row r="45" spans="2:6" x14ac:dyDescent="0.3">
      <c r="B45" s="361"/>
      <c r="D45" s="17" t="s">
        <v>162</v>
      </c>
      <c r="E45" s="352">
        <v>269701</v>
      </c>
      <c r="F45" s="111"/>
    </row>
    <row r="46" spans="2:6" x14ac:dyDescent="0.3">
      <c r="B46" s="361"/>
      <c r="D46" s="17" t="s">
        <v>163</v>
      </c>
      <c r="E46" s="352">
        <v>139000</v>
      </c>
      <c r="F46" s="111"/>
    </row>
    <row r="47" spans="2:6" x14ac:dyDescent="0.3">
      <c r="B47" s="361"/>
      <c r="D47" s="17" t="s">
        <v>164</v>
      </c>
      <c r="E47" s="352">
        <v>35735</v>
      </c>
      <c r="F47" s="111"/>
    </row>
    <row r="48" spans="2:6" x14ac:dyDescent="0.3">
      <c r="B48" s="361"/>
      <c r="D48" s="17" t="s">
        <v>165</v>
      </c>
      <c r="E48" s="352">
        <v>28161.439999999999</v>
      </c>
      <c r="F48" s="111"/>
    </row>
    <row r="49" spans="2:6" x14ac:dyDescent="0.3">
      <c r="B49" s="361"/>
      <c r="D49" s="17" t="s">
        <v>166</v>
      </c>
      <c r="E49" s="352">
        <v>123247.89</v>
      </c>
      <c r="F49" s="111"/>
    </row>
    <row r="50" spans="2:6" x14ac:dyDescent="0.3">
      <c r="B50" s="361"/>
      <c r="D50" s="17" t="s">
        <v>167</v>
      </c>
      <c r="E50" s="352">
        <v>120848.82</v>
      </c>
      <c r="F50" s="111"/>
    </row>
    <row r="51" spans="2:6" x14ac:dyDescent="0.3">
      <c r="B51" s="361"/>
      <c r="D51" s="17" t="s">
        <v>168</v>
      </c>
      <c r="E51" s="352">
        <v>134860.37</v>
      </c>
      <c r="F51" s="111"/>
    </row>
    <row r="52" spans="2:6" x14ac:dyDescent="0.3">
      <c r="B52" s="361"/>
      <c r="D52" s="17" t="s">
        <v>169</v>
      </c>
      <c r="E52" s="352">
        <v>25271.11</v>
      </c>
      <c r="F52" s="111"/>
    </row>
    <row r="53" spans="2:6" x14ac:dyDescent="0.3">
      <c r="B53" s="361"/>
      <c r="D53" s="17" t="s">
        <v>170</v>
      </c>
      <c r="E53" s="352">
        <v>147778.01999999999</v>
      </c>
      <c r="F53" s="111"/>
    </row>
    <row r="54" spans="2:6" x14ac:dyDescent="0.3">
      <c r="B54" s="361"/>
      <c r="D54" s="17" t="s">
        <v>171</v>
      </c>
      <c r="E54" s="352">
        <v>26770.62</v>
      </c>
      <c r="F54" s="111"/>
    </row>
    <row r="55" spans="2:6" x14ac:dyDescent="0.3">
      <c r="B55" s="361"/>
      <c r="D55" s="17" t="s">
        <v>172</v>
      </c>
      <c r="E55" s="352">
        <v>24386.51</v>
      </c>
      <c r="F55" s="111"/>
    </row>
    <row r="56" spans="2:6" x14ac:dyDescent="0.3">
      <c r="B56" s="361"/>
      <c r="D56" s="17" t="s">
        <v>173</v>
      </c>
      <c r="E56" s="352">
        <v>19684.27</v>
      </c>
      <c r="F56" s="111"/>
    </row>
    <row r="57" spans="2:6" x14ac:dyDescent="0.3">
      <c r="B57" s="361"/>
      <c r="D57" s="17" t="s">
        <v>174</v>
      </c>
      <c r="E57" s="352">
        <v>42684</v>
      </c>
      <c r="F57" s="111"/>
    </row>
    <row r="58" spans="2:6" x14ac:dyDescent="0.3">
      <c r="B58" s="361"/>
      <c r="D58" s="17" t="s">
        <v>175</v>
      </c>
      <c r="E58" s="352">
        <v>1021</v>
      </c>
      <c r="F58" s="111"/>
    </row>
    <row r="59" spans="2:6" x14ac:dyDescent="0.3">
      <c r="B59" s="361"/>
      <c r="D59" s="17" t="s">
        <v>176</v>
      </c>
      <c r="E59" s="352">
        <v>0</v>
      </c>
      <c r="F59" s="111"/>
    </row>
    <row r="60" spans="2:6" x14ac:dyDescent="0.3">
      <c r="B60" s="361"/>
      <c r="D60" s="17" t="s">
        <v>1</v>
      </c>
      <c r="E60" s="352">
        <v>580202.73</v>
      </c>
      <c r="F60" s="111"/>
    </row>
    <row r="61" spans="2:6" x14ac:dyDescent="0.3">
      <c r="B61" s="361"/>
      <c r="D61" s="17" t="s">
        <v>177</v>
      </c>
      <c r="E61" s="352">
        <v>14746.3</v>
      </c>
      <c r="F61" s="111"/>
    </row>
    <row r="62" spans="2:6" x14ac:dyDescent="0.3">
      <c r="B62" s="361"/>
      <c r="D62" s="17" t="s">
        <v>178</v>
      </c>
      <c r="E62" s="352">
        <v>0</v>
      </c>
      <c r="F62" s="111"/>
    </row>
    <row r="63" spans="2:6" x14ac:dyDescent="0.3">
      <c r="B63" s="361"/>
      <c r="D63" s="17" t="s">
        <v>179</v>
      </c>
      <c r="E63" s="352">
        <v>97066.32</v>
      </c>
      <c r="F63" s="111"/>
    </row>
    <row r="64" spans="2:6" x14ac:dyDescent="0.3">
      <c r="B64" s="361"/>
      <c r="D64" s="17" t="s">
        <v>2</v>
      </c>
      <c r="E64" s="352">
        <v>0</v>
      </c>
      <c r="F64" s="111"/>
    </row>
    <row r="65" spans="2:6" ht="14.5" thickBot="1" x14ac:dyDescent="0.35">
      <c r="B65" s="362"/>
      <c r="C65" s="23"/>
      <c r="D65" s="19" t="s">
        <v>180</v>
      </c>
      <c r="E65" s="355">
        <v>60000</v>
      </c>
      <c r="F65" s="111"/>
    </row>
    <row r="66" spans="2:6" x14ac:dyDescent="0.3">
      <c r="B66" s="20" t="str">
        <f>D66</f>
        <v>LEAP</v>
      </c>
      <c r="C66" s="21"/>
      <c r="D66" s="15" t="s">
        <v>181</v>
      </c>
      <c r="E66" s="351">
        <v>10055</v>
      </c>
      <c r="F66" s="111"/>
    </row>
    <row r="67" spans="2:6" x14ac:dyDescent="0.3">
      <c r="B67" s="24" t="str">
        <f>D67</f>
        <v>Disallowed Cost</v>
      </c>
      <c r="D67" s="17" t="s">
        <v>182</v>
      </c>
      <c r="E67" s="352">
        <v>-180000</v>
      </c>
      <c r="F67" s="111"/>
    </row>
    <row r="68" spans="2:6" ht="14.5" thickBot="1" x14ac:dyDescent="0.35">
      <c r="B68" s="22" t="str">
        <f>D68</f>
        <v>Property Taxes</v>
      </c>
      <c r="C68" s="23"/>
      <c r="D68" s="19" t="s">
        <v>45</v>
      </c>
      <c r="E68" s="355">
        <v>705564</v>
      </c>
      <c r="F68" s="111"/>
    </row>
    <row r="69" spans="2:6" ht="14.5" thickBot="1" x14ac:dyDescent="0.35"/>
    <row r="70" spans="2:6" x14ac:dyDescent="0.3">
      <c r="B70" s="20"/>
      <c r="C70" s="14">
        <v>560</v>
      </c>
      <c r="D70" s="15" t="s">
        <v>8</v>
      </c>
      <c r="E70" s="356">
        <v>-36939.999999995998</v>
      </c>
    </row>
    <row r="71" spans="2:6" x14ac:dyDescent="0.3">
      <c r="B71" s="24" t="s">
        <v>2</v>
      </c>
      <c r="C71" s="16">
        <v>579</v>
      </c>
      <c r="D71" s="17" t="s">
        <v>9</v>
      </c>
      <c r="E71" s="357">
        <v>-2976</v>
      </c>
    </row>
    <row r="72" spans="2:6" x14ac:dyDescent="0.3">
      <c r="B72" s="24" t="s">
        <v>142</v>
      </c>
      <c r="C72" s="16">
        <v>579</v>
      </c>
      <c r="D72" s="17" t="s">
        <v>10</v>
      </c>
      <c r="E72" s="357">
        <v>-37332</v>
      </c>
    </row>
    <row r="73" spans="2:6" x14ac:dyDescent="0.3">
      <c r="B73" s="24"/>
      <c r="C73" s="16">
        <v>579</v>
      </c>
      <c r="D73" s="17" t="s">
        <v>11</v>
      </c>
      <c r="E73" s="357"/>
    </row>
    <row r="74" spans="2:6" ht="14.5" thickBot="1" x14ac:dyDescent="0.35">
      <c r="B74" s="22"/>
      <c r="C74" s="18">
        <v>579</v>
      </c>
      <c r="D74" s="19" t="s">
        <v>12</v>
      </c>
      <c r="E74" s="358">
        <v>-31140</v>
      </c>
    </row>
    <row r="75" spans="2:6" ht="14.5" thickBot="1" x14ac:dyDescent="0.35"/>
    <row r="76" spans="2:6" ht="14.5" thickBot="1" x14ac:dyDescent="0.35">
      <c r="B76" s="25"/>
      <c r="C76" s="26"/>
      <c r="D76" s="27" t="s">
        <v>44</v>
      </c>
      <c r="E76" s="359">
        <v>9991871.0799999982</v>
      </c>
    </row>
  </sheetData>
  <mergeCells count="2">
    <mergeCell ref="B13:B36"/>
    <mergeCell ref="B40:B65"/>
  </mergeCells>
  <pageMargins left="0.7" right="0.7" top="0.75" bottom="0.75" header="0.3" footer="0.3"/>
  <pageSetup scale="95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B1:N31"/>
  <sheetViews>
    <sheetView showGridLines="0" workbookViewId="0">
      <pane xSplit="3" ySplit="5" topLeftCell="D6" activePane="bottomRight" state="frozen"/>
      <selection pane="topRight" activeCell="D1" sqref="D1"/>
      <selection pane="bottomLeft" activeCell="A3" sqref="A3"/>
      <selection pane="bottomRight" activeCell="J31" sqref="J31"/>
    </sheetView>
  </sheetViews>
  <sheetFormatPr defaultColWidth="9" defaultRowHeight="14.5" x14ac:dyDescent="0.35"/>
  <cols>
    <col min="1" max="1" width="0" style="184" hidden="1" customWidth="1"/>
    <col min="2" max="2" width="32.6328125" style="184" bestFit="1" customWidth="1"/>
    <col min="3" max="3" width="14.08984375" style="184" bestFit="1" customWidth="1"/>
    <col min="4" max="11" width="11.26953125" style="184" customWidth="1"/>
    <col min="12" max="16384" width="9" style="184"/>
  </cols>
  <sheetData>
    <row r="1" spans="2:14" x14ac:dyDescent="0.35">
      <c r="B1" s="183" t="s">
        <v>266</v>
      </c>
    </row>
    <row r="2" spans="2:14" x14ac:dyDescent="0.35">
      <c r="B2" s="183" t="s">
        <v>265</v>
      </c>
    </row>
    <row r="3" spans="2:14" x14ac:dyDescent="0.35">
      <c r="B3" s="183" t="s">
        <v>267</v>
      </c>
    </row>
    <row r="4" spans="2:14" ht="15" thickBot="1" x14ac:dyDescent="0.4">
      <c r="B4" s="183" t="str">
        <f ca="1">MID(CELL("filename",B1),FIND("]",CELL("filename",B1))+1,255)</f>
        <v>Allocators</v>
      </c>
    </row>
    <row r="5" spans="2:14" ht="29" x14ac:dyDescent="0.35">
      <c r="B5" s="279" t="s">
        <v>55</v>
      </c>
      <c r="C5" s="55" t="s">
        <v>95</v>
      </c>
      <c r="D5" s="55" t="s">
        <v>57</v>
      </c>
      <c r="E5" s="55" t="s">
        <v>59</v>
      </c>
      <c r="F5" s="55" t="s">
        <v>58</v>
      </c>
      <c r="G5" s="55" t="s">
        <v>60</v>
      </c>
      <c r="H5" s="55" t="s">
        <v>61</v>
      </c>
      <c r="I5" s="55" t="s">
        <v>62</v>
      </c>
      <c r="J5" s="55" t="s">
        <v>63</v>
      </c>
      <c r="K5" s="55" t="s">
        <v>64</v>
      </c>
      <c r="L5" s="56" t="s">
        <v>20</v>
      </c>
    </row>
    <row r="6" spans="2:14" x14ac:dyDescent="0.35">
      <c r="B6" s="201" t="s">
        <v>83</v>
      </c>
      <c r="C6" s="202" t="s">
        <v>85</v>
      </c>
      <c r="D6" s="280">
        <f>'Customer Data'!C15/('Customer Data'!$K$15)</f>
        <v>0.36990873325564616</v>
      </c>
      <c r="E6" s="280">
        <f>'Customer Data'!D15/('Customer Data'!$K$15)</f>
        <v>0.11679824454580874</v>
      </c>
      <c r="F6" s="280">
        <f>'Customer Data'!E15/('Customer Data'!$K$15)</f>
        <v>3.6235857073813632E-2</v>
      </c>
      <c r="G6" s="280">
        <f>'Customer Data'!F15/('Customer Data'!$K$15)</f>
        <v>2.4938584314562876E-3</v>
      </c>
      <c r="H6" s="280">
        <f>'Customer Data'!G15/('Customer Data'!$K$15)</f>
        <v>0.10690858713548466</v>
      </c>
      <c r="I6" s="280">
        <f>'Customer Data'!H15/('Customer Data'!$K$15)</f>
        <v>0</v>
      </c>
      <c r="J6" s="280">
        <f>'Customer Data'!I15/('Customer Data'!$K$15)</f>
        <v>0</v>
      </c>
      <c r="K6" s="280">
        <f>'Customer Data'!J15/('Customer Data'!$K$15)</f>
        <v>0.36765471955779055</v>
      </c>
      <c r="L6" s="281">
        <f>SUM(D6:K6)</f>
        <v>1</v>
      </c>
      <c r="N6" s="218"/>
    </row>
    <row r="7" spans="2:14" x14ac:dyDescent="0.35">
      <c r="B7" s="201" t="s">
        <v>150</v>
      </c>
      <c r="C7" s="202" t="s">
        <v>139</v>
      </c>
      <c r="D7" s="280">
        <f>'Customer Data'!C15/('Customer Data'!$K$15-'Customer Data'!$J$15)</f>
        <v>0.58497903708075893</v>
      </c>
      <c r="E7" s="280">
        <f>'Customer Data'!D15/('Customer Data'!$K$15-'Customer Data'!$J$15)</f>
        <v>0.18470643833085906</v>
      </c>
      <c r="F7" s="280">
        <f>'Customer Data'!E15/('Customer Data'!$K$15-'Customer Data'!$J$15)</f>
        <v>5.7303910054445732E-2</v>
      </c>
      <c r="G7" s="280">
        <f>'Customer Data'!F15/('Customer Data'!$K$15-'Customer Data'!$J$15)</f>
        <v>3.9438239022078119E-3</v>
      </c>
      <c r="H7" s="280">
        <f>'Customer Data'!G15/('Customer Data'!$K$15-'Customer Data'!$J$15)</f>
        <v>0.1690667906317285</v>
      </c>
      <c r="I7" s="280">
        <f>'Customer Data'!H15/('Customer Data'!$K$15-'Customer Data'!$J$15)</f>
        <v>0</v>
      </c>
      <c r="J7" s="280">
        <f>'Customer Data'!I15/('Customer Data'!$K$15-'Customer Data'!$J$15)</f>
        <v>0</v>
      </c>
      <c r="K7" s="280"/>
      <c r="L7" s="281">
        <f>SUM(D7:K7)</f>
        <v>1</v>
      </c>
      <c r="N7" s="218"/>
    </row>
    <row r="8" spans="2:14" x14ac:dyDescent="0.35">
      <c r="B8" s="201" t="s">
        <v>84</v>
      </c>
      <c r="C8" s="202" t="s">
        <v>86</v>
      </c>
      <c r="D8" s="280">
        <f>'Customer Data'!C19/('Customer Data'!$K$19)</f>
        <v>0.27199283877227276</v>
      </c>
      <c r="E8" s="280">
        <f>'Customer Data'!D19/('Customer Data'!$K$19)</f>
        <v>8.660993357477817E-2</v>
      </c>
      <c r="F8" s="280">
        <f>'Customer Data'!E19/('Customer Data'!$K$19)</f>
        <v>2.8649639979354873E-2</v>
      </c>
      <c r="G8" s="280">
        <f>'Customer Data'!F19/('Customer Data'!$K$19)</f>
        <v>3.147916219074455E-2</v>
      </c>
      <c r="H8" s="280">
        <f>'Customer Data'!G19/('Customer Data'!$K$19)</f>
        <v>7.7006607888855355E-2</v>
      </c>
      <c r="I8" s="280">
        <f>'Customer Data'!H19/('Customer Data'!$K$19)</f>
        <v>0.18855104859638963</v>
      </c>
      <c r="J8" s="280">
        <f>'Customer Data'!I19/('Customer Data'!$K$19)</f>
        <v>2.2647116850933503E-2</v>
      </c>
      <c r="K8" s="280">
        <f>'Customer Data'!J19/('Customer Data'!$K$19)</f>
        <v>0.29306365214667124</v>
      </c>
      <c r="L8" s="281">
        <f t="shared" ref="L8:L29" si="0">SUM(D8:K8)</f>
        <v>1</v>
      </c>
      <c r="N8" s="218"/>
    </row>
    <row r="9" spans="2:14" x14ac:dyDescent="0.35">
      <c r="B9" s="201" t="s">
        <v>151</v>
      </c>
      <c r="C9" s="202" t="s">
        <v>140</v>
      </c>
      <c r="D9" s="280">
        <f>'Customer Data'!C19/('Customer Data'!$K$19-'Customer Data'!$J$19)</f>
        <v>0.38474869710434573</v>
      </c>
      <c r="E9" s="280">
        <f>'Customer Data'!D19/('Customer Data'!$K$19-'Customer Data'!$J$19)</f>
        <v>0.12251447225450561</v>
      </c>
      <c r="F9" s="280">
        <f>'Customer Data'!E19/('Customer Data'!$K$19-'Customer Data'!$J$19)</f>
        <v>4.0526477477571911E-2</v>
      </c>
      <c r="G9" s="280">
        <f>'Customer Data'!F19/('Customer Data'!$K$19-'Customer Data'!$J$19)</f>
        <v>4.4528990886285105E-2</v>
      </c>
      <c r="H9" s="280">
        <f>'Customer Data'!G19/('Customer Data'!$K$19-'Customer Data'!$J$19)</f>
        <v>0.10893004458278649</v>
      </c>
      <c r="I9" s="280">
        <f>'Customer Data'!H19/('Customer Data'!$K$19-'Customer Data'!$J$19)</f>
        <v>0.26671573638693302</v>
      </c>
      <c r="J9" s="280">
        <f>'Customer Data'!I19/('Customer Data'!$K$19-'Customer Data'!$J$19)</f>
        <v>3.2035581307572267E-2</v>
      </c>
      <c r="K9" s="280"/>
      <c r="L9" s="281">
        <f t="shared" si="0"/>
        <v>1.0000000000000002</v>
      </c>
      <c r="N9" s="218"/>
    </row>
    <row r="10" spans="2:14" x14ac:dyDescent="0.35">
      <c r="B10" s="201" t="s">
        <v>76</v>
      </c>
      <c r="C10" s="202" t="s">
        <v>92</v>
      </c>
      <c r="D10" s="280">
        <f>('Customer Data'!C15+'Customer Data'!C19)/('Customer Data'!$K$15+'Customer Data'!$K$19)</f>
        <v>0.31542373288602232</v>
      </c>
      <c r="E10" s="280">
        <f>('Customer Data'!D15+'Customer Data'!D19)/('Customer Data'!$K$15+'Customer Data'!$K$19)</f>
        <v>0.10000005112590166</v>
      </c>
      <c r="F10" s="280">
        <f>('Customer Data'!E15+'Customer Data'!E19)/('Customer Data'!$K$15+'Customer Data'!$K$19)</f>
        <v>3.201452974614654E-2</v>
      </c>
      <c r="G10" s="280">
        <f>('Customer Data'!F15+'Customer Data'!F19)/('Customer Data'!$K$15+'Customer Data'!$K$19)</f>
        <v>1.8622642163362523E-2</v>
      </c>
      <c r="H10" s="280">
        <f>('Customer Data'!G15+'Customer Data'!G19)/('Customer Data'!$K$15+'Customer Data'!$K$19)</f>
        <v>9.0269722128928157E-2</v>
      </c>
      <c r="I10" s="280">
        <f>('Customer Data'!H15+'Customer Data'!H19)/('Customer Data'!$K$15+'Customer Data'!$K$19)</f>
        <v>0.10491865500152982</v>
      </c>
      <c r="J10" s="280">
        <f>('Customer Data'!I15+'Customer Data'!I19)/('Customer Data'!$K$15+'Customer Data'!$K$19)</f>
        <v>1.2601918988786372E-2</v>
      </c>
      <c r="K10" s="280">
        <f>('Customer Data'!J15+'Customer Data'!J19)/('Customer Data'!$K$15+'Customer Data'!$K$19)</f>
        <v>0.32614874795932269</v>
      </c>
      <c r="L10" s="281">
        <f t="shared" si="0"/>
        <v>1</v>
      </c>
      <c r="N10" s="218"/>
    </row>
    <row r="11" spans="2:14" x14ac:dyDescent="0.35">
      <c r="B11" s="201" t="s">
        <v>152</v>
      </c>
      <c r="C11" s="202" t="s">
        <v>141</v>
      </c>
      <c r="D11" s="280">
        <f>('Customer Data'!C15+'Customer Data'!C19)/('Customer Data'!$K$15+'Customer Data'!$K$19-'Customer Data'!$J$15-'Customer Data'!$J$19)</f>
        <v>0.46809103927728796</v>
      </c>
      <c r="E11" s="280">
        <f>('Customer Data'!D15+'Customer Data'!D19)/('Customer Data'!$K$15+'Customer Data'!$K$19-'Customer Data'!$J$15-'Customer Data'!$J$19)</f>
        <v>0.14840077958312545</v>
      </c>
      <c r="F11" s="280">
        <f>('Customer Data'!E15+'Customer Data'!E19)/('Customer Data'!$K$15+'Customer Data'!$K$19-'Customer Data'!$J$15-'Customer Data'!$J$19)</f>
        <v>4.7509787433345857E-2</v>
      </c>
      <c r="G11" s="280">
        <f>('Customer Data'!F15+'Customer Data'!F19)/('Customer Data'!$K$15+'Customer Data'!$K$19-'Customer Data'!$J$15-'Customer Data'!$J$19)</f>
        <v>2.7636132020184122E-2</v>
      </c>
      <c r="H11" s="280">
        <f>('Customer Data'!G15+'Customer Data'!G19)/('Customer Data'!$K$15+'Customer Data'!$K$19-'Customer Data'!$J$15-'Customer Data'!$J$19)</f>
        <v>0.13396090287813101</v>
      </c>
      <c r="I11" s="280">
        <f>('Customer Data'!H15+'Customer Data'!H19)/('Customer Data'!$K$15+'Customer Data'!$K$19-'Customer Data'!$J$15-'Customer Data'!$J$19)</f>
        <v>0.15570002234735977</v>
      </c>
      <c r="J11" s="280">
        <f>('Customer Data'!I15+'Customer Data'!I19)/('Customer Data'!$K$15+'Customer Data'!$K$19-'Customer Data'!$J$15-'Customer Data'!$J$19)</f>
        <v>1.8701336460566008E-2</v>
      </c>
      <c r="K11" s="280"/>
      <c r="L11" s="281">
        <f t="shared" si="0"/>
        <v>1.0000000000000002</v>
      </c>
      <c r="N11" s="218"/>
    </row>
    <row r="12" spans="2:14" x14ac:dyDescent="0.35">
      <c r="B12" s="201" t="s">
        <v>223</v>
      </c>
      <c r="C12" s="202" t="s">
        <v>224</v>
      </c>
      <c r="D12" s="280">
        <f>D11*(1-$K$12)</f>
        <v>0.36674136817030678</v>
      </c>
      <c r="E12" s="280">
        <f t="shared" ref="E12:J12" si="1">E11*(1-$K$12)</f>
        <v>0.11626948686282247</v>
      </c>
      <c r="F12" s="280">
        <f t="shared" si="1"/>
        <v>3.7223110426739411E-2</v>
      </c>
      <c r="G12" s="280">
        <f t="shared" si="1"/>
        <v>2.1652439413636346E-2</v>
      </c>
      <c r="H12" s="280">
        <f t="shared" si="1"/>
        <v>0.10495608905205359</v>
      </c>
      <c r="I12" s="280">
        <f t="shared" si="1"/>
        <v>0.12198831942602552</v>
      </c>
      <c r="J12" s="280">
        <f t="shared" si="1"/>
        <v>1.465217905207185E-2</v>
      </c>
      <c r="K12" s="280">
        <f>Assets!H16/(Assets!H16+Assets!H17)</f>
        <v>0.21651700759634418</v>
      </c>
      <c r="L12" s="281">
        <f t="shared" si="0"/>
        <v>1</v>
      </c>
      <c r="N12" s="218"/>
    </row>
    <row r="13" spans="2:14" x14ac:dyDescent="0.35">
      <c r="B13" s="201" t="s">
        <v>114</v>
      </c>
      <c r="C13" s="202" t="s">
        <v>136</v>
      </c>
      <c r="D13" s="280">
        <f>'Customer Data'!C6/'Customer Data'!$K$6</f>
        <v>0.19440725020458399</v>
      </c>
      <c r="E13" s="280">
        <f>'Customer Data'!D6/'Customer Data'!$K$6</f>
        <v>6.0881163172335565E-2</v>
      </c>
      <c r="F13" s="280">
        <f>'Customer Data'!E6/'Customer Data'!$K$6</f>
        <v>2.6405064297655493E-2</v>
      </c>
      <c r="G13" s="280">
        <f>'Customer Data'!F6/'Customer Data'!$K$6</f>
        <v>8.180705083024457E-3</v>
      </c>
      <c r="H13" s="280">
        <f>'Customer Data'!G6/'Customer Data'!$K$6</f>
        <v>3.8511404376596163E-2</v>
      </c>
      <c r="I13" s="280">
        <f>'Customer Data'!H6/'Customer Data'!$K$6</f>
        <v>2.2947555696176746E-2</v>
      </c>
      <c r="J13" s="280">
        <f>'Customer Data'!I6/'Customer Data'!$K$6</f>
        <v>6.3652893599407756E-3</v>
      </c>
      <c r="K13" s="280">
        <f>'Customer Data'!J6/'Customer Data'!$K$6</f>
        <v>0.64230156780968695</v>
      </c>
      <c r="L13" s="281">
        <f t="shared" si="0"/>
        <v>1</v>
      </c>
      <c r="N13" s="218"/>
    </row>
    <row r="14" spans="2:14" x14ac:dyDescent="0.35">
      <c r="B14" s="201" t="s">
        <v>149</v>
      </c>
      <c r="C14" s="202" t="s">
        <v>138</v>
      </c>
      <c r="D14" s="280">
        <f>'Customer Data'!C6/('Customer Data'!$K$6-'Customer Data'!$J$6)</f>
        <v>0.54349483450111924</v>
      </c>
      <c r="E14" s="280">
        <f>'Customer Data'!D6/('Customer Data'!$K$6-'Customer Data'!$J$6)</f>
        <v>0.17020248816730574</v>
      </c>
      <c r="F14" s="280">
        <f>'Customer Data'!E6/('Customer Data'!$K$6-'Customer Data'!$J$6)</f>
        <v>7.3819345910934017E-2</v>
      </c>
      <c r="G14" s="280">
        <f>'Customer Data'!F6/('Customer Data'!$K$6-'Customer Data'!$J$6)</f>
        <v>2.2870396811445686E-2</v>
      </c>
      <c r="H14" s="280">
        <f>'Customer Data'!G6/('Customer Data'!$K$6-'Customer Data'!$J$6)</f>
        <v>0.10766444834766906</v>
      </c>
      <c r="I14" s="280">
        <f>'Customer Data'!H6/('Customer Data'!$K$6-'Customer Data'!$J$6)</f>
        <v>6.4153358335010888E-2</v>
      </c>
      <c r="J14" s="280">
        <f>'Customer Data'!I6/('Customer Data'!$K$6-'Customer Data'!$J$6)</f>
        <v>1.7795127926515851E-2</v>
      </c>
      <c r="K14" s="280"/>
      <c r="L14" s="281">
        <f t="shared" si="0"/>
        <v>1.0000000000000004</v>
      </c>
      <c r="N14" s="218"/>
    </row>
    <row r="15" spans="2:14" x14ac:dyDescent="0.35">
      <c r="B15" s="201" t="s">
        <v>77</v>
      </c>
      <c r="C15" s="202" t="s">
        <v>87</v>
      </c>
      <c r="D15" s="280">
        <f>'Customer Data'!C22/'Customer Data'!$K$22</f>
        <v>0.85910308819094383</v>
      </c>
      <c r="E15" s="280">
        <f>'Customer Data'!D22/'Customer Data'!$K$22</f>
        <v>9.2833908942454413E-2</v>
      </c>
      <c r="F15" s="280">
        <f>'Customer Data'!E22/'Customer Data'!$K$22</f>
        <v>1.7597015264969807E-2</v>
      </c>
      <c r="G15" s="280">
        <f>'Customer Data'!F22/'Customer Data'!$K$22</f>
        <v>1.3857429784814362E-2</v>
      </c>
      <c r="H15" s="280">
        <f>'Customer Data'!G22/'Customer Data'!$K$22</f>
        <v>1.4512695535061453E-3</v>
      </c>
      <c r="I15" s="280">
        <f>'Customer Data'!H22/'Customer Data'!$K$22</f>
        <v>1.3173323988901836E-2</v>
      </c>
      <c r="J15" s="280">
        <f>'Customer Data'!I22/'Customer Data'!$K$22</f>
        <v>1.5871714195277557E-3</v>
      </c>
      <c r="K15" s="280">
        <f>'Customer Data'!J22/'Customer Data'!$K$22</f>
        <v>3.9679285488193893E-4</v>
      </c>
      <c r="L15" s="281">
        <f t="shared" si="0"/>
        <v>1.0000000000000002</v>
      </c>
      <c r="N15" s="218"/>
    </row>
    <row r="16" spans="2:14" x14ac:dyDescent="0.35">
      <c r="B16" s="201" t="s">
        <v>215</v>
      </c>
      <c r="C16" s="202" t="s">
        <v>218</v>
      </c>
      <c r="D16" s="280">
        <f>'Customer Data'!C22/('Customer Data'!$K$22-'Customer Data'!$J$22)</f>
        <v>0.85944410947275296</v>
      </c>
      <c r="E16" s="280">
        <f>'Customer Data'!D22/('Customer Data'!$K$22-'Customer Data'!$J$22)</f>
        <v>9.2870759396210284E-2</v>
      </c>
      <c r="F16" s="280">
        <f>'Customer Data'!E22/('Customer Data'!$K$22-'Customer Data'!$J$22)</f>
        <v>1.7604000406548463E-2</v>
      </c>
      <c r="G16" s="280">
        <f>'Customer Data'!F22/('Customer Data'!$K$22-'Customer Data'!$J$22)</f>
        <v>1.386293049658313E-2</v>
      </c>
      <c r="H16" s="280">
        <f>'Customer Data'!G22/('Customer Data'!$K$22-'Customer Data'!$J$22)</f>
        <v>1.4518456354806956E-3</v>
      </c>
      <c r="I16" s="280">
        <f>'Customer Data'!H22/('Customer Data'!$K$22-'Customer Data'!$J$22)</f>
        <v>1.3178553144627306E-2</v>
      </c>
      <c r="J16" s="280">
        <f>'Customer Data'!I22/('Customer Data'!$K$22-'Customer Data'!$J$22)</f>
        <v>1.5878014477972127E-3</v>
      </c>
      <c r="K16" s="280"/>
      <c r="L16" s="281">
        <f t="shared" si="0"/>
        <v>1</v>
      </c>
      <c r="N16" s="218"/>
    </row>
    <row r="17" spans="2:14" x14ac:dyDescent="0.35">
      <c r="B17" s="201" t="s">
        <v>78</v>
      </c>
      <c r="C17" s="202" t="s">
        <v>88</v>
      </c>
      <c r="D17" s="280">
        <f>'Customer Data'!C28/'Customer Data'!$K$28</f>
        <v>0.72035196962033754</v>
      </c>
      <c r="E17" s="280">
        <f>'Customer Data'!D28/'Customer Data'!$K$28</f>
        <v>0.17218425987852098</v>
      </c>
      <c r="F17" s="280">
        <f>'Customer Data'!E28/'Customer Data'!$K$28</f>
        <v>3.6237881033241374E-2</v>
      </c>
      <c r="G17" s="280">
        <f>'Customer Data'!F28/'Customer Data'!$K$28</f>
        <v>2.9241429018987748E-2</v>
      </c>
      <c r="H17" s="280">
        <f>'Customer Data'!G28/'Customer Data'!$K$28</f>
        <v>3.7681513121969978E-3</v>
      </c>
      <c r="I17" s="280">
        <f>'Customer Data'!H28/'Customer Data'!$K$28</f>
        <v>3.4448157824518245E-2</v>
      </c>
      <c r="J17" s="280">
        <f>'Customer Data'!I28/'Customer Data'!$K$28</f>
        <v>3.0145210497575983E-3</v>
      </c>
      <c r="K17" s="280">
        <f>'Customer Data'!J28/'Customer Data'!$K$28</f>
        <v>7.5363026243939956E-4</v>
      </c>
      <c r="L17" s="281">
        <f t="shared" si="0"/>
        <v>0.99999999999999989</v>
      </c>
      <c r="N17" s="218"/>
    </row>
    <row r="18" spans="2:14" x14ac:dyDescent="0.35">
      <c r="B18" s="201" t="s">
        <v>216</v>
      </c>
      <c r="C18" s="202" t="s">
        <v>219</v>
      </c>
      <c r="D18" s="280">
        <f>'Customer Data'!C28/('Customer Data'!$K$28-'Customer Data'!$J$28)</f>
        <v>0.7208952581028929</v>
      </c>
      <c r="E18" s="280">
        <f>'Customer Data'!D28/('Customer Data'!$K$28-'Customer Data'!$J$28)</f>
        <v>0.17231412101476334</v>
      </c>
      <c r="F18" s="280">
        <f>'Customer Data'!E28/('Customer Data'!$K$28-'Customer Data'!$J$28)</f>
        <v>3.6265211594172508E-2</v>
      </c>
      <c r="G18" s="280">
        <f>'Customer Data'!F28/('Customer Data'!$K$28-'Customer Data'!$J$28)</f>
        <v>2.9263482865259385E-2</v>
      </c>
      <c r="H18" s="280">
        <f>'Customer Data'!G28/('Customer Data'!$K$28-'Customer Data'!$J$28)</f>
        <v>3.7709932468272611E-3</v>
      </c>
      <c r="I18" s="280">
        <f>'Customer Data'!H28/('Customer Data'!$K$28-'Customer Data'!$J$28)</f>
        <v>3.4474138578622623E-2</v>
      </c>
      <c r="J18" s="280">
        <f>'Customer Data'!I28/('Customer Data'!$K$28-'Customer Data'!$J$28)</f>
        <v>3.0167945974618089E-3</v>
      </c>
      <c r="K18" s="280"/>
      <c r="L18" s="281">
        <f t="shared" si="0"/>
        <v>0.99999999999999989</v>
      </c>
      <c r="N18" s="218"/>
    </row>
    <row r="19" spans="2:14" x14ac:dyDescent="0.35">
      <c r="B19" s="201" t="s">
        <v>79</v>
      </c>
      <c r="C19" s="202" t="s">
        <v>89</v>
      </c>
      <c r="D19" s="280">
        <f>'Customer Data'!C25/'Customer Data'!$K$25</f>
        <v>0.91898020689402915</v>
      </c>
      <c r="E19" s="280">
        <f>'Customer Data'!D25/'Customer Data'!$K$25</f>
        <v>5.6608720199151932E-2</v>
      </c>
      <c r="F19" s="280">
        <f>'Customer Data'!E25/'Customer Data'!$K$25</f>
        <v>7.7717056544598416E-3</v>
      </c>
      <c r="G19" s="280">
        <f>'Customer Data'!F25/'Customer Data'!$K$25</f>
        <v>4.9936103884631105E-3</v>
      </c>
      <c r="H19" s="280">
        <f>'Customer Data'!G25/'Customer Data'!$K$25</f>
        <v>3.6934018638324698E-3</v>
      </c>
      <c r="I19" s="280">
        <f>'Customer Data'!H25/'Customer Data'!$K$25</f>
        <v>4.1206159989099333E-3</v>
      </c>
      <c r="J19" s="280">
        <f>'Customer Data'!I25/'Customer Data'!$K$25</f>
        <v>3.0238900597265314E-3</v>
      </c>
      <c r="K19" s="280">
        <f>'Customer Data'!J25/'Customer Data'!$K$25</f>
        <v>8.078489414270495E-4</v>
      </c>
      <c r="L19" s="281">
        <f t="shared" si="0"/>
        <v>1.0000000000000002</v>
      </c>
      <c r="N19" s="218"/>
    </row>
    <row r="20" spans="2:14" x14ac:dyDescent="0.35">
      <c r="B20" s="201" t="s">
        <v>217</v>
      </c>
      <c r="C20" s="202" t="s">
        <v>220</v>
      </c>
      <c r="D20" s="280">
        <f>'Customer Data'!C25/('Customer Data'!$K$25-'Customer Data'!$J$25)</f>
        <v>0.91972320431103782</v>
      </c>
      <c r="E20" s="280">
        <f>'Customer Data'!D25/('Customer Data'!$K$25-'Customer Data'!$J$25)</f>
        <v>5.6654488467687648E-2</v>
      </c>
      <c r="F20" s="280">
        <f>'Customer Data'!E25/('Customer Data'!$K$25-'Customer Data'!$J$25)</f>
        <v>7.7779890947164395E-3</v>
      </c>
      <c r="G20" s="280">
        <f>'Customer Data'!F25/('Customer Data'!$K$25-'Customer Data'!$J$25)</f>
        <v>4.9976477328937544E-3</v>
      </c>
      <c r="H20" s="280">
        <f>'Customer Data'!G25/('Customer Data'!$K$25-'Customer Data'!$J$25)</f>
        <v>3.6963879869548353E-3</v>
      </c>
      <c r="I20" s="280">
        <f>'Customer Data'!H25/('Customer Data'!$K$25-'Customer Data'!$J$25)</f>
        <v>4.1239475255529521E-3</v>
      </c>
      <c r="J20" s="280">
        <f>'Customer Data'!I25/('Customer Data'!$K$25-'Customer Data'!$J$25)</f>
        <v>3.0263348811566779E-3</v>
      </c>
      <c r="K20" s="280"/>
      <c r="L20" s="281">
        <f t="shared" si="0"/>
        <v>1.0000000000000002</v>
      </c>
      <c r="N20" s="218"/>
    </row>
    <row r="21" spans="2:14" x14ac:dyDescent="0.35">
      <c r="B21" s="201" t="s">
        <v>80</v>
      </c>
      <c r="C21" s="202" t="s">
        <v>90</v>
      </c>
      <c r="D21" s="280">
        <f>'Customer Data'!C7/'Customer Data'!$K$7</f>
        <v>0.92496378561081605</v>
      </c>
      <c r="E21" s="280">
        <f>'Customer Data'!D7/'Customer Data'!$K$7</f>
        <v>5.6977305649444712E-2</v>
      </c>
      <c r="F21" s="280">
        <f>'Customer Data'!E7/'Customer Data'!$K$7</f>
        <v>7.8223080637373245E-3</v>
      </c>
      <c r="G21" s="280">
        <f>'Customer Data'!F7/'Customer Data'!$K$7</f>
        <v>4.8285852245292128E-3</v>
      </c>
      <c r="H21" s="280">
        <f>'Customer Data'!G7/'Customer Data'!$K$7</f>
        <v>4.8285852245292128E-4</v>
      </c>
      <c r="I21" s="280">
        <f>'Customer Data'!H7/'Customer Data'!$K$7</f>
        <v>4.4422984065668756E-3</v>
      </c>
      <c r="J21" s="280">
        <f>'Customer Data'!I7/'Customer Data'!$K$7</f>
        <v>3.8628681796233703E-4</v>
      </c>
      <c r="K21" s="280">
        <f>'Customer Data'!J7/'Customer Data'!$K$7</f>
        <v>9.6571704490584258E-5</v>
      </c>
      <c r="L21" s="281">
        <f t="shared" si="0"/>
        <v>1</v>
      </c>
      <c r="N21" s="218"/>
    </row>
    <row r="22" spans="2:14" x14ac:dyDescent="0.35">
      <c r="B22" s="201" t="s">
        <v>222</v>
      </c>
      <c r="C22" s="202" t="s">
        <v>221</v>
      </c>
      <c r="D22" s="280">
        <f>'Customer Data'!C7/('Customer Data'!$K$7-'Customer Data'!$J$7)</f>
        <v>0.92505311956731695</v>
      </c>
      <c r="E22" s="280">
        <f>'Customer Data'!D7/('Customer Data'!$K$7-'Customer Data'!$J$7)</f>
        <v>5.6982808576395594E-2</v>
      </c>
      <c r="F22" s="280">
        <f>'Customer Data'!E7/('Customer Data'!$K$7-'Customer Data'!$J$7)</f>
        <v>7.8230635503187176E-3</v>
      </c>
      <c r="G22" s="280">
        <f>'Customer Data'!F7/('Customer Data'!$K$7-'Customer Data'!$J$7)</f>
        <v>4.8290515742708132E-3</v>
      </c>
      <c r="H22" s="280">
        <f>'Customer Data'!G7/('Customer Data'!$K$7-'Customer Data'!$J$7)</f>
        <v>4.829051574270813E-4</v>
      </c>
      <c r="I22" s="280">
        <f>'Customer Data'!H7/('Customer Data'!$K$7-'Customer Data'!$J$7)</f>
        <v>4.4427274483291477E-3</v>
      </c>
      <c r="J22" s="280">
        <f>'Customer Data'!I7/('Customer Data'!$K$7-'Customer Data'!$J$7)</f>
        <v>3.8632412594166504E-4</v>
      </c>
      <c r="K22" s="280"/>
      <c r="L22" s="281">
        <f t="shared" si="0"/>
        <v>1</v>
      </c>
      <c r="N22" s="218"/>
    </row>
    <row r="23" spans="2:14" x14ac:dyDescent="0.35">
      <c r="B23" s="201" t="s">
        <v>81</v>
      </c>
      <c r="C23" s="202" t="s">
        <v>91</v>
      </c>
      <c r="D23" s="280">
        <f>'Customer Data'!C31/'Customer Data'!$K$31</f>
        <v>0.21063156291705271</v>
      </c>
      <c r="E23" s="280">
        <f>'Customer Data'!D31/'Customer Data'!$K$31</f>
        <v>0.17288903873574121</v>
      </c>
      <c r="F23" s="280">
        <f>'Customer Data'!E31/'Customer Data'!$K$31</f>
        <v>6.1615875036275775E-2</v>
      </c>
      <c r="G23" s="280">
        <f>'Customer Data'!F31/'Customer Data'!$K$31</f>
        <v>6.571304372644895E-4</v>
      </c>
      <c r="H23" s="280">
        <f>'Customer Data'!G31/'Customer Data'!$K$31</f>
        <v>0</v>
      </c>
      <c r="I23" s="280">
        <f>'Customer Data'!H31/'Customer Data'!$K$31</f>
        <v>0</v>
      </c>
      <c r="J23" s="280">
        <f>'Customer Data'!I31/'Customer Data'!$K$31</f>
        <v>0</v>
      </c>
      <c r="K23" s="280">
        <f>'Customer Data'!J31/'Customer Data'!$K$31</f>
        <v>0.5542063928736658</v>
      </c>
      <c r="L23" s="281">
        <f t="shared" si="0"/>
        <v>1</v>
      </c>
      <c r="N23" s="218"/>
    </row>
    <row r="24" spans="2:14" x14ac:dyDescent="0.35">
      <c r="B24" s="201" t="s">
        <v>122</v>
      </c>
      <c r="C24" s="202" t="s">
        <v>123</v>
      </c>
      <c r="D24" s="280">
        <f>'Customer Data'!C31/('Customer Data'!$K$31-'Customer Data'!$J$31)</f>
        <v>0.47248672827504568</v>
      </c>
      <c r="E24" s="280">
        <f>'Customer Data'!D31/('Customer Data'!$K$31-'Customer Data'!$J$31)</f>
        <v>0.38782305527038635</v>
      </c>
      <c r="F24" s="280">
        <f>'Customer Data'!E31/('Customer Data'!$K$31-'Customer Data'!$J$31)</f>
        <v>0.13821614767753804</v>
      </c>
      <c r="G24" s="280">
        <f>'Customer Data'!F31/('Customer Data'!$K$31-'Customer Data'!$J$31)</f>
        <v>1.4740687770299593E-3</v>
      </c>
      <c r="H24" s="280">
        <f>'Customer Data'!G31/('Customer Data'!$K$31-'Customer Data'!$J$31)</f>
        <v>0</v>
      </c>
      <c r="I24" s="280">
        <f>'Customer Data'!H31/('Customer Data'!$K$31-'Customer Data'!$J$31)</f>
        <v>0</v>
      </c>
      <c r="J24" s="280">
        <f>'Customer Data'!I31/('Customer Data'!$K$31-'Customer Data'!$J$31)</f>
        <v>0</v>
      </c>
      <c r="K24" s="280"/>
      <c r="L24" s="281">
        <f t="shared" si="0"/>
        <v>1.0000000000000002</v>
      </c>
      <c r="N24" s="218"/>
    </row>
    <row r="25" spans="2:14" x14ac:dyDescent="0.35">
      <c r="B25" s="201" t="s">
        <v>26</v>
      </c>
      <c r="C25" s="202" t="s">
        <v>214</v>
      </c>
      <c r="D25" s="280"/>
      <c r="E25" s="280"/>
      <c r="F25" s="280"/>
      <c r="G25" s="280"/>
      <c r="H25" s="280"/>
      <c r="I25" s="280"/>
      <c r="J25" s="280"/>
      <c r="K25" s="280">
        <v>1</v>
      </c>
      <c r="L25" s="281">
        <f t="shared" si="0"/>
        <v>1</v>
      </c>
      <c r="N25" s="218"/>
    </row>
    <row r="26" spans="2:14" x14ac:dyDescent="0.35">
      <c r="B26" s="201" t="s">
        <v>127</v>
      </c>
      <c r="C26" s="202" t="s">
        <v>128</v>
      </c>
      <c r="D26" s="280">
        <v>1</v>
      </c>
      <c r="E26" s="280"/>
      <c r="F26" s="280"/>
      <c r="G26" s="280"/>
      <c r="H26" s="280"/>
      <c r="I26" s="280"/>
      <c r="J26" s="280"/>
      <c r="K26" s="280"/>
      <c r="L26" s="281">
        <f t="shared" si="0"/>
        <v>1</v>
      </c>
      <c r="N26" s="218"/>
    </row>
    <row r="27" spans="2:14" x14ac:dyDescent="0.35">
      <c r="B27" s="201" t="s">
        <v>129</v>
      </c>
      <c r="C27" s="202" t="s">
        <v>130</v>
      </c>
      <c r="D27" s="280"/>
      <c r="E27" s="280">
        <f>'Customer Data'!D29/'Customer Data'!$K$29</f>
        <v>0.61738156021113977</v>
      </c>
      <c r="F27" s="280">
        <f>'Customer Data'!E29/'Customer Data'!$K$29</f>
        <v>0.12993405754296292</v>
      </c>
      <c r="G27" s="280">
        <f>'Customer Data'!F29/'Customer Data'!$K$29</f>
        <v>0.10484767355205839</v>
      </c>
      <c r="H27" s="280">
        <f>'Customer Data'!G29/'Customer Data'!$K$29</f>
        <v>1.35110325292053E-2</v>
      </c>
      <c r="I27" s="280">
        <f>'Customer Data'!H29/'Customer Data'!$K$29</f>
        <v>0.12351685014126937</v>
      </c>
      <c r="J27" s="280">
        <f>'Customer Data'!I29/'Customer Data'!$K$29</f>
        <v>1.080882602336424E-2</v>
      </c>
      <c r="K27" s="280"/>
      <c r="L27" s="281">
        <f t="shared" si="0"/>
        <v>0.99999999999999989</v>
      </c>
      <c r="N27" s="218"/>
    </row>
    <row r="28" spans="2:14" x14ac:dyDescent="0.35">
      <c r="B28" s="201" t="s">
        <v>98</v>
      </c>
      <c r="C28" s="202" t="s">
        <v>96</v>
      </c>
      <c r="D28" s="280">
        <f ca="1">SUM(Allocation!F$6:F$16,Allocation!F$18)/SUM(Allocation!$E$6:$E$16,Allocation!$E$18)</f>
        <v>0.58320328842816849</v>
      </c>
      <c r="E28" s="280">
        <f ca="1">SUM(Allocation!G$6:G$16,Allocation!G$18)/SUM(Allocation!$E$6:$E$16,Allocation!$E$18)</f>
        <v>0.10911683570501765</v>
      </c>
      <c r="F28" s="280">
        <f ca="1">SUM(Allocation!H$6:H$16,Allocation!H$18)/SUM(Allocation!$E$6:$E$16,Allocation!$E$18)</f>
        <v>2.7822743296564978E-2</v>
      </c>
      <c r="G28" s="280">
        <f ca="1">SUM(Allocation!I$6:I$16,Allocation!I$18)/SUM(Allocation!$E$6:$E$16,Allocation!$E$18)</f>
        <v>1.7314166774782033E-2</v>
      </c>
      <c r="H28" s="280">
        <f ca="1">SUM(Allocation!J$6:J$16,Allocation!J$18)/SUM(Allocation!$E$6:$E$16,Allocation!$E$18)</f>
        <v>4.9653858517836685E-2</v>
      </c>
      <c r="I28" s="280">
        <f ca="1">SUM(Allocation!K$6:K$16,Allocation!K$18)/SUM(Allocation!$E$6:$E$16,Allocation!$E$18)</f>
        <v>5.9754429726051328E-2</v>
      </c>
      <c r="J28" s="280">
        <f ca="1">SUM(Allocation!L$6:L$16,Allocation!L$18)/SUM(Allocation!$E$6:$E$16,Allocation!$E$18)</f>
        <v>6.9947109824651695E-3</v>
      </c>
      <c r="K28" s="280">
        <f ca="1">SUM(Allocation!M$6:M$16,Allocation!M$18)/SUM(Allocation!$E$6:$E$16,Allocation!$E$18)</f>
        <v>0.14613996656911363</v>
      </c>
      <c r="L28" s="281">
        <f t="shared" ca="1" si="0"/>
        <v>0.99999999999999989</v>
      </c>
      <c r="N28" s="218"/>
    </row>
    <row r="29" spans="2:14" x14ac:dyDescent="0.35">
      <c r="B29" s="201" t="s">
        <v>99</v>
      </c>
      <c r="C29" s="202" t="s">
        <v>97</v>
      </c>
      <c r="D29" s="280">
        <f>SUM(Allocation!F$54:F$62,Allocation!F$64:F$65)/SUM(Allocation!$E$54:$E$62,Allocation!$E$64:$E$65)</f>
        <v>0.66199653705549388</v>
      </c>
      <c r="E29" s="280">
        <f>SUM(Allocation!G$54:G$62,Allocation!G$64:G$65)/SUM(Allocation!$E$54:$E$62,Allocation!$E$64:$E$65)</f>
        <v>0.11323601201640336</v>
      </c>
      <c r="F29" s="280">
        <f>SUM(Allocation!H$54:H$62,Allocation!H$64:H$65)/SUM(Allocation!$E$54:$E$62,Allocation!$E$64:$E$65)</f>
        <v>2.7982966541020268E-2</v>
      </c>
      <c r="G29" s="280">
        <f>SUM(Allocation!I$54:I$62,Allocation!I$64:I$65)/SUM(Allocation!$E$54:$E$62,Allocation!$E$64:$E$65)</f>
        <v>1.5051473844427022E-2</v>
      </c>
      <c r="H29" s="280">
        <f>SUM(Allocation!J$54:J$62,Allocation!J$64:J$65)/SUM(Allocation!$E$54:$E$62,Allocation!$E$64:$E$65)</f>
        <v>3.3977381315691321E-2</v>
      </c>
      <c r="I29" s="280">
        <f>SUM(Allocation!K$54:K$62,Allocation!K$64:K$65)/SUM(Allocation!$E$54:$E$62,Allocation!$E$64:$E$65)</f>
        <v>4.0479914989274168E-2</v>
      </c>
      <c r="J29" s="280">
        <f>SUM(Allocation!L$54:L$62,Allocation!L$64:L$65)/SUM(Allocation!$E$54:$E$62,Allocation!$E$64:$E$65)</f>
        <v>5.0407043388368067E-3</v>
      </c>
      <c r="K29" s="280">
        <f>SUM(Allocation!M$54:M$62,Allocation!M$64:M$65)/SUM(Allocation!$E$54:$E$62,Allocation!$E$64:$E$65)</f>
        <v>0.10223500989885302</v>
      </c>
      <c r="L29" s="281">
        <f t="shared" si="0"/>
        <v>0.99999999999999989</v>
      </c>
      <c r="N29" s="218"/>
    </row>
    <row r="30" spans="2:14" x14ac:dyDescent="0.35">
      <c r="B30" s="201" t="s">
        <v>93</v>
      </c>
      <c r="C30" s="202" t="s">
        <v>94</v>
      </c>
      <c r="D30" s="280">
        <f>'Customer Revenues'!D37/'Customer Revenues'!$L$37</f>
        <v>0.63472659521752217</v>
      </c>
      <c r="E30" s="280">
        <f>'Customer Revenues'!E37/'Customer Revenues'!$L$37</f>
        <v>0.11552137885007206</v>
      </c>
      <c r="F30" s="280">
        <f>'Customer Revenues'!F37/'Customer Revenues'!$L$37</f>
        <v>4.2804842496091698E-2</v>
      </c>
      <c r="G30" s="280">
        <f>'Customer Revenues'!G37/'Customer Revenues'!$L$37</f>
        <v>1.3986810169704463E-2</v>
      </c>
      <c r="H30" s="280">
        <f>'Customer Revenues'!H37/'Customer Revenues'!$L$37</f>
        <v>4.4211347882452477E-2</v>
      </c>
      <c r="I30" s="280">
        <f>'Customer Revenues'!I37/'Customer Revenues'!$L$37</f>
        <v>3.993311943367428E-2</v>
      </c>
      <c r="J30" s="280">
        <f>'Customer Revenues'!J37/'Customer Revenues'!$L$37</f>
        <v>8.0225753423014898E-3</v>
      </c>
      <c r="K30" s="280">
        <f>'Customer Revenues'!K37/'Customer Revenues'!$L$37</f>
        <v>0.10079333060818141</v>
      </c>
      <c r="L30" s="281">
        <f>SUM(D30:K30)</f>
        <v>1</v>
      </c>
      <c r="N30" s="218"/>
    </row>
    <row r="31" spans="2:14" ht="15" thickBot="1" x14ac:dyDescent="0.4">
      <c r="B31" s="206" t="s">
        <v>241</v>
      </c>
      <c r="C31" s="262" t="s">
        <v>242</v>
      </c>
      <c r="D31" s="282">
        <f>'Customer Revenues'!D37/('Customer Revenues'!$L$37-'Customer Revenues'!$K$37)</f>
        <v>0.70587398517275413</v>
      </c>
      <c r="E31" s="282">
        <f>'Customer Revenues'!E37/('Customer Revenues'!$L$37-'Customer Revenues'!$K$37)</f>
        <v>0.12847033144027428</v>
      </c>
      <c r="F31" s="282">
        <f>'Customer Revenues'!F37/('Customer Revenues'!$L$37-'Customer Revenues'!$K$37)</f>
        <v>4.7602897034830595E-2</v>
      </c>
      <c r="G31" s="282">
        <f>'Customer Revenues'!G37/('Customer Revenues'!$L$37-'Customer Revenues'!$K$37)</f>
        <v>1.5554611243224528E-2</v>
      </c>
      <c r="H31" s="282">
        <f>'Customer Revenues'!H37/('Customer Revenues'!$L$37-'Customer Revenues'!$K$37)</f>
        <v>4.9167059573028936E-2</v>
      </c>
      <c r="I31" s="282">
        <f>'Customer Revenues'!I37/('Customer Revenues'!$L$37-'Customer Revenues'!$K$37)</f>
        <v>4.4409278526240444E-2</v>
      </c>
      <c r="J31" s="282">
        <f>'Customer Revenues'!J37/('Customer Revenues'!$L$37-'Customer Revenues'!$K$37)</f>
        <v>8.9218370096471652E-3</v>
      </c>
      <c r="K31" s="282"/>
      <c r="L31" s="283">
        <f>SUM(D31:K31)</f>
        <v>1</v>
      </c>
      <c r="N31" s="218"/>
    </row>
  </sheetData>
  <sheetProtection sheet="1" objects="1" scenarios="1"/>
  <pageMargins left="0.7" right="0.7" top="0.75" bottom="0.75" header="0.3" footer="0.3"/>
  <pageSetup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4" tint="-0.249977111117893"/>
    <pageSetUpPr fitToPage="1"/>
  </sheetPr>
  <dimension ref="B1:S30"/>
  <sheetViews>
    <sheetView showGridLines="0" workbookViewId="0">
      <pane xSplit="2" ySplit="5" topLeftCell="C6" activePane="bottomRight" state="frozen"/>
      <selection pane="topRight" activeCell="C1" sqref="C1"/>
      <selection pane="bottomLeft" activeCell="A3" sqref="A3"/>
      <selection pane="bottomRight" activeCell="J31" sqref="J31"/>
    </sheetView>
  </sheetViews>
  <sheetFormatPr defaultColWidth="9" defaultRowHeight="14.5" x14ac:dyDescent="0.35"/>
  <cols>
    <col min="1" max="1" width="0" style="184" hidden="1" customWidth="1"/>
    <col min="2" max="2" width="26.90625" style="184" customWidth="1"/>
    <col min="3" max="3" width="13.453125" style="184" customWidth="1"/>
    <col min="4" max="4" width="13.453125" style="219" customWidth="1"/>
    <col min="5" max="5" width="14" style="184" customWidth="1"/>
    <col min="6" max="6" width="18.6328125" style="219" customWidth="1"/>
    <col min="7" max="9" width="14" style="184" customWidth="1"/>
    <col min="10" max="10" width="11.26953125" style="184" bestFit="1" customWidth="1"/>
    <col min="11" max="11" width="11.36328125" style="184" bestFit="1" customWidth="1"/>
    <col min="12" max="12" width="11.26953125" style="184" bestFit="1" customWidth="1"/>
    <col min="13" max="13" width="11.08984375" style="184" bestFit="1" customWidth="1"/>
    <col min="14" max="14" width="28.453125" style="184" customWidth="1"/>
    <col min="15" max="15" width="12.7265625" style="184" bestFit="1" customWidth="1"/>
    <col min="16" max="16" width="10.08984375" style="184" bestFit="1" customWidth="1"/>
    <col min="17" max="18" width="9" style="184"/>
    <col min="19" max="19" width="10.08984375" style="184" bestFit="1" customWidth="1"/>
    <col min="20" max="16384" width="9" style="184"/>
  </cols>
  <sheetData>
    <row r="1" spans="2:19" x14ac:dyDescent="0.35">
      <c r="B1" s="183" t="s">
        <v>266</v>
      </c>
    </row>
    <row r="2" spans="2:19" x14ac:dyDescent="0.35">
      <c r="B2" s="183" t="s">
        <v>265</v>
      </c>
    </row>
    <row r="3" spans="2:19" x14ac:dyDescent="0.35">
      <c r="B3" s="183" t="s">
        <v>267</v>
      </c>
    </row>
    <row r="4" spans="2:19" ht="15" thickBot="1" x14ac:dyDescent="0.4">
      <c r="B4" s="183" t="str">
        <f ca="1">MID(CELL("filename",B1),FIND("]",CELL("filename",B1))+1,255)</f>
        <v>Revenue to Cost Ratio</v>
      </c>
    </row>
    <row r="5" spans="2:19" x14ac:dyDescent="0.35">
      <c r="B5" s="190"/>
      <c r="C5" s="194" t="s">
        <v>20</v>
      </c>
      <c r="D5" s="220" t="s">
        <v>251</v>
      </c>
      <c r="E5" s="194" t="str">
        <f>'Customer Revenues'!D5</f>
        <v>R1 Residential</v>
      </c>
      <c r="F5" s="194" t="s">
        <v>256</v>
      </c>
      <c r="G5" s="220" t="str">
        <f>'Customer Revenues'!E5</f>
        <v>R1 Commercial</v>
      </c>
      <c r="H5" s="220" t="str">
        <f>'Customer Revenues'!F5</f>
        <v>R1 Industrial</v>
      </c>
      <c r="I5" s="194" t="str">
        <f>'Customer Revenues'!G5</f>
        <v>R2 Seasonal</v>
      </c>
      <c r="J5" s="194" t="str">
        <f>'Customer Revenues'!H5</f>
        <v>R3</v>
      </c>
      <c r="K5" s="194" t="str">
        <f>'Customer Revenues'!I5</f>
        <v>R4</v>
      </c>
      <c r="L5" s="194" t="str">
        <f>'Customer Revenues'!J5</f>
        <v>R5</v>
      </c>
      <c r="M5" s="221" t="str">
        <f>'Customer Revenues'!K5</f>
        <v>R6</v>
      </c>
    </row>
    <row r="6" spans="2:19" x14ac:dyDescent="0.35">
      <c r="B6" s="186" t="s">
        <v>105</v>
      </c>
      <c r="C6" s="196">
        <f>SUM(E6:M6)-F6</f>
        <v>7371787.5386510491</v>
      </c>
      <c r="D6" s="222">
        <f>SUM(E6,G6:H6)</f>
        <v>5850996.4721121378</v>
      </c>
      <c r="E6" s="187">
        <f>'Customer Revenues'!D42</f>
        <v>4757834.0202239063</v>
      </c>
      <c r="F6" s="187">
        <f>G6+H6</f>
        <v>1093162.4518882313</v>
      </c>
      <c r="G6" s="223">
        <f>'Customer Revenues'!E42</f>
        <v>804390.4402712814</v>
      </c>
      <c r="H6" s="223">
        <f>'Customer Revenues'!F42</f>
        <v>288772.01161694987</v>
      </c>
      <c r="I6" s="187">
        <f>'Customer Revenues'!G42</f>
        <v>95438.199553953891</v>
      </c>
      <c r="J6" s="187">
        <f>'Customer Revenues'!H42</f>
        <v>271134.79456959391</v>
      </c>
      <c r="K6" s="187">
        <f>'Customer Revenues'!I42</f>
        <v>273468.06846592552</v>
      </c>
      <c r="L6" s="187">
        <f>'Customer Revenues'!J42</f>
        <v>50703.643949439211</v>
      </c>
      <c r="M6" s="224">
        <f>'Customer Revenues'!K42</f>
        <v>830046.36</v>
      </c>
      <c r="O6" s="198"/>
      <c r="S6" s="196"/>
    </row>
    <row r="7" spans="2:19" x14ac:dyDescent="0.35">
      <c r="B7" s="186" t="s">
        <v>106</v>
      </c>
      <c r="C7" s="196">
        <f ca="1">SUM(E7:M7)-F7</f>
        <v>108387.99999999601</v>
      </c>
      <c r="D7" s="222">
        <f ca="1">SUM(E7,G7:H7)</f>
        <v>103530.00853147981</v>
      </c>
      <c r="E7" s="187">
        <f ca="1">-Allocation!F73</f>
        <v>72925.463638941204</v>
      </c>
      <c r="F7" s="187">
        <f ca="1">G7+H7</f>
        <v>30604.544892538601</v>
      </c>
      <c r="G7" s="223">
        <f ca="1">-Allocation!G73</f>
        <v>22947.962385000654</v>
      </c>
      <c r="H7" s="223">
        <f ca="1">-Allocation!H73</f>
        <v>7656.5825075379471</v>
      </c>
      <c r="I7" s="187">
        <f ca="1">-Allocation!I73</f>
        <v>1060.7404447163751</v>
      </c>
      <c r="J7" s="187">
        <f ca="1">-Allocation!J73</f>
        <v>1585.2625363678865</v>
      </c>
      <c r="K7" s="187">
        <f ca="1">-Allocation!K73</f>
        <v>1874.886679302354</v>
      </c>
      <c r="L7" s="187">
        <f ca="1">-Allocation!L73</f>
        <v>337.10180812957827</v>
      </c>
      <c r="M7" s="224">
        <f ca="1">-Allocation!M73</f>
        <v>0</v>
      </c>
      <c r="O7" s="185"/>
      <c r="P7" s="196"/>
      <c r="S7" s="196"/>
    </row>
    <row r="8" spans="2:19" x14ac:dyDescent="0.35">
      <c r="B8" s="225" t="s">
        <v>107</v>
      </c>
      <c r="C8" s="195">
        <f ca="1">SUM(E8:M8)-F8</f>
        <v>7480175.5386510454</v>
      </c>
      <c r="D8" s="226">
        <f t="shared" ref="D8:M8" ca="1" si="0">D6+D7</f>
        <v>5954526.4806436179</v>
      </c>
      <c r="E8" s="195">
        <f t="shared" ca="1" si="0"/>
        <v>4830759.4838628471</v>
      </c>
      <c r="F8" s="195">
        <f t="shared" ca="1" si="0"/>
        <v>1123766.9967807699</v>
      </c>
      <c r="G8" s="226">
        <f t="shared" ca="1" si="0"/>
        <v>827338.40265628207</v>
      </c>
      <c r="H8" s="226">
        <f t="shared" ca="1" si="0"/>
        <v>296428.59412448783</v>
      </c>
      <c r="I8" s="195">
        <f t="shared" ca="1" si="0"/>
        <v>96498.939998670263</v>
      </c>
      <c r="J8" s="195">
        <f t="shared" ca="1" si="0"/>
        <v>272720.05710596178</v>
      </c>
      <c r="K8" s="195">
        <f t="shared" ca="1" si="0"/>
        <v>275342.9551452279</v>
      </c>
      <c r="L8" s="195">
        <f t="shared" ca="1" si="0"/>
        <v>51040.745757568788</v>
      </c>
      <c r="M8" s="227">
        <f t="shared" ca="1" si="0"/>
        <v>830046.36</v>
      </c>
      <c r="S8" s="195"/>
    </row>
    <row r="9" spans="2:19" x14ac:dyDescent="0.35">
      <c r="B9" s="186"/>
      <c r="F9" s="184"/>
      <c r="G9" s="219"/>
      <c r="H9" s="219"/>
      <c r="M9" s="228"/>
    </row>
    <row r="10" spans="2:19" x14ac:dyDescent="0.35">
      <c r="B10" s="186" t="s">
        <v>109</v>
      </c>
      <c r="C10" s="188">
        <f ca="1">(C20-C7)/C6</f>
        <v>1.0342605896770425</v>
      </c>
      <c r="D10" s="229"/>
      <c r="F10" s="184"/>
      <c r="G10" s="219"/>
      <c r="H10" s="219"/>
      <c r="M10" s="228"/>
    </row>
    <row r="11" spans="2:19" x14ac:dyDescent="0.35">
      <c r="B11" s="186" t="s">
        <v>108</v>
      </c>
      <c r="C11" s="195">
        <f ca="1">SUM(E11:M11)-F11</f>
        <v>7624349.3266991097</v>
      </c>
      <c r="D11" s="230">
        <f t="shared" ref="D11:M11" ca="1" si="1">$C$10*D6</f>
        <v>6051455.061444995</v>
      </c>
      <c r="E11" s="231">
        <f t="shared" ca="1" si="1"/>
        <v>4920840.2193422709</v>
      </c>
      <c r="F11" s="231">
        <f t="shared" ca="1" si="1"/>
        <v>1130614.8421027237</v>
      </c>
      <c r="G11" s="230">
        <f t="shared" ca="1" si="1"/>
        <v>831949.3310855513</v>
      </c>
      <c r="H11" s="230">
        <f t="shared" ca="1" si="1"/>
        <v>298665.51101717231</v>
      </c>
      <c r="I11" s="231">
        <f t="shared" ca="1" si="1"/>
        <v>98707.968548387609</v>
      </c>
      <c r="J11" s="231">
        <f t="shared" ca="1" si="1"/>
        <v>280424.03251351195</v>
      </c>
      <c r="K11" s="231">
        <f t="shared" ca="1" si="1"/>
        <v>282837.24574940995</v>
      </c>
      <c r="L11" s="231">
        <f t="shared" ca="1" si="1"/>
        <v>52440.780689921805</v>
      </c>
      <c r="M11" s="232">
        <f t="shared" ca="1" si="1"/>
        <v>858484.23775288265</v>
      </c>
      <c r="N11" s="233"/>
      <c r="S11" s="196"/>
    </row>
    <row r="12" spans="2:19" x14ac:dyDescent="0.35">
      <c r="B12" s="186" t="s">
        <v>112</v>
      </c>
      <c r="C12" s="195">
        <f t="shared" ref="C12:M12" ca="1" si="2">C11+C7</f>
        <v>7732737.326699106</v>
      </c>
      <c r="D12" s="226">
        <f t="shared" ca="1" si="2"/>
        <v>6154985.0699764751</v>
      </c>
      <c r="E12" s="195">
        <f t="shared" ca="1" si="2"/>
        <v>4993765.6829812117</v>
      </c>
      <c r="F12" s="195">
        <f t="shared" ca="1" si="2"/>
        <v>1161219.3869952622</v>
      </c>
      <c r="G12" s="226">
        <f t="shared" ca="1" si="2"/>
        <v>854897.29347055196</v>
      </c>
      <c r="H12" s="226">
        <f t="shared" ca="1" si="2"/>
        <v>306322.09352471028</v>
      </c>
      <c r="I12" s="195">
        <f t="shared" ca="1" si="2"/>
        <v>99768.708993103981</v>
      </c>
      <c r="J12" s="195">
        <f t="shared" ca="1" si="2"/>
        <v>282009.29504987982</v>
      </c>
      <c r="K12" s="195">
        <f t="shared" ca="1" si="2"/>
        <v>284712.13242871233</v>
      </c>
      <c r="L12" s="195">
        <f t="shared" ca="1" si="2"/>
        <v>52777.882498051382</v>
      </c>
      <c r="M12" s="227">
        <f t="shared" ca="1" si="2"/>
        <v>858484.23775288265</v>
      </c>
      <c r="N12" s="233"/>
      <c r="S12" s="196"/>
    </row>
    <row r="13" spans="2:19" x14ac:dyDescent="0.35">
      <c r="B13" s="186"/>
      <c r="F13" s="184"/>
      <c r="G13" s="219"/>
      <c r="H13" s="219"/>
      <c r="M13" s="228"/>
    </row>
    <row r="14" spans="2:19" x14ac:dyDescent="0.35">
      <c r="B14" s="225" t="s">
        <v>110</v>
      </c>
      <c r="F14" s="184"/>
      <c r="G14" s="219"/>
      <c r="H14" s="219"/>
      <c r="M14" s="228"/>
      <c r="Q14" s="184" t="s">
        <v>21</v>
      </c>
    </row>
    <row r="15" spans="2:19" x14ac:dyDescent="0.35">
      <c r="B15" s="186" t="s">
        <v>50</v>
      </c>
      <c r="C15" s="196">
        <f t="shared" ref="C15:C20" si="3">SUM(E15:M15)-F15</f>
        <v>4847522.4054022431</v>
      </c>
      <c r="D15" s="222">
        <f>SUM(E15,G15:H15)</f>
        <v>3893605.2083003339</v>
      </c>
      <c r="E15" s="187">
        <f>Allocation!F66</f>
        <v>3209043.0456752037</v>
      </c>
      <c r="F15" s="187">
        <f>G15+H15</f>
        <v>684562.16262513015</v>
      </c>
      <c r="G15" s="223">
        <f>Allocation!G66</f>
        <v>548914.10534791311</v>
      </c>
      <c r="H15" s="223">
        <f>Allocation!H66</f>
        <v>135648.05727721707</v>
      </c>
      <c r="I15" s="187">
        <f>Allocation!I66</f>
        <v>72962.356695185837</v>
      </c>
      <c r="J15" s="187">
        <f>Allocation!J66</f>
        <v>164706.11720470927</v>
      </c>
      <c r="K15" s="187">
        <f>Allocation!K66</f>
        <v>196227.29487928469</v>
      </c>
      <c r="L15" s="187">
        <f>Allocation!L66</f>
        <v>24434.927221519727</v>
      </c>
      <c r="M15" s="224">
        <f>Allocation!M66</f>
        <v>495586.50110121025</v>
      </c>
      <c r="N15" s="184" t="s">
        <v>126</v>
      </c>
      <c r="P15" s="185">
        <f>Classification!C63</f>
        <v>4847522.405402245</v>
      </c>
      <c r="Q15" s="196">
        <f t="shared" ref="Q15:Q20" si="4">P15-C15</f>
        <v>0</v>
      </c>
      <c r="S15" s="196"/>
    </row>
    <row r="16" spans="2:19" x14ac:dyDescent="0.35">
      <c r="B16" s="186" t="s">
        <v>47</v>
      </c>
      <c r="C16" s="196">
        <f t="shared" ca="1" si="3"/>
        <v>1302707.1741927972</v>
      </c>
      <c r="D16" s="222">
        <f ca="1">SUM(E16,G16:H16)</f>
        <v>971089.00150994817</v>
      </c>
      <c r="E16" s="187">
        <f ca="1">Allocation!F52</f>
        <v>781807.91940823826</v>
      </c>
      <c r="F16" s="187">
        <f ca="1">G16+H16</f>
        <v>189281.08210170988</v>
      </c>
      <c r="G16" s="223">
        <f ca="1">Allocation!G52</f>
        <v>151497.34546806265</v>
      </c>
      <c r="H16" s="223">
        <f ca="1">Allocation!H52</f>
        <v>37783.736633647241</v>
      </c>
      <c r="I16" s="187">
        <f ca="1">Allocation!I52</f>
        <v>24716.569604639888</v>
      </c>
      <c r="J16" s="187">
        <f ca="1">Allocation!J52</f>
        <v>55772.096261661165</v>
      </c>
      <c r="K16" s="187">
        <f ca="1">Allocation!K52</f>
        <v>72296.919559053174</v>
      </c>
      <c r="L16" s="187">
        <f ca="1">Allocation!L52</f>
        <v>8277.4390602353342</v>
      </c>
      <c r="M16" s="224">
        <f ca="1">Allocation!M52</f>
        <v>170555.14819725932</v>
      </c>
      <c r="P16" s="185">
        <f>-'Trial Balance'!E38</f>
        <v>1302707.17</v>
      </c>
      <c r="Q16" s="196">
        <f t="shared" ca="1" si="4"/>
        <v>-4.1927972342818975E-3</v>
      </c>
      <c r="S16" s="196"/>
    </row>
    <row r="17" spans="2:19" x14ac:dyDescent="0.35">
      <c r="B17" s="186" t="str">
        <f>Allocation!C22</f>
        <v>Return on Deemed Equity</v>
      </c>
      <c r="C17" s="196">
        <f t="shared" ca="1" si="3"/>
        <v>957596.24</v>
      </c>
      <c r="D17" s="222">
        <f ca="1">SUM(E17,G17:H17)</f>
        <v>692429.03687577031</v>
      </c>
      <c r="E17" s="187">
        <f ca="1">Allocation!F34</f>
        <v>558277.90673623339</v>
      </c>
      <c r="F17" s="187">
        <f ca="1">G17+H17</f>
        <v>134151.13013953695</v>
      </c>
      <c r="G17" s="223">
        <f ca="1">Allocation!G34</f>
        <v>106230.96603481335</v>
      </c>
      <c r="H17" s="223">
        <f ca="1">Allocation!H34</f>
        <v>27920.164104723601</v>
      </c>
      <c r="I17" s="187">
        <f ca="1">Allocation!I34</f>
        <v>16708.033805152936</v>
      </c>
      <c r="J17" s="187">
        <f ca="1">Allocation!J34</f>
        <v>48976.649093406413</v>
      </c>
      <c r="K17" s="187">
        <f ca="1">Allocation!K34</f>
        <v>57121.048256661314</v>
      </c>
      <c r="L17" s="187">
        <f ca="1">Allocation!L34</f>
        <v>6975.1176491062179</v>
      </c>
      <c r="M17" s="224">
        <f ca="1">Allocation!M34</f>
        <v>135386.35431990272</v>
      </c>
      <c r="P17" s="185">
        <f>'Trial Balance'!E5</f>
        <v>957596.24</v>
      </c>
      <c r="Q17" s="196">
        <f t="shared" ca="1" si="4"/>
        <v>0</v>
      </c>
      <c r="S17" s="196"/>
    </row>
    <row r="18" spans="2:19" x14ac:dyDescent="0.35">
      <c r="B18" s="186" t="str">
        <f>Allocation!C23</f>
        <v>Income Taxes (Grossed up)</v>
      </c>
      <c r="C18" s="196">
        <f t="shared" ca="1" si="3"/>
        <v>11366.307104064032</v>
      </c>
      <c r="D18" s="222">
        <f ca="1">SUM(E18,G18:H18)</f>
        <v>8218.8721635971378</v>
      </c>
      <c r="E18" s="187">
        <f ca="1">Allocation!F35</f>
        <v>6626.5487188818188</v>
      </c>
      <c r="F18" s="187">
        <f ca="1">G18+H18</f>
        <v>1592.3234447153188</v>
      </c>
      <c r="G18" s="223">
        <f ca="1">Allocation!G35</f>
        <v>1260.9216008545352</v>
      </c>
      <c r="H18" s="223">
        <f ca="1">Allocation!H35</f>
        <v>331.40184386078363</v>
      </c>
      <c r="I18" s="187">
        <f ca="1">Allocation!I35</f>
        <v>198.31807540770194</v>
      </c>
      <c r="J18" s="187">
        <f ca="1">Allocation!J35</f>
        <v>581.33439885231439</v>
      </c>
      <c r="K18" s="187">
        <f ca="1">Allocation!K35</f>
        <v>678.00535285233991</v>
      </c>
      <c r="L18" s="187">
        <f ca="1">Allocation!L35</f>
        <v>82.792022331581435</v>
      </c>
      <c r="M18" s="224">
        <f ca="1">Allocation!M35</f>
        <v>1606.9850910229559</v>
      </c>
      <c r="P18" s="185">
        <f>'Trial Balance'!E6</f>
        <v>11366.307104064032</v>
      </c>
      <c r="Q18" s="196">
        <f t="shared" ca="1" si="4"/>
        <v>0</v>
      </c>
      <c r="S18" s="196"/>
    </row>
    <row r="19" spans="2:19" x14ac:dyDescent="0.35">
      <c r="B19" s="186" t="str">
        <f>Allocation!C24</f>
        <v>Deemed Interest Expense</v>
      </c>
      <c r="C19" s="196">
        <f t="shared" ca="1" si="3"/>
        <v>613545.19999999972</v>
      </c>
      <c r="D19" s="222">
        <f ca="1">SUM(E19,G19:H19)</f>
        <v>443648.89310316404</v>
      </c>
      <c r="E19" s="187">
        <f ca="1">Allocation!F36</f>
        <v>357696.40234183002</v>
      </c>
      <c r="F19" s="187">
        <f ca="1">G19+H19</f>
        <v>85952.490761334033</v>
      </c>
      <c r="G19" s="223">
        <f ca="1">Allocation!G36</f>
        <v>68063.654157646597</v>
      </c>
      <c r="H19" s="223">
        <f ca="1">Allocation!H36</f>
        <v>17888.836603687439</v>
      </c>
      <c r="I19" s="187">
        <f ca="1">Allocation!I36</f>
        <v>10705.069124529267</v>
      </c>
      <c r="J19" s="187">
        <f ca="1">Allocation!J36</f>
        <v>31380.018747090999</v>
      </c>
      <c r="K19" s="187">
        <f ca="1">Allocation!K36</f>
        <v>36598.248314804288</v>
      </c>
      <c r="L19" s="187">
        <f ca="1">Allocation!L36</f>
        <v>4469.0546749059959</v>
      </c>
      <c r="M19" s="224">
        <f ca="1">Allocation!M36</f>
        <v>86743.916035505274</v>
      </c>
      <c r="P19" s="185">
        <f>'Trial Balance'!E7</f>
        <v>613545.19999999995</v>
      </c>
      <c r="Q19" s="196">
        <f t="shared" ca="1" si="4"/>
        <v>0</v>
      </c>
      <c r="S19" s="196"/>
    </row>
    <row r="20" spans="2:19" x14ac:dyDescent="0.35">
      <c r="B20" s="225" t="s">
        <v>111</v>
      </c>
      <c r="C20" s="195">
        <f t="shared" ca="1" si="3"/>
        <v>7732737.3266991042</v>
      </c>
      <c r="D20" s="226">
        <f t="shared" ref="D20:M20" ca="1" si="5">SUM(D15:D19)</f>
        <v>6008991.0119528137</v>
      </c>
      <c r="E20" s="195">
        <f t="shared" ca="1" si="5"/>
        <v>4913451.8228803864</v>
      </c>
      <c r="F20" s="195">
        <f t="shared" ca="1" si="5"/>
        <v>1095539.1890724264</v>
      </c>
      <c r="G20" s="226">
        <f t="shared" ca="1" si="5"/>
        <v>875966.99260929017</v>
      </c>
      <c r="H20" s="226">
        <f t="shared" ca="1" si="5"/>
        <v>219572.19646313612</v>
      </c>
      <c r="I20" s="195">
        <f t="shared" ca="1" si="5"/>
        <v>125290.34730491563</v>
      </c>
      <c r="J20" s="195">
        <f t="shared" ca="1" si="5"/>
        <v>301416.21570572013</v>
      </c>
      <c r="K20" s="195">
        <f t="shared" ca="1" si="5"/>
        <v>362921.51636265579</v>
      </c>
      <c r="L20" s="195">
        <f t="shared" ca="1" si="5"/>
        <v>44239.330628098855</v>
      </c>
      <c r="M20" s="227">
        <f t="shared" ca="1" si="5"/>
        <v>889878.90474490041</v>
      </c>
      <c r="P20" s="195">
        <f ca="1">'Trial Balance'!E9+C7</f>
        <v>7732737.3225033898</v>
      </c>
      <c r="Q20" s="196">
        <f t="shared" ca="1" si="4"/>
        <v>-4.1957143694162369E-3</v>
      </c>
      <c r="R20" s="184" t="str">
        <f ca="1">IF(ROUND(Q20,-1)=0,"Revenue Requirement Matches Input","Revenue Requirement Does not Match")</f>
        <v>Revenue Requirement Matches Input</v>
      </c>
      <c r="S20" s="195"/>
    </row>
    <row r="21" spans="2:19" x14ac:dyDescent="0.35">
      <c r="B21" s="186"/>
      <c r="F21" s="184"/>
      <c r="G21" s="219"/>
      <c r="H21" s="219"/>
      <c r="M21" s="228"/>
      <c r="O21" s="195"/>
    </row>
    <row r="22" spans="2:19" x14ac:dyDescent="0.35">
      <c r="B22" s="341" t="s">
        <v>113</v>
      </c>
      <c r="C22" s="347">
        <f t="shared" ref="C22:M22" ca="1" si="6">C12/C20</f>
        <v>1.0000000000000002</v>
      </c>
      <c r="D22" s="348">
        <f t="shared" ca="1" si="6"/>
        <v>1.0242959354962018</v>
      </c>
      <c r="E22" s="347">
        <f t="shared" ca="1" si="6"/>
        <v>1.0163457103063125</v>
      </c>
      <c r="F22" s="347">
        <f t="shared" ca="1" si="6"/>
        <v>1.0599523947458658</v>
      </c>
      <c r="G22" s="348">
        <f t="shared" ca="1" si="6"/>
        <v>0.97594692572150832</v>
      </c>
      <c r="H22" s="348">
        <f t="shared" ca="1" si="6"/>
        <v>1.3950859829201487</v>
      </c>
      <c r="I22" s="347">
        <f t="shared" ca="1" si="6"/>
        <v>0.79630004337285176</v>
      </c>
      <c r="J22" s="347">
        <f t="shared" ca="1" si="6"/>
        <v>0.93561421169593695</v>
      </c>
      <c r="K22" s="347">
        <f t="shared" ca="1" si="6"/>
        <v>0.78450055891480586</v>
      </c>
      <c r="L22" s="347">
        <f t="shared" ca="1" si="6"/>
        <v>1.1930081614871726</v>
      </c>
      <c r="M22" s="349">
        <f t="shared" ca="1" si="6"/>
        <v>0.96472029303692997</v>
      </c>
      <c r="S22" s="198"/>
    </row>
    <row r="23" spans="2:19" ht="15" thickBot="1" x14ac:dyDescent="0.4">
      <c r="B23" s="192"/>
      <c r="C23" s="189"/>
      <c r="D23" s="234"/>
      <c r="E23" s="235"/>
      <c r="F23" s="236"/>
      <c r="G23" s="235"/>
      <c r="H23" s="235"/>
      <c r="I23" s="235"/>
      <c r="J23" s="235"/>
      <c r="K23" s="235"/>
      <c r="L23" s="235"/>
      <c r="M23" s="237"/>
    </row>
    <row r="25" spans="2:19" hidden="1" x14ac:dyDescent="0.35">
      <c r="B25" s="184" t="s">
        <v>100</v>
      </c>
      <c r="C25" s="238">
        <f>Allocation!E73</f>
        <v>-108387.999999996</v>
      </c>
      <c r="D25" s="222">
        <f ca="1">SUM(E25:H25)</f>
        <v>-103530.00853147981</v>
      </c>
      <c r="E25" s="238">
        <f ca="1">Allocation!F73</f>
        <v>-72925.463638941204</v>
      </c>
      <c r="F25" s="239"/>
      <c r="G25" s="238">
        <f ca="1">Allocation!G73</f>
        <v>-22947.962385000654</v>
      </c>
      <c r="H25" s="238">
        <f ca="1">Allocation!H73</f>
        <v>-7656.5825075379471</v>
      </c>
      <c r="I25" s="238">
        <f ca="1">Allocation!I73</f>
        <v>-1060.7404447163751</v>
      </c>
      <c r="J25" s="238">
        <f ca="1">Allocation!J73</f>
        <v>-1585.2625363678865</v>
      </c>
      <c r="K25" s="238">
        <f ca="1">Allocation!K73</f>
        <v>-1874.886679302354</v>
      </c>
      <c r="L25" s="238">
        <f ca="1">Allocation!L73</f>
        <v>-337.10180812957827</v>
      </c>
      <c r="M25" s="238">
        <f ca="1">Allocation!M73</f>
        <v>0</v>
      </c>
    </row>
    <row r="26" spans="2:19" hidden="1" x14ac:dyDescent="0.35">
      <c r="B26" s="184" t="s">
        <v>212</v>
      </c>
      <c r="C26" s="196">
        <f ca="1">C20+C25</f>
        <v>7624349.3266991079</v>
      </c>
      <c r="D26" s="222">
        <f ca="1">SUM(E26:H26)</f>
        <v>5905461.0034213336</v>
      </c>
      <c r="E26" s="196">
        <f ca="1">E20+E25</f>
        <v>4840526.3592414455</v>
      </c>
      <c r="F26" s="222"/>
      <c r="G26" s="196">
        <f t="shared" ref="G26:M26" ca="1" si="7">G20+G25</f>
        <v>853019.03022428951</v>
      </c>
      <c r="H26" s="196">
        <f t="shared" ca="1" si="7"/>
        <v>211915.61395559818</v>
      </c>
      <c r="I26" s="196">
        <f t="shared" ca="1" si="7"/>
        <v>124229.60686019926</v>
      </c>
      <c r="J26" s="196">
        <f t="shared" ca="1" si="7"/>
        <v>299830.95316935226</v>
      </c>
      <c r="K26" s="196">
        <f t="shared" ca="1" si="7"/>
        <v>361046.62968335341</v>
      </c>
      <c r="L26" s="196">
        <f t="shared" ca="1" si="7"/>
        <v>43902.228819969278</v>
      </c>
      <c r="M26" s="196">
        <f t="shared" ca="1" si="7"/>
        <v>889878.90474490041</v>
      </c>
    </row>
    <row r="27" spans="2:19" hidden="1" x14ac:dyDescent="0.35"/>
    <row r="28" spans="2:19" hidden="1" x14ac:dyDescent="0.35">
      <c r="B28" s="184" t="s">
        <v>213</v>
      </c>
      <c r="C28" s="196">
        <f>SUM(E28:M28)</f>
        <v>7939669.9069505483</v>
      </c>
      <c r="D28" s="240">
        <v>5123826.8640727596</v>
      </c>
      <c r="E28" s="185">
        <v>5123827.8640727624</v>
      </c>
      <c r="F28" s="240"/>
      <c r="G28" s="185">
        <v>867698.531665124</v>
      </c>
      <c r="H28" s="185">
        <v>197590.86225478636</v>
      </c>
      <c r="I28" s="185">
        <v>143332.03453504361</v>
      </c>
      <c r="J28" s="185">
        <v>254134.04492295539</v>
      </c>
      <c r="K28" s="185">
        <v>342611.10689912789</v>
      </c>
      <c r="L28" s="185">
        <v>36499.861223419408</v>
      </c>
      <c r="M28" s="185">
        <v>973975.60137732886</v>
      </c>
    </row>
    <row r="29" spans="2:19" hidden="1" x14ac:dyDescent="0.35">
      <c r="C29" s="185">
        <f ca="1">C26-C28</f>
        <v>-315320.58025144041</v>
      </c>
      <c r="D29" s="240">
        <f ca="1">D26-D28</f>
        <v>781634.13934857398</v>
      </c>
      <c r="E29" s="185">
        <f ca="1">E26-E28</f>
        <v>-283301.50483131688</v>
      </c>
      <c r="F29" s="240"/>
      <c r="G29" s="185">
        <f t="shared" ref="G29:M29" ca="1" si="8">G26-G28</f>
        <v>-14679.501440834487</v>
      </c>
      <c r="H29" s="185">
        <f t="shared" ca="1" si="8"/>
        <v>14324.751700811816</v>
      </c>
      <c r="I29" s="185">
        <f t="shared" ca="1" si="8"/>
        <v>-19102.427674844352</v>
      </c>
      <c r="J29" s="185">
        <f t="shared" ca="1" si="8"/>
        <v>45696.908246396866</v>
      </c>
      <c r="K29" s="185">
        <f t="shared" ca="1" si="8"/>
        <v>18435.522784225526</v>
      </c>
      <c r="L29" s="185">
        <f t="shared" ca="1" si="8"/>
        <v>7402.3675965498696</v>
      </c>
      <c r="M29" s="185">
        <f t="shared" ca="1" si="8"/>
        <v>-84096.696632428444</v>
      </c>
    </row>
    <row r="30" spans="2:19" hidden="1" x14ac:dyDescent="0.35"/>
  </sheetData>
  <pageMargins left="0.7" right="0.7" top="0.75" bottom="0.75" header="0.3" footer="0.3"/>
  <pageSetup scale="4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/>
    <pageSetUpPr fitToPage="1"/>
  </sheetPr>
  <dimension ref="A1:P27"/>
  <sheetViews>
    <sheetView tabSelected="1" topLeftCell="B1" workbookViewId="0">
      <selection activeCell="N29" sqref="N29"/>
    </sheetView>
  </sheetViews>
  <sheetFormatPr defaultColWidth="8.7265625" defaultRowHeight="14.5" x14ac:dyDescent="0.35"/>
  <cols>
    <col min="1" max="1" width="8.7265625" style="290" hidden="1" customWidth="1"/>
    <col min="2" max="2" width="32" style="290" bestFit="1" customWidth="1"/>
    <col min="3" max="3" width="10.90625" style="290" bestFit="1" customWidth="1"/>
    <col min="4" max="4" width="12" style="290" customWidth="1"/>
    <col min="5" max="5" width="13.453125" style="290" customWidth="1"/>
    <col min="6" max="6" width="18.08984375" style="312" bestFit="1" customWidth="1"/>
    <col min="7" max="7" width="14.08984375" style="290" bestFit="1" customWidth="1"/>
    <col min="8" max="8" width="11.7265625" style="290" bestFit="1" customWidth="1"/>
    <col min="9" max="9" width="11.6328125" style="290" customWidth="1"/>
    <col min="10" max="13" width="10.26953125" style="290" customWidth="1"/>
    <col min="14" max="16384" width="8.7265625" style="290"/>
  </cols>
  <sheetData>
    <row r="1" spans="2:16" s="284" customFormat="1" x14ac:dyDescent="0.35">
      <c r="B1" s="285" t="s">
        <v>266</v>
      </c>
      <c r="D1" s="286"/>
      <c r="F1" s="286"/>
    </row>
    <row r="2" spans="2:16" s="284" customFormat="1" x14ac:dyDescent="0.35">
      <c r="B2" s="285" t="s">
        <v>265</v>
      </c>
      <c r="D2" s="286"/>
      <c r="F2" s="286"/>
    </row>
    <row r="3" spans="2:16" s="284" customFormat="1" x14ac:dyDescent="0.35">
      <c r="B3" s="285" t="s">
        <v>267</v>
      </c>
      <c r="D3" s="286"/>
      <c r="F3" s="286"/>
    </row>
    <row r="4" spans="2:16" s="284" customFormat="1" ht="15" thickBot="1" x14ac:dyDescent="0.4">
      <c r="B4" s="285" t="str">
        <f ca="1">MID(CELL("filename",B1),FIND("]",CELL("filename",B1))+1,255)</f>
        <v>Revenue Rebalancing</v>
      </c>
      <c r="D4" s="286"/>
      <c r="F4" s="286"/>
    </row>
    <row r="5" spans="2:16" s="284" customFormat="1" x14ac:dyDescent="0.35">
      <c r="B5" s="287"/>
      <c r="C5" s="288" t="s">
        <v>20</v>
      </c>
      <c r="D5" s="314" t="s">
        <v>251</v>
      </c>
      <c r="E5" s="288" t="str">
        <f>'Customer Revenues'!D5</f>
        <v>R1 Residential</v>
      </c>
      <c r="F5" s="288" t="s">
        <v>256</v>
      </c>
      <c r="G5" s="314" t="str">
        <f>'Customer Revenues'!E5</f>
        <v>R1 Commercial</v>
      </c>
      <c r="H5" s="314" t="str">
        <f>'Customer Revenues'!F5</f>
        <v>R1 Industrial</v>
      </c>
      <c r="I5" s="288" t="str">
        <f>'Customer Revenues'!G5</f>
        <v>R2 Seasonal</v>
      </c>
      <c r="J5" s="288" t="str">
        <f>'Customer Revenues'!H5</f>
        <v>R3</v>
      </c>
      <c r="K5" s="288" t="str">
        <f>'Customer Revenues'!I5</f>
        <v>R4</v>
      </c>
      <c r="L5" s="288" t="str">
        <f>'Customer Revenues'!J5</f>
        <v>R5</v>
      </c>
      <c r="M5" s="289" t="str">
        <f>'Customer Revenues'!K5</f>
        <v>R6</v>
      </c>
    </row>
    <row r="6" spans="2:16" x14ac:dyDescent="0.35">
      <c r="B6" s="291"/>
      <c r="C6" s="295"/>
      <c r="D6" s="315"/>
      <c r="F6" s="342" t="s">
        <v>269</v>
      </c>
      <c r="G6" s="343"/>
      <c r="H6" s="343"/>
      <c r="M6" s="292"/>
    </row>
    <row r="7" spans="2:16" x14ac:dyDescent="0.35">
      <c r="B7" s="293" t="s">
        <v>110</v>
      </c>
      <c r="C7" s="294">
        <f ca="1">SUM(E7:F7,I7:M7)</f>
        <v>7732737.3266991042</v>
      </c>
      <c r="D7" s="315">
        <f ca="1">E7+F7</f>
        <v>6008991.0119528128</v>
      </c>
      <c r="E7" s="294">
        <f ca="1">'Revenue to Cost Ratio'!E20</f>
        <v>4913451.8228803864</v>
      </c>
      <c r="F7" s="294">
        <f ca="1">'Revenue to Cost Ratio'!F20</f>
        <v>1095539.1890724264</v>
      </c>
      <c r="G7" s="315">
        <f ca="1">'Revenue to Cost Ratio'!G20</f>
        <v>875966.99260929017</v>
      </c>
      <c r="H7" s="315">
        <f ca="1">'Revenue to Cost Ratio'!H20</f>
        <v>219572.19646313612</v>
      </c>
      <c r="I7" s="294">
        <f ca="1">'Revenue to Cost Ratio'!I20</f>
        <v>125290.34730491563</v>
      </c>
      <c r="J7" s="294">
        <f ca="1">'Revenue to Cost Ratio'!J20</f>
        <v>301416.21570572013</v>
      </c>
      <c r="K7" s="294">
        <f ca="1">'Revenue to Cost Ratio'!K20</f>
        <v>362921.51636265579</v>
      </c>
      <c r="L7" s="294">
        <f ca="1">'Revenue to Cost Ratio'!L20</f>
        <v>44239.330628098855</v>
      </c>
      <c r="M7" s="296">
        <f ca="1">'Revenue to Cost Ratio'!M20</f>
        <v>889878.90474490041</v>
      </c>
      <c r="N7" s="284"/>
      <c r="O7" s="284"/>
      <c r="P7" s="284"/>
    </row>
    <row r="8" spans="2:16" x14ac:dyDescent="0.35">
      <c r="B8" s="293" t="s">
        <v>247</v>
      </c>
      <c r="C8" s="294">
        <f t="shared" ref="C8:C10" si="0">SUM(E8:F8,I8:M8)</f>
        <v>7371787.5386510501</v>
      </c>
      <c r="D8" s="315">
        <f t="shared" ref="D8:D10" si="1">E8+F8</f>
        <v>5850996.4721121378</v>
      </c>
      <c r="E8" s="297">
        <f>'Revenue to Cost Ratio'!E6</f>
        <v>4757834.0202239063</v>
      </c>
      <c r="F8" s="297">
        <f>'Revenue to Cost Ratio'!F6</f>
        <v>1093162.4518882313</v>
      </c>
      <c r="G8" s="344">
        <f>'Revenue to Cost Ratio'!G6</f>
        <v>804390.4402712814</v>
      </c>
      <c r="H8" s="344">
        <f>'Revenue to Cost Ratio'!H6</f>
        <v>288772.01161694987</v>
      </c>
      <c r="I8" s="297">
        <f>'Revenue to Cost Ratio'!I6</f>
        <v>95438.199553953891</v>
      </c>
      <c r="J8" s="297">
        <f>'Revenue to Cost Ratio'!J6</f>
        <v>271134.79456959391</v>
      </c>
      <c r="K8" s="297">
        <f>'Revenue to Cost Ratio'!K6</f>
        <v>273468.06846592552</v>
      </c>
      <c r="L8" s="297">
        <f>'Revenue to Cost Ratio'!L6</f>
        <v>50703.643949439211</v>
      </c>
      <c r="M8" s="298">
        <f>'Revenue to Cost Ratio'!M6</f>
        <v>830046.36</v>
      </c>
      <c r="N8" s="284"/>
      <c r="O8" s="284"/>
      <c r="P8" s="284"/>
    </row>
    <row r="9" spans="2:16" x14ac:dyDescent="0.35">
      <c r="B9" s="293" t="s">
        <v>273</v>
      </c>
      <c r="C9" s="294">
        <f t="shared" ca="1" si="0"/>
        <v>7624349.3266991088</v>
      </c>
      <c r="D9" s="315">
        <f t="shared" ca="1" si="1"/>
        <v>6051455.0614449941</v>
      </c>
      <c r="E9" s="297">
        <f ca="1">'Revenue to Cost Ratio'!E11</f>
        <v>4920840.2193422709</v>
      </c>
      <c r="F9" s="297">
        <f ca="1">'Revenue to Cost Ratio'!F11</f>
        <v>1130614.8421027237</v>
      </c>
      <c r="G9" s="344">
        <f ca="1">'Revenue to Cost Ratio'!G11</f>
        <v>831949.3310855513</v>
      </c>
      <c r="H9" s="344">
        <f ca="1">'Revenue to Cost Ratio'!H11</f>
        <v>298665.51101717231</v>
      </c>
      <c r="I9" s="297">
        <f ca="1">'Revenue to Cost Ratio'!I11</f>
        <v>98707.968548387609</v>
      </c>
      <c r="J9" s="297">
        <f ca="1">'Revenue to Cost Ratio'!J11</f>
        <v>280424.03251351195</v>
      </c>
      <c r="K9" s="297">
        <f ca="1">'Revenue to Cost Ratio'!K11</f>
        <v>282837.24574940995</v>
      </c>
      <c r="L9" s="297">
        <f ca="1">'Revenue to Cost Ratio'!L11</f>
        <v>52440.780689921805</v>
      </c>
      <c r="M9" s="298">
        <f ca="1">'Revenue to Cost Ratio'!M11</f>
        <v>858484.23775288265</v>
      </c>
      <c r="N9" s="284"/>
      <c r="O9" s="284"/>
      <c r="P9" s="284"/>
    </row>
    <row r="10" spans="2:16" x14ac:dyDescent="0.35">
      <c r="B10" s="293" t="s">
        <v>248</v>
      </c>
      <c r="C10" s="294">
        <f t="shared" ca="1" si="0"/>
        <v>108387.99999999598</v>
      </c>
      <c r="D10" s="315">
        <f t="shared" ca="1" si="1"/>
        <v>103530.00853147981</v>
      </c>
      <c r="E10" s="294">
        <f ca="1">'Revenue to Cost Ratio'!E7</f>
        <v>72925.463638941204</v>
      </c>
      <c r="F10" s="294">
        <f ca="1">'Revenue to Cost Ratio'!F7</f>
        <v>30604.544892538601</v>
      </c>
      <c r="G10" s="315">
        <f ca="1">'Revenue to Cost Ratio'!G7</f>
        <v>22947.962385000654</v>
      </c>
      <c r="H10" s="315">
        <f ca="1">'Revenue to Cost Ratio'!H7</f>
        <v>7656.5825075379471</v>
      </c>
      <c r="I10" s="294">
        <f ca="1">'Revenue to Cost Ratio'!I7</f>
        <v>1060.7404447163751</v>
      </c>
      <c r="J10" s="294">
        <f ca="1">'Revenue to Cost Ratio'!J7</f>
        <v>1585.2625363678865</v>
      </c>
      <c r="K10" s="294">
        <f ca="1">'Revenue to Cost Ratio'!K7</f>
        <v>1874.886679302354</v>
      </c>
      <c r="L10" s="294">
        <f ca="1">'Revenue to Cost Ratio'!L7</f>
        <v>337.10180812957827</v>
      </c>
      <c r="M10" s="296">
        <f ca="1">'Revenue to Cost Ratio'!M7</f>
        <v>0</v>
      </c>
      <c r="N10" s="284"/>
      <c r="O10" s="284"/>
      <c r="P10" s="284"/>
    </row>
    <row r="11" spans="2:16" x14ac:dyDescent="0.35">
      <c r="B11" s="293" t="s">
        <v>113</v>
      </c>
      <c r="C11" s="304">
        <f t="shared" ref="C11:M11" ca="1" si="2">(C9+C10)/C7</f>
        <v>1.0000000000000002</v>
      </c>
      <c r="D11" s="317">
        <f t="shared" ca="1" si="2"/>
        <v>1.0242959354962018</v>
      </c>
      <c r="E11" s="304">
        <f t="shared" ca="1" si="2"/>
        <v>1.0163457103063125</v>
      </c>
      <c r="F11" s="304">
        <f t="shared" ca="1" si="2"/>
        <v>1.0599523947458658</v>
      </c>
      <c r="G11" s="317">
        <f t="shared" ca="1" si="2"/>
        <v>0.97594692572150832</v>
      </c>
      <c r="H11" s="317">
        <f t="shared" ca="1" si="2"/>
        <v>1.3950859829201487</v>
      </c>
      <c r="I11" s="304">
        <f t="shared" ca="1" si="2"/>
        <v>0.79630004337285176</v>
      </c>
      <c r="J11" s="304">
        <f t="shared" ca="1" si="2"/>
        <v>0.93561421169593695</v>
      </c>
      <c r="K11" s="304">
        <f t="shared" ca="1" si="2"/>
        <v>0.78450055891480586</v>
      </c>
      <c r="L11" s="304">
        <f t="shared" ca="1" si="2"/>
        <v>1.1930081614871726</v>
      </c>
      <c r="M11" s="305">
        <f t="shared" ca="1" si="2"/>
        <v>0.96472029303692997</v>
      </c>
      <c r="N11" s="284"/>
      <c r="O11" s="284"/>
      <c r="P11" s="284"/>
    </row>
    <row r="12" spans="2:16" x14ac:dyDescent="0.35">
      <c r="B12" s="293"/>
      <c r="C12" s="304"/>
      <c r="D12" s="317"/>
      <c r="E12" s="304"/>
      <c r="F12" s="304"/>
      <c r="G12" s="317"/>
      <c r="H12" s="317"/>
      <c r="I12" s="304"/>
      <c r="J12" s="304"/>
      <c r="K12" s="304"/>
      <c r="L12" s="304"/>
      <c r="M12" s="305"/>
      <c r="N12" s="284"/>
      <c r="O12" s="284"/>
      <c r="P12" s="284"/>
    </row>
    <row r="13" spans="2:16" x14ac:dyDescent="0.35">
      <c r="B13" s="293" t="s">
        <v>249</v>
      </c>
      <c r="C13" s="304"/>
      <c r="D13" s="317">
        <f ca="1">D11</f>
        <v>1.0242959354962018</v>
      </c>
      <c r="E13" s="304">
        <f ca="1">IF(E11&gt;E24,IF(E11&lt;E25,E11,E25),E24)</f>
        <v>1.0163457103063125</v>
      </c>
      <c r="F13" s="304">
        <f ca="1">IF(F11&gt;F24,IF(F11&lt;F25,F11,F25),F24)</f>
        <v>1.0599523947458658</v>
      </c>
      <c r="G13" s="317">
        <f ca="1">G11</f>
        <v>0.97594692572150832</v>
      </c>
      <c r="H13" s="317">
        <f ca="1">H11</f>
        <v>1.3950859829201487</v>
      </c>
      <c r="I13" s="304">
        <f ca="1">IF(I11&gt;I24,IF(I11&lt;I25,I11,I25),I24)</f>
        <v>0.8</v>
      </c>
      <c r="J13" s="304">
        <f ca="1">IF(J11&gt;J24,IF(J11&lt;J25,J11,J25),J24)</f>
        <v>0.93561421169593695</v>
      </c>
      <c r="K13" s="304">
        <f ca="1">IF(K11&gt;K24,IF(K11&lt;K25,K11,K25),K24)</f>
        <v>0.8</v>
      </c>
      <c r="L13" s="304">
        <f ca="1">IF(L11&gt;L24,IF(L11&lt;L25,L11,L25),L24)</f>
        <v>1.1930081614871726</v>
      </c>
      <c r="M13" s="305">
        <f ca="1">IF(M11&gt;M24,IF(M11&lt;M25,M11,M25),M24)</f>
        <v>0.96472029303692997</v>
      </c>
      <c r="N13" s="284"/>
      <c r="O13" s="284"/>
      <c r="P13" s="284"/>
    </row>
    <row r="14" spans="2:16" x14ac:dyDescent="0.35">
      <c r="B14" s="293" t="s">
        <v>250</v>
      </c>
      <c r="C14" s="294">
        <f ca="1">SUM(E14:F14,I14:M14)</f>
        <v>7630437.9762113523</v>
      </c>
      <c r="D14" s="315">
        <f t="shared" ref="D14" ca="1" si="3">E14+F14</f>
        <v>6051455.0614449959</v>
      </c>
      <c r="E14" s="300">
        <f t="shared" ref="E14:M14" ca="1" si="4">(E7*E13-E10)</f>
        <v>4920840.2193422718</v>
      </c>
      <c r="F14" s="300">
        <f t="shared" ca="1" si="4"/>
        <v>1130614.8421027237</v>
      </c>
      <c r="G14" s="345">
        <f t="shared" ca="1" si="4"/>
        <v>831949.3310855513</v>
      </c>
      <c r="H14" s="345">
        <f t="shared" ca="1" si="4"/>
        <v>298665.51101717231</v>
      </c>
      <c r="I14" s="300">
        <f t="shared" ca="1" si="4"/>
        <v>99171.537399216133</v>
      </c>
      <c r="J14" s="300">
        <f t="shared" ca="1" si="4"/>
        <v>280424.03251351195</v>
      </c>
      <c r="K14" s="300">
        <f t="shared" ca="1" si="4"/>
        <v>288462.32641082228</v>
      </c>
      <c r="L14" s="300">
        <f t="shared" ca="1" si="4"/>
        <v>52440.780689921805</v>
      </c>
      <c r="M14" s="301">
        <f t="shared" ca="1" si="4"/>
        <v>858484.23775288265</v>
      </c>
      <c r="N14" s="284"/>
      <c r="O14" s="284"/>
      <c r="P14" s="284"/>
    </row>
    <row r="15" spans="2:16" x14ac:dyDescent="0.35">
      <c r="B15" s="293" t="s">
        <v>270</v>
      </c>
      <c r="C15" s="294">
        <f ca="1">SUM(E15:F15,I15:M15)</f>
        <v>6088.6495122408523</v>
      </c>
      <c r="D15" s="313">
        <f t="shared" ref="D15:H15" ca="1" si="5">D14-D9</f>
        <v>0</v>
      </c>
      <c r="E15" s="300">
        <f t="shared" ca="1" si="5"/>
        <v>0</v>
      </c>
      <c r="F15" s="300">
        <f t="shared" ca="1" si="5"/>
        <v>0</v>
      </c>
      <c r="G15" s="345">
        <f t="shared" ca="1" si="5"/>
        <v>0</v>
      </c>
      <c r="H15" s="345">
        <f t="shared" ca="1" si="5"/>
        <v>0</v>
      </c>
      <c r="I15" s="300">
        <f ca="1">I14-I9</f>
        <v>463.56885082852386</v>
      </c>
      <c r="J15" s="300">
        <f t="shared" ref="J15" ca="1" si="6">J14-J9</f>
        <v>0</v>
      </c>
      <c r="K15" s="300">
        <f ca="1">K14-K9</f>
        <v>5625.0806614123285</v>
      </c>
      <c r="L15" s="300">
        <f t="shared" ref="L15" ca="1" si="7">L14-L9</f>
        <v>0</v>
      </c>
      <c r="M15" s="301">
        <f t="shared" ref="M15" ca="1" si="8">M14-M9</f>
        <v>0</v>
      </c>
      <c r="N15" s="284"/>
      <c r="O15" s="284"/>
      <c r="P15" s="284"/>
    </row>
    <row r="16" spans="2:16" x14ac:dyDescent="0.35">
      <c r="B16" s="293" t="s">
        <v>271</v>
      </c>
      <c r="C16" s="294">
        <f ca="1">SUM(E16:F16,I16:M16)</f>
        <v>-6088.6495122408523</v>
      </c>
      <c r="D16" s="316"/>
      <c r="E16" s="284"/>
      <c r="F16" s="284"/>
      <c r="G16" s="316"/>
      <c r="H16" s="316"/>
      <c r="I16" s="294"/>
      <c r="J16" s="294"/>
      <c r="K16" s="294"/>
      <c r="L16" s="300">
        <f ca="1">-C15</f>
        <v>-6088.6495122408523</v>
      </c>
      <c r="M16" s="299"/>
      <c r="N16" s="284"/>
      <c r="O16" s="284"/>
      <c r="P16" s="284"/>
    </row>
    <row r="17" spans="2:16" x14ac:dyDescent="0.35">
      <c r="B17" s="293" t="s">
        <v>272</v>
      </c>
      <c r="C17" s="294">
        <f ca="1">SUM(E17:F17,I17:M17)</f>
        <v>7624349.3266991107</v>
      </c>
      <c r="D17" s="315">
        <f t="shared" ref="D17:D18" ca="1" si="9">E17+F17</f>
        <v>6051455.0614449959</v>
      </c>
      <c r="E17" s="294">
        <f t="shared" ref="E17:M17" ca="1" si="10">E14+E16</f>
        <v>4920840.2193422718</v>
      </c>
      <c r="F17" s="294">
        <f t="shared" ca="1" si="10"/>
        <v>1130614.8421027237</v>
      </c>
      <c r="G17" s="315">
        <f t="shared" ca="1" si="10"/>
        <v>831949.3310855513</v>
      </c>
      <c r="H17" s="315">
        <f t="shared" ca="1" si="10"/>
        <v>298665.51101717231</v>
      </c>
      <c r="I17" s="294">
        <f t="shared" ca="1" si="10"/>
        <v>99171.537399216133</v>
      </c>
      <c r="J17" s="294">
        <f t="shared" ca="1" si="10"/>
        <v>280424.03251351195</v>
      </c>
      <c r="K17" s="294">
        <f t="shared" ca="1" si="10"/>
        <v>288462.32641082228</v>
      </c>
      <c r="L17" s="294">
        <f t="shared" ca="1" si="10"/>
        <v>46352.131177680953</v>
      </c>
      <c r="M17" s="296">
        <f t="shared" ca="1" si="10"/>
        <v>858484.23775288265</v>
      </c>
      <c r="N17" s="284"/>
      <c r="O17" s="284"/>
      <c r="P17" s="284"/>
    </row>
    <row r="18" spans="2:16" x14ac:dyDescent="0.35">
      <c r="B18" s="302" t="s">
        <v>281</v>
      </c>
      <c r="C18" s="294">
        <f ca="1">SUM(E18:F18,I18:M18)</f>
        <v>7732737.3266991051</v>
      </c>
      <c r="D18" s="315">
        <f t="shared" ca="1" si="9"/>
        <v>6154985.0699764751</v>
      </c>
      <c r="E18" s="294">
        <f t="shared" ref="E18:M18" ca="1" si="11">E17+E10</f>
        <v>4993765.6829812126</v>
      </c>
      <c r="F18" s="294">
        <f t="shared" ca="1" si="11"/>
        <v>1161219.3869952622</v>
      </c>
      <c r="G18" s="315">
        <f t="shared" ca="1" si="11"/>
        <v>854897.29347055196</v>
      </c>
      <c r="H18" s="315">
        <f t="shared" ca="1" si="11"/>
        <v>306322.09352471028</v>
      </c>
      <c r="I18" s="294">
        <f t="shared" ca="1" si="11"/>
        <v>100232.2778439325</v>
      </c>
      <c r="J18" s="294">
        <f t="shared" ca="1" si="11"/>
        <v>282009.29504987982</v>
      </c>
      <c r="K18" s="294">
        <f t="shared" ca="1" si="11"/>
        <v>290337.21309012466</v>
      </c>
      <c r="L18" s="294">
        <f t="shared" ca="1" si="11"/>
        <v>46689.232985810529</v>
      </c>
      <c r="M18" s="296">
        <f t="shared" ca="1" si="11"/>
        <v>858484.23775288265</v>
      </c>
      <c r="N18" s="284"/>
      <c r="O18" s="284"/>
      <c r="P18" s="284"/>
    </row>
    <row r="19" spans="2:16" x14ac:dyDescent="0.35">
      <c r="B19" s="293" t="s">
        <v>252</v>
      </c>
      <c r="C19" s="303">
        <f t="shared" ref="C19:M19" ca="1" si="12">C18/C7</f>
        <v>1.0000000000000002</v>
      </c>
      <c r="D19" s="317">
        <f t="shared" ca="1" si="12"/>
        <v>1.0242959354962018</v>
      </c>
      <c r="E19" s="304">
        <f t="shared" ca="1" si="12"/>
        <v>1.0163457103063125</v>
      </c>
      <c r="F19" s="304">
        <f t="shared" ca="1" si="12"/>
        <v>1.0599523947458658</v>
      </c>
      <c r="G19" s="317">
        <f t="shared" ca="1" si="12"/>
        <v>0.97594692572150832</v>
      </c>
      <c r="H19" s="317">
        <f t="shared" ca="1" si="12"/>
        <v>1.3950859829201487</v>
      </c>
      <c r="I19" s="304">
        <f t="shared" ca="1" si="12"/>
        <v>0.8</v>
      </c>
      <c r="J19" s="304">
        <f t="shared" ca="1" si="12"/>
        <v>0.93561421169593695</v>
      </c>
      <c r="K19" s="304">
        <f t="shared" ca="1" si="12"/>
        <v>0.8</v>
      </c>
      <c r="L19" s="304">
        <f t="shared" ca="1" si="12"/>
        <v>1.0553783776320433</v>
      </c>
      <c r="M19" s="305">
        <f t="shared" ca="1" si="12"/>
        <v>0.96472029303692997</v>
      </c>
      <c r="N19" s="284"/>
      <c r="O19" s="284"/>
      <c r="P19" s="284"/>
    </row>
    <row r="20" spans="2:16" x14ac:dyDescent="0.35">
      <c r="B20" s="293"/>
      <c r="C20" s="284"/>
      <c r="D20" s="316"/>
      <c r="E20" s="284"/>
      <c r="F20" s="284"/>
      <c r="G20" s="316"/>
      <c r="H20" s="316"/>
      <c r="I20" s="284"/>
      <c r="J20" s="284"/>
      <c r="K20" s="284"/>
      <c r="L20" s="284"/>
      <c r="M20" s="299"/>
      <c r="N20" s="284"/>
      <c r="O20" s="284"/>
      <c r="P20" s="284"/>
    </row>
    <row r="21" spans="2:16" x14ac:dyDescent="0.35">
      <c r="B21" s="293" t="s">
        <v>253</v>
      </c>
      <c r="C21" s="304">
        <f t="shared" ref="C21:M21" ca="1" si="13">C17/C8-1</f>
        <v>3.4260589677042708E-2</v>
      </c>
      <c r="D21" s="317">
        <f t="shared" ca="1" si="13"/>
        <v>3.4260589677042708E-2</v>
      </c>
      <c r="E21" s="304">
        <f t="shared" ca="1" si="13"/>
        <v>3.4260589677042708E-2</v>
      </c>
      <c r="F21" s="304">
        <f t="shared" ca="1" si="13"/>
        <v>3.4260589677042486E-2</v>
      </c>
      <c r="G21" s="317">
        <f t="shared" ca="1" si="13"/>
        <v>3.4260589677042486E-2</v>
      </c>
      <c r="H21" s="317">
        <f t="shared" ca="1" si="13"/>
        <v>3.4260589677042486E-2</v>
      </c>
      <c r="I21" s="304">
        <f t="shared" ca="1" si="13"/>
        <v>3.9117857029057568E-2</v>
      </c>
      <c r="J21" s="304">
        <f t="shared" ca="1" si="13"/>
        <v>3.4260589677042486E-2</v>
      </c>
      <c r="K21" s="304">
        <f t="shared" ca="1" si="13"/>
        <v>5.483001371608065E-2</v>
      </c>
      <c r="L21" s="304">
        <f t="shared" ca="1" si="13"/>
        <v>-8.5822485975515117E-2</v>
      </c>
      <c r="M21" s="305">
        <f t="shared" ca="1" si="13"/>
        <v>3.4260589677042486E-2</v>
      </c>
      <c r="N21" s="284"/>
      <c r="O21" s="284"/>
      <c r="P21" s="284"/>
    </row>
    <row r="22" spans="2:16" x14ac:dyDescent="0.35">
      <c r="B22" s="306"/>
      <c r="C22" s="307"/>
      <c r="D22" s="318"/>
      <c r="E22" s="307"/>
      <c r="F22" s="308"/>
      <c r="G22" s="318"/>
      <c r="H22" s="318"/>
      <c r="I22" s="307"/>
      <c r="J22" s="307"/>
      <c r="K22" s="307"/>
      <c r="L22" s="307"/>
      <c r="M22" s="309"/>
      <c r="N22" s="284"/>
      <c r="O22" s="284"/>
      <c r="P22" s="284"/>
    </row>
    <row r="23" spans="2:16" x14ac:dyDescent="0.35">
      <c r="B23" s="293" t="s">
        <v>268</v>
      </c>
      <c r="C23" s="284"/>
      <c r="D23" s="316"/>
      <c r="E23" s="284"/>
      <c r="F23" s="286"/>
      <c r="G23" s="316"/>
      <c r="H23" s="316"/>
      <c r="I23" s="284"/>
      <c r="J23" s="284"/>
      <c r="K23" s="284"/>
      <c r="L23" s="284"/>
      <c r="M23" s="299"/>
      <c r="N23" s="284"/>
      <c r="O23" s="284"/>
      <c r="P23" s="284"/>
    </row>
    <row r="24" spans="2:16" x14ac:dyDescent="0.35">
      <c r="B24" s="293" t="s">
        <v>254</v>
      </c>
      <c r="C24" s="284"/>
      <c r="D24" s="316"/>
      <c r="E24" s="321">
        <v>0.85</v>
      </c>
      <c r="F24" s="321">
        <v>0.8</v>
      </c>
      <c r="G24" s="320"/>
      <c r="H24" s="320"/>
      <c r="I24" s="321">
        <v>0.8</v>
      </c>
      <c r="J24" s="321">
        <v>0.8</v>
      </c>
      <c r="K24" s="321">
        <v>0.8</v>
      </c>
      <c r="L24" s="321">
        <v>0.8</v>
      </c>
      <c r="M24" s="322">
        <v>0.8</v>
      </c>
      <c r="N24" s="284"/>
      <c r="O24" s="284"/>
      <c r="P24" s="284"/>
    </row>
    <row r="25" spans="2:16" ht="15" thickBot="1" x14ac:dyDescent="0.4">
      <c r="B25" s="310" t="s">
        <v>255</v>
      </c>
      <c r="C25" s="311"/>
      <c r="D25" s="319"/>
      <c r="E25" s="323">
        <v>1.1499999999999999</v>
      </c>
      <c r="F25" s="323">
        <v>1.2</v>
      </c>
      <c r="G25" s="346"/>
      <c r="H25" s="346"/>
      <c r="I25" s="323">
        <v>1.2</v>
      </c>
      <c r="J25" s="323">
        <v>1.2</v>
      </c>
      <c r="K25" s="323">
        <v>1.2</v>
      </c>
      <c r="L25" s="323">
        <v>1.2</v>
      </c>
      <c r="M25" s="324">
        <v>1.2</v>
      </c>
      <c r="N25" s="284"/>
      <c r="O25" s="284"/>
      <c r="P25" s="284"/>
    </row>
    <row r="26" spans="2:16" x14ac:dyDescent="0.35">
      <c r="B26" s="284"/>
      <c r="C26" s="284"/>
      <c r="D26" s="286"/>
      <c r="E26" s="284"/>
      <c r="F26" s="286"/>
      <c r="G26" s="284"/>
      <c r="H26" s="284"/>
      <c r="I26" s="284"/>
      <c r="J26" s="284"/>
      <c r="K26" s="284"/>
      <c r="L26" s="284"/>
      <c r="M26" s="284"/>
      <c r="N26" s="284"/>
      <c r="O26" s="284"/>
      <c r="P26" s="284"/>
    </row>
    <row r="27" spans="2:16" x14ac:dyDescent="0.35">
      <c r="B27" s="284"/>
      <c r="C27" s="284"/>
      <c r="D27" s="286"/>
      <c r="E27" s="284"/>
      <c r="F27" s="286"/>
      <c r="G27" s="284"/>
      <c r="H27" s="284"/>
      <c r="I27" s="284"/>
      <c r="J27" s="284"/>
      <c r="K27" s="284"/>
      <c r="L27" s="284"/>
      <c r="M27" s="284"/>
      <c r="N27" s="284"/>
      <c r="O27" s="284"/>
      <c r="P27" s="284"/>
    </row>
  </sheetData>
  <sheetProtection sheet="1" objects="1" scenarios="1"/>
  <pageMargins left="0.7" right="0.7" top="0.75" bottom="0.75" header="0.3" footer="0.3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0.79998168889431442"/>
    <pageSetUpPr fitToPage="1"/>
  </sheetPr>
  <dimension ref="B1:K33"/>
  <sheetViews>
    <sheetView showGridLines="0" topLeftCell="B1" workbookViewId="0">
      <selection activeCell="H19" sqref="H19"/>
    </sheetView>
  </sheetViews>
  <sheetFormatPr defaultColWidth="9" defaultRowHeight="12.5" x14ac:dyDescent="0.25"/>
  <cols>
    <col min="1" max="1" width="0" style="28" hidden="1" customWidth="1"/>
    <col min="2" max="2" width="9" style="28"/>
    <col min="3" max="3" width="36.08984375" style="28" customWidth="1"/>
    <col min="4" max="4" width="17.453125" style="28" bestFit="1" customWidth="1"/>
    <col min="5" max="5" width="16" style="28" customWidth="1"/>
    <col min="6" max="6" width="14.08984375" style="28" customWidth="1"/>
    <col min="7" max="7" width="14.36328125" style="28" customWidth="1"/>
    <col min="8" max="8" width="17.08984375" style="28" customWidth="1"/>
    <col min="9" max="9" width="12.90625" style="28" customWidth="1"/>
    <col min="10" max="10" width="14.90625" style="28" customWidth="1"/>
    <col min="11" max="11" width="15.453125" style="28" customWidth="1"/>
    <col min="12" max="16384" width="9" style="28"/>
  </cols>
  <sheetData>
    <row r="1" spans="2:11" ht="14" x14ac:dyDescent="0.3">
      <c r="B1" s="7" t="s">
        <v>266</v>
      </c>
    </row>
    <row r="2" spans="2:11" ht="14" x14ac:dyDescent="0.3">
      <c r="B2" s="7" t="s">
        <v>265</v>
      </c>
    </row>
    <row r="3" spans="2:11" ht="14" x14ac:dyDescent="0.3">
      <c r="B3" s="7" t="s">
        <v>267</v>
      </c>
    </row>
    <row r="4" spans="2:11" ht="14.5" thickBot="1" x14ac:dyDescent="0.35">
      <c r="B4" s="7" t="str">
        <f ca="1">MID(CELL("filename",A1),FIND("]",CELL("filename",A1))+1,255)</f>
        <v>Assets</v>
      </c>
    </row>
    <row r="5" spans="2:11" s="29" customFormat="1" ht="39.5" thickBot="1" x14ac:dyDescent="0.35">
      <c r="B5" s="40"/>
      <c r="C5" s="41"/>
      <c r="D5" s="42" t="s">
        <v>15</v>
      </c>
      <c r="E5" s="42" t="s">
        <v>207</v>
      </c>
      <c r="F5" s="42" t="s">
        <v>16</v>
      </c>
      <c r="G5" s="42" t="s">
        <v>17</v>
      </c>
      <c r="H5" s="333" t="s">
        <v>18</v>
      </c>
      <c r="I5" s="336" t="s">
        <v>0</v>
      </c>
      <c r="J5" s="42" t="s">
        <v>17</v>
      </c>
      <c r="K5" s="43" t="s">
        <v>19</v>
      </c>
    </row>
    <row r="6" spans="2:11" x14ac:dyDescent="0.25">
      <c r="B6" s="30">
        <f>'Trial Balance'!C13</f>
        <v>488</v>
      </c>
      <c r="C6" s="44" t="str">
        <f>'Trial Balance'!D13</f>
        <v>Communication Equipment</v>
      </c>
      <c r="D6" s="45">
        <f>'Trial Balance'!E13</f>
        <v>334295.95999999996</v>
      </c>
      <c r="E6" s="45">
        <v>-224456.60964257884</v>
      </c>
      <c r="F6" s="45">
        <f>D6+E6</f>
        <v>109839.35035742112</v>
      </c>
      <c r="G6" s="46"/>
      <c r="H6" s="334">
        <f>F6+G6</f>
        <v>109839.35035742112</v>
      </c>
      <c r="I6" s="337">
        <v>-12277.565765760544</v>
      </c>
      <c r="J6" s="46"/>
      <c r="K6" s="48">
        <f>I6+J6</f>
        <v>-12277.565765760544</v>
      </c>
    </row>
    <row r="7" spans="2:11" x14ac:dyDescent="0.25">
      <c r="B7" s="30">
        <f>'Trial Balance'!C14</f>
        <v>490</v>
      </c>
      <c r="C7" s="44" t="str">
        <f>'Trial Balance'!D14</f>
        <v>Computer Equipment</v>
      </c>
      <c r="D7" s="45">
        <f>'Trial Balance'!E14</f>
        <v>637393</v>
      </c>
      <c r="E7" s="45">
        <v>-567130.82857261272</v>
      </c>
      <c r="F7" s="45">
        <f t="shared" ref="F7:F28" si="0">D7+E7</f>
        <v>70262.171427387279</v>
      </c>
      <c r="G7" s="46"/>
      <c r="H7" s="334">
        <f t="shared" ref="H7:H29" si="1">F7+G7</f>
        <v>70262.171427387279</v>
      </c>
      <c r="I7" s="337">
        <v>-32628.313559192396</v>
      </c>
      <c r="J7" s="46"/>
      <c r="K7" s="48">
        <f t="shared" ref="K7:K29" si="2">I7+J7</f>
        <v>-32628.313559192396</v>
      </c>
    </row>
    <row r="8" spans="2:11" x14ac:dyDescent="0.25">
      <c r="B8" s="30">
        <f>'Trial Balance'!C15</f>
        <v>499</v>
      </c>
      <c r="C8" s="44" t="str">
        <f>'Trial Balance'!D15</f>
        <v>Contributions - Mains - Metallic (IGPC)</v>
      </c>
      <c r="D8" s="45">
        <f>'Trial Balance'!E15</f>
        <v>-376287.94</v>
      </c>
      <c r="E8" s="45">
        <v>54246.574687724584</v>
      </c>
      <c r="F8" s="45">
        <f t="shared" si="0"/>
        <v>-322041.36531227542</v>
      </c>
      <c r="G8" s="47">
        <f>-F8</f>
        <v>322041.36531227542</v>
      </c>
      <c r="H8" s="334">
        <f t="shared" si="1"/>
        <v>0</v>
      </c>
      <c r="I8" s="337">
        <v>8331.2631251497223</v>
      </c>
      <c r="J8" s="47">
        <f>-I8</f>
        <v>-8331.2631251497223</v>
      </c>
      <c r="K8" s="48">
        <f t="shared" si="2"/>
        <v>0</v>
      </c>
    </row>
    <row r="9" spans="2:11" x14ac:dyDescent="0.25">
      <c r="B9" s="30">
        <f>'Trial Balance'!C16</f>
        <v>499</v>
      </c>
      <c r="C9" s="44" t="str">
        <f>'Trial Balance'!D16</f>
        <v>Contributions - Mains Plastic</v>
      </c>
      <c r="D9" s="45">
        <f>'Trial Balance'!E16</f>
        <v>-329996.40000000002</v>
      </c>
      <c r="E9" s="45">
        <v>30801.89838549064</v>
      </c>
      <c r="F9" s="45">
        <f t="shared" si="0"/>
        <v>-299194.50161450938</v>
      </c>
      <c r="G9" s="47">
        <f>-F9</f>
        <v>299194.50161450938</v>
      </c>
      <c r="H9" s="334">
        <f t="shared" si="1"/>
        <v>0</v>
      </c>
      <c r="I9" s="337">
        <v>8130.9287117143776</v>
      </c>
      <c r="J9" s="47">
        <f>-I9</f>
        <v>-8130.9287117143776</v>
      </c>
      <c r="K9" s="48">
        <f t="shared" si="2"/>
        <v>0</v>
      </c>
    </row>
    <row r="10" spans="2:11" x14ac:dyDescent="0.25">
      <c r="B10" s="30">
        <f>'Trial Balance'!C17</f>
        <v>499</v>
      </c>
      <c r="C10" s="44" t="str">
        <f>'Trial Balance'!D17</f>
        <v>Contributions - Services Metal</v>
      </c>
      <c r="D10" s="45">
        <f>'Trial Balance'!E17</f>
        <v>-13207.81</v>
      </c>
      <c r="E10" s="45">
        <v>2821.4687784975645</v>
      </c>
      <c r="F10" s="45">
        <f t="shared" si="0"/>
        <v>-10386.341221502435</v>
      </c>
      <c r="G10" s="47">
        <f>-F10</f>
        <v>10386.341221502435</v>
      </c>
      <c r="H10" s="334">
        <f t="shared" si="1"/>
        <v>0</v>
      </c>
      <c r="I10" s="337">
        <v>361.44585233170966</v>
      </c>
      <c r="J10" s="47">
        <f>-I10</f>
        <v>-361.44585233170966</v>
      </c>
      <c r="K10" s="48">
        <f t="shared" si="2"/>
        <v>0</v>
      </c>
    </row>
    <row r="11" spans="2:11" x14ac:dyDescent="0.25">
      <c r="B11" s="30">
        <f>'Trial Balance'!C18</f>
        <v>499</v>
      </c>
      <c r="C11" s="44" t="str">
        <f>'Trial Balance'!D18</f>
        <v>Contributions - Services Plastic</v>
      </c>
      <c r="D11" s="45">
        <f>'Trial Balance'!E18</f>
        <v>-527904.73</v>
      </c>
      <c r="E11" s="45">
        <v>46207.082086662427</v>
      </c>
      <c r="F11" s="45">
        <f t="shared" si="0"/>
        <v>-481697.64791333757</v>
      </c>
      <c r="G11" s="47">
        <f>-F11</f>
        <v>481697.64791333757</v>
      </c>
      <c r="H11" s="334">
        <f t="shared" si="1"/>
        <v>0</v>
      </c>
      <c r="I11" s="337">
        <v>12033.343036854445</v>
      </c>
      <c r="J11" s="47">
        <f>-I11</f>
        <v>-12033.343036854445</v>
      </c>
      <c r="K11" s="48">
        <f t="shared" si="2"/>
        <v>0</v>
      </c>
    </row>
    <row r="12" spans="2:11" x14ac:dyDescent="0.25">
      <c r="B12" s="30">
        <f>'Trial Balance'!C19</f>
        <v>401</v>
      </c>
      <c r="C12" s="44" t="str">
        <f>'Trial Balance'!D19</f>
        <v>Franchise &amp; Consents</v>
      </c>
      <c r="D12" s="45">
        <f>'Trial Balance'!E19</f>
        <v>842666.73999999987</v>
      </c>
      <c r="E12" s="45">
        <v>-562019.18999999994</v>
      </c>
      <c r="F12" s="45">
        <f t="shared" si="0"/>
        <v>280647.54999999993</v>
      </c>
      <c r="G12" s="46"/>
      <c r="H12" s="334">
        <f t="shared" si="1"/>
        <v>280647.54999999993</v>
      </c>
      <c r="I12" s="337">
        <v>-35232</v>
      </c>
      <c r="J12" s="46"/>
      <c r="K12" s="48">
        <f t="shared" si="2"/>
        <v>-35232</v>
      </c>
    </row>
    <row r="13" spans="2:11" x14ac:dyDescent="0.25">
      <c r="B13" s="30">
        <f>'Trial Balance'!C20</f>
        <v>483</v>
      </c>
      <c r="C13" s="44" t="str">
        <f>'Trial Balance'!D20</f>
        <v>Furnishing / Office Equipment</v>
      </c>
      <c r="D13" s="45">
        <f>'Trial Balance'!E20</f>
        <v>200719.96</v>
      </c>
      <c r="E13" s="45">
        <v>-134426.94815786919</v>
      </c>
      <c r="F13" s="45">
        <f t="shared" si="0"/>
        <v>66293.0118421308</v>
      </c>
      <c r="G13" s="46"/>
      <c r="H13" s="334">
        <f t="shared" si="1"/>
        <v>66293.0118421308</v>
      </c>
      <c r="I13" s="337">
        <v>-7773.9921052461441</v>
      </c>
      <c r="J13" s="46"/>
      <c r="K13" s="48">
        <f t="shared" si="2"/>
        <v>-7773.9921052461441</v>
      </c>
    </row>
    <row r="14" spans="2:11" x14ac:dyDescent="0.25">
      <c r="B14" s="30">
        <f>'Trial Balance'!C21</f>
        <v>480</v>
      </c>
      <c r="C14" s="44" t="str">
        <f>'Trial Balance'!D21</f>
        <v>Land</v>
      </c>
      <c r="D14" s="45">
        <f>'Trial Balance'!E21</f>
        <v>82653.239999999991</v>
      </c>
      <c r="E14" s="45">
        <v>0</v>
      </c>
      <c r="F14" s="45">
        <f t="shared" si="0"/>
        <v>82653.239999999991</v>
      </c>
      <c r="G14" s="46"/>
      <c r="H14" s="334">
        <f t="shared" si="1"/>
        <v>82653.239999999991</v>
      </c>
      <c r="I14" s="337">
        <v>0</v>
      </c>
      <c r="J14" s="46"/>
      <c r="K14" s="48">
        <f t="shared" si="2"/>
        <v>0</v>
      </c>
    </row>
    <row r="15" spans="2:11" x14ac:dyDescent="0.25">
      <c r="B15" s="30">
        <f>'Trial Balance'!C22</f>
        <v>475</v>
      </c>
      <c r="C15" s="44" t="str">
        <f>'Trial Balance'!D22</f>
        <v>Mains - Metallic</v>
      </c>
      <c r="D15" s="45">
        <f>'Trial Balance'!E22</f>
        <v>0</v>
      </c>
      <c r="E15" s="45">
        <v>0</v>
      </c>
      <c r="F15" s="45">
        <f t="shared" si="0"/>
        <v>0</v>
      </c>
      <c r="G15" s="47"/>
      <c r="H15" s="334">
        <f t="shared" si="1"/>
        <v>0</v>
      </c>
      <c r="I15" s="337">
        <v>0</v>
      </c>
      <c r="J15" s="47"/>
      <c r="K15" s="48">
        <f t="shared" si="2"/>
        <v>0</v>
      </c>
    </row>
    <row r="16" spans="2:11" x14ac:dyDescent="0.25">
      <c r="B16" s="30">
        <f>'Trial Balance'!C23</f>
        <v>475</v>
      </c>
      <c r="C16" s="44" t="str">
        <f>'Trial Balance'!D23</f>
        <v>Mains - Metallic (IGPC)</v>
      </c>
      <c r="D16" s="45">
        <f>'Trial Balance'!E23</f>
        <v>6655973.9499999993</v>
      </c>
      <c r="E16" s="45">
        <v>-3385934.7535808496</v>
      </c>
      <c r="F16" s="45">
        <f t="shared" si="0"/>
        <v>3270039.1964191496</v>
      </c>
      <c r="G16" s="47">
        <f>-G8-G10</f>
        <v>-332427.70653377788</v>
      </c>
      <c r="H16" s="334">
        <f t="shared" si="1"/>
        <v>2937611.4898853716</v>
      </c>
      <c r="I16" s="337">
        <v>-88588.578756870207</v>
      </c>
      <c r="J16" s="47">
        <f>-J8</f>
        <v>8331.2631251497223</v>
      </c>
      <c r="K16" s="48">
        <f t="shared" si="2"/>
        <v>-80257.315631720485</v>
      </c>
    </row>
    <row r="17" spans="2:11" x14ac:dyDescent="0.25">
      <c r="B17" s="30">
        <f>'Trial Balance'!C24</f>
        <v>475</v>
      </c>
      <c r="C17" s="44" t="str">
        <f>'Trial Balance'!D24</f>
        <v>Mains - Plastic</v>
      </c>
      <c r="D17" s="45">
        <f>'Trial Balance'!E24</f>
        <v>18462961.049999997</v>
      </c>
      <c r="E17" s="45">
        <v>-7533799.5718161426</v>
      </c>
      <c r="F17" s="45">
        <f t="shared" si="0"/>
        <v>10929161.478183854</v>
      </c>
      <c r="G17" s="47">
        <f>-G9</f>
        <v>-299194.50161450938</v>
      </c>
      <c r="H17" s="334">
        <f t="shared" si="1"/>
        <v>10629966.976569345</v>
      </c>
      <c r="I17" s="337">
        <v>-360277.15666355443</v>
      </c>
      <c r="J17" s="47">
        <f>-J9-J10</f>
        <v>8492.3745640460875</v>
      </c>
      <c r="K17" s="48">
        <f t="shared" si="2"/>
        <v>-351784.78209950833</v>
      </c>
    </row>
    <row r="18" spans="2:11" x14ac:dyDescent="0.25">
      <c r="B18" s="30">
        <f>'Trial Balance'!C25</f>
        <v>477</v>
      </c>
      <c r="C18" s="44" t="str">
        <f>'Trial Balance'!D25</f>
        <v>Measuring &amp; Regulating Equip</v>
      </c>
      <c r="D18" s="45">
        <f>'Trial Balance'!E25</f>
        <v>2449129</v>
      </c>
      <c r="E18" s="45">
        <v>-1101334.1219855933</v>
      </c>
      <c r="F18" s="45">
        <f t="shared" si="0"/>
        <v>1347794.8780144067</v>
      </c>
      <c r="G18" s="46"/>
      <c r="H18" s="334">
        <f t="shared" si="1"/>
        <v>1347794.8780144067</v>
      </c>
      <c r="I18" s="337">
        <v>-55025.400510720698</v>
      </c>
      <c r="J18" s="46"/>
      <c r="K18" s="48">
        <f t="shared" si="2"/>
        <v>-55025.400510720698</v>
      </c>
    </row>
    <row r="19" spans="2:11" x14ac:dyDescent="0.25">
      <c r="B19" s="30">
        <f>'Trial Balance'!C26</f>
        <v>477</v>
      </c>
      <c r="C19" s="44" t="str">
        <f>'Trial Balance'!D26</f>
        <v>Measuring &amp; Regulating Equip (IGPC)</v>
      </c>
      <c r="D19" s="45">
        <f>'Trial Balance'!E26</f>
        <v>576367.02</v>
      </c>
      <c r="E19" s="45">
        <v>-156432.35499999998</v>
      </c>
      <c r="F19" s="45">
        <f t="shared" si="0"/>
        <v>419934.66500000004</v>
      </c>
      <c r="G19" s="46"/>
      <c r="H19" s="334">
        <f t="shared" si="1"/>
        <v>419934.66500000004</v>
      </c>
      <c r="I19" s="337">
        <v>-21086.59</v>
      </c>
      <c r="J19" s="46"/>
      <c r="K19" s="48">
        <f t="shared" si="2"/>
        <v>-21086.59</v>
      </c>
    </row>
    <row r="20" spans="2:11" x14ac:dyDescent="0.25">
      <c r="B20" s="30">
        <f>'Trial Balance'!C27</f>
        <v>478</v>
      </c>
      <c r="C20" s="44" t="str">
        <f>'Trial Balance'!D27</f>
        <v>Meters - Commercial</v>
      </c>
      <c r="D20" s="45">
        <f>'Trial Balance'!E27</f>
        <v>2159749.4699999997</v>
      </c>
      <c r="E20" s="45">
        <v>-1181019.4797151289</v>
      </c>
      <c r="F20" s="45">
        <f t="shared" si="0"/>
        <v>978729.99028487084</v>
      </c>
      <c r="G20" s="46"/>
      <c r="H20" s="334">
        <f t="shared" si="1"/>
        <v>978729.99028487084</v>
      </c>
      <c r="I20" s="337">
        <v>-89746.799810085897</v>
      </c>
      <c r="J20" s="46"/>
      <c r="K20" s="48">
        <f t="shared" si="2"/>
        <v>-89746.799810085897</v>
      </c>
    </row>
    <row r="21" spans="2:11" x14ac:dyDescent="0.25">
      <c r="B21" s="30">
        <f>'Trial Balance'!C28</f>
        <v>478</v>
      </c>
      <c r="C21" s="44" t="str">
        <f>'Trial Balance'!D28</f>
        <v>Meters - IGPC</v>
      </c>
      <c r="D21" s="45">
        <f>'Trial Balance'!E28</f>
        <v>14139.4</v>
      </c>
      <c r="E21" s="45">
        <v>-14139.400000000001</v>
      </c>
      <c r="F21" s="45">
        <f t="shared" si="0"/>
        <v>0</v>
      </c>
      <c r="G21" s="46"/>
      <c r="H21" s="334">
        <f t="shared" si="1"/>
        <v>0</v>
      </c>
      <c r="I21" s="337">
        <v>0</v>
      </c>
      <c r="J21" s="46"/>
      <c r="K21" s="48">
        <f t="shared" si="2"/>
        <v>0</v>
      </c>
    </row>
    <row r="22" spans="2:11" x14ac:dyDescent="0.25">
      <c r="B22" s="30">
        <f>'Trial Balance'!C29</f>
        <v>478</v>
      </c>
      <c r="C22" s="44" t="str">
        <f>'Trial Balance'!D29</f>
        <v>Meters - Residential</v>
      </c>
      <c r="D22" s="45">
        <f>'Trial Balance'!E29</f>
        <v>3858183.1999999993</v>
      </c>
      <c r="E22" s="45">
        <v>-1873362.112455382</v>
      </c>
      <c r="F22" s="45">
        <f t="shared" si="0"/>
        <v>1984821.0875446172</v>
      </c>
      <c r="G22" s="46"/>
      <c r="H22" s="334">
        <f t="shared" si="1"/>
        <v>1984821.0875446172</v>
      </c>
      <c r="I22" s="337">
        <v>-293692.54285961087</v>
      </c>
      <c r="J22" s="46"/>
      <c r="K22" s="48">
        <f t="shared" si="2"/>
        <v>-293692.54285961087</v>
      </c>
    </row>
    <row r="23" spans="2:11" x14ac:dyDescent="0.25">
      <c r="B23" s="30">
        <f>'Trial Balance'!C30</f>
        <v>474</v>
      </c>
      <c r="C23" s="44" t="str">
        <f>'Trial Balance'!D30</f>
        <v>Regulators</v>
      </c>
      <c r="D23" s="45">
        <f>'Trial Balance'!E30</f>
        <v>1238865.5699999998</v>
      </c>
      <c r="E23" s="45">
        <v>-498165.47060944082</v>
      </c>
      <c r="F23" s="45">
        <f t="shared" si="0"/>
        <v>740700.09939055901</v>
      </c>
      <c r="G23" s="46"/>
      <c r="H23" s="334">
        <f t="shared" si="1"/>
        <v>740700.09939055901</v>
      </c>
      <c r="I23" s="337">
        <v>-43413.033739627303</v>
      </c>
      <c r="J23" s="46"/>
      <c r="K23" s="48">
        <f t="shared" si="2"/>
        <v>-43413.033739627303</v>
      </c>
    </row>
    <row r="24" spans="2:11" x14ac:dyDescent="0.25">
      <c r="B24" s="30">
        <f>'Trial Balance'!C31</f>
        <v>473</v>
      </c>
      <c r="C24" s="44" t="str">
        <f>'Trial Balance'!D31</f>
        <v>Services - Plastic</v>
      </c>
      <c r="D24" s="45">
        <f>'Trial Balance'!E31</f>
        <v>7764472.3200000003</v>
      </c>
      <c r="E24" s="45">
        <v>-3310975.5789005021</v>
      </c>
      <c r="F24" s="45">
        <f t="shared" si="0"/>
        <v>4453496.7410994982</v>
      </c>
      <c r="G24" s="47">
        <f>-G11</f>
        <v>-481697.64791333757</v>
      </c>
      <c r="H24" s="334">
        <f t="shared" si="1"/>
        <v>3971799.0931861605</v>
      </c>
      <c r="I24" s="337">
        <v>-121013.14102432357</v>
      </c>
      <c r="J24" s="47">
        <f>-J11</f>
        <v>12033.343036854445</v>
      </c>
      <c r="K24" s="48">
        <f t="shared" si="2"/>
        <v>-108979.79798746912</v>
      </c>
    </row>
    <row r="25" spans="2:11" x14ac:dyDescent="0.25">
      <c r="B25" s="30">
        <f>'Trial Balance'!C32</f>
        <v>491</v>
      </c>
      <c r="C25" s="44" t="str">
        <f>'Trial Balance'!D32</f>
        <v>Software - Acquired</v>
      </c>
      <c r="D25" s="45">
        <f>'Trial Balance'!E32</f>
        <v>759686.65999999992</v>
      </c>
      <c r="E25" s="45">
        <v>-606370.98910032422</v>
      </c>
      <c r="F25" s="45">
        <f t="shared" si="0"/>
        <v>153315.67089967569</v>
      </c>
      <c r="G25" s="46"/>
      <c r="H25" s="334">
        <f t="shared" si="1"/>
        <v>153315.67089967569</v>
      </c>
      <c r="I25" s="337">
        <v>-43063.906066882832</v>
      </c>
      <c r="J25" s="46"/>
      <c r="K25" s="48">
        <f t="shared" si="2"/>
        <v>-43063.906066882832</v>
      </c>
    </row>
    <row r="26" spans="2:11" x14ac:dyDescent="0.25">
      <c r="B26" s="30">
        <f>'Trial Balance'!C33</f>
        <v>482</v>
      </c>
      <c r="C26" s="44" t="str">
        <f>'Trial Balance'!D33</f>
        <v>Structures &amp; Improvements</v>
      </c>
      <c r="D26" s="45">
        <f>'Trial Balance'!E33</f>
        <v>819326.52</v>
      </c>
      <c r="E26" s="45">
        <v>-358998.99713634246</v>
      </c>
      <c r="F26" s="45">
        <f t="shared" si="0"/>
        <v>460327.52286365756</v>
      </c>
      <c r="G26" s="46"/>
      <c r="H26" s="334">
        <f t="shared" si="1"/>
        <v>460327.52286365756</v>
      </c>
      <c r="I26" s="337">
        <v>-13038.4100908949</v>
      </c>
      <c r="J26" s="46"/>
      <c r="K26" s="48">
        <f t="shared" si="2"/>
        <v>-13038.4100908949</v>
      </c>
    </row>
    <row r="27" spans="2:11" x14ac:dyDescent="0.25">
      <c r="B27" s="30">
        <f>'Trial Balance'!C34</f>
        <v>486</v>
      </c>
      <c r="C27" s="44" t="str">
        <f>'Trial Balance'!D34</f>
        <v>Tools and Work Equipment</v>
      </c>
      <c r="D27" s="45">
        <f>'Trial Balance'!E34</f>
        <v>929193.56000000017</v>
      </c>
      <c r="E27" s="45">
        <v>-686134.70685418742</v>
      </c>
      <c r="F27" s="45">
        <f t="shared" si="0"/>
        <v>243058.85314581275</v>
      </c>
      <c r="G27" s="46"/>
      <c r="H27" s="334">
        <f t="shared" si="1"/>
        <v>243058.85314581275</v>
      </c>
      <c r="I27" s="337">
        <v>-27043.069013902674</v>
      </c>
      <c r="J27" s="46"/>
      <c r="K27" s="48">
        <f t="shared" si="2"/>
        <v>-27043.069013902674</v>
      </c>
    </row>
    <row r="28" spans="2:11" x14ac:dyDescent="0.25">
      <c r="B28" s="30">
        <f>'Trial Balance'!C35</f>
        <v>485</v>
      </c>
      <c r="C28" s="44" t="str">
        <f>'Trial Balance'!D35</f>
        <v>Vehicle - Heavy Work Equip</v>
      </c>
      <c r="D28" s="45">
        <f>'Trial Balance'!E35</f>
        <v>33032.959999999999</v>
      </c>
      <c r="E28" s="45">
        <v>-15420.84420421124</v>
      </c>
      <c r="F28" s="45">
        <f t="shared" si="0"/>
        <v>17612.115795788759</v>
      </c>
      <c r="G28" s="46"/>
      <c r="H28" s="334">
        <f t="shared" si="1"/>
        <v>17612.115795788759</v>
      </c>
      <c r="I28" s="337">
        <v>-2335.2694694741599</v>
      </c>
      <c r="J28" s="46"/>
      <c r="K28" s="48">
        <f t="shared" si="2"/>
        <v>-2335.2694694741599</v>
      </c>
    </row>
    <row r="29" spans="2:11" ht="13" thickBot="1" x14ac:dyDescent="0.3">
      <c r="B29" s="32">
        <f>'Trial Balance'!C36</f>
        <v>484</v>
      </c>
      <c r="C29" s="49" t="str">
        <f>'Trial Balance'!D36</f>
        <v>Vehicles - Transportation Equip</v>
      </c>
      <c r="D29" s="45">
        <f>'Trial Balance'!E36</f>
        <v>911253.39999999991</v>
      </c>
      <c r="E29" s="45">
        <v>-585678.90583032323</v>
      </c>
      <c r="F29" s="45">
        <f>D29+E29</f>
        <v>325574.49416967668</v>
      </c>
      <c r="G29" s="46"/>
      <c r="H29" s="334">
        <f t="shared" si="1"/>
        <v>325574.49416967668</v>
      </c>
      <c r="I29" s="337">
        <v>-85328.385482700702</v>
      </c>
      <c r="J29" s="46"/>
      <c r="K29" s="48">
        <f t="shared" si="2"/>
        <v>-85328.385482700702</v>
      </c>
    </row>
    <row r="30" spans="2:11" ht="13" thickBot="1" x14ac:dyDescent="0.3">
      <c r="B30" s="50"/>
      <c r="C30" s="51" t="s">
        <v>20</v>
      </c>
      <c r="D30" s="52">
        <f t="shared" ref="D30:K30" si="3">SUM(D6:D29)</f>
        <v>47482666.099999994</v>
      </c>
      <c r="E30" s="52">
        <f t="shared" si="3"/>
        <v>-22661723.839623116</v>
      </c>
      <c r="F30" s="52">
        <f t="shared" si="3"/>
        <v>24820942.260376878</v>
      </c>
      <c r="G30" s="52">
        <f t="shared" si="3"/>
        <v>0</v>
      </c>
      <c r="H30" s="335">
        <f t="shared" si="3"/>
        <v>24820942.260376871</v>
      </c>
      <c r="I30" s="338">
        <f t="shared" si="3"/>
        <v>-1302707.1741927974</v>
      </c>
      <c r="J30" s="52">
        <f t="shared" si="3"/>
        <v>0</v>
      </c>
      <c r="K30" s="53">
        <f t="shared" si="3"/>
        <v>-1302707.1741927972</v>
      </c>
    </row>
    <row r="32" spans="2:11" x14ac:dyDescent="0.25">
      <c r="C32" s="33" t="s">
        <v>22</v>
      </c>
      <c r="D32" s="34">
        <f>SUM('Trial Balance'!E13:E36)</f>
        <v>47482666.099999994</v>
      </c>
      <c r="E32" s="34">
        <f>'Trial Balance'!E37</f>
        <v>-22661723.84</v>
      </c>
      <c r="F32" s="31">
        <f>D32+E32</f>
        <v>24820942.259999994</v>
      </c>
      <c r="H32" s="31">
        <f>F32</f>
        <v>24820942.259999994</v>
      </c>
      <c r="I32" s="34">
        <f>'Trial Balance'!E38</f>
        <v>-1302707.17</v>
      </c>
      <c r="K32" s="31">
        <f>I32</f>
        <v>-1302707.17</v>
      </c>
    </row>
    <row r="33" spans="3:11" x14ac:dyDescent="0.25">
      <c r="C33" s="33" t="s">
        <v>21</v>
      </c>
      <c r="D33" s="31">
        <f>D30-D32</f>
        <v>0</v>
      </c>
      <c r="E33" s="31">
        <f>E30-E32</f>
        <v>3.7688389420509338E-4</v>
      </c>
      <c r="F33" s="31">
        <f>F30-F32</f>
        <v>3.7688389420509338E-4</v>
      </c>
      <c r="G33" s="31"/>
      <c r="H33" s="31">
        <f t="shared" ref="H33:K33" si="4">H30-H32</f>
        <v>3.7687644362449646E-4</v>
      </c>
      <c r="I33" s="31">
        <f t="shared" si="4"/>
        <v>-4.1927974671125412E-3</v>
      </c>
      <c r="J33" s="31"/>
      <c r="K33" s="31">
        <f t="shared" si="4"/>
        <v>-4.1927972342818975E-3</v>
      </c>
    </row>
  </sheetData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79998168889431442"/>
    <pageSetUpPr fitToPage="1"/>
  </sheetPr>
  <dimension ref="B1:K31"/>
  <sheetViews>
    <sheetView showGridLines="0" workbookViewId="0">
      <pane xSplit="2" ySplit="5" topLeftCell="C6" activePane="bottomRight" state="frozen"/>
      <selection pane="topRight" activeCell="C1" sqref="C1"/>
      <selection pane="bottomLeft" activeCell="A3" sqref="A3"/>
      <selection pane="bottomRight" activeCell="E33" sqref="E33"/>
    </sheetView>
  </sheetViews>
  <sheetFormatPr defaultColWidth="9" defaultRowHeight="14.5" x14ac:dyDescent="0.35"/>
  <cols>
    <col min="1" max="1" width="0" hidden="1" customWidth="1"/>
    <col min="2" max="2" width="21.26953125" customWidth="1"/>
    <col min="3" max="3" width="14.6328125" customWidth="1"/>
    <col min="4" max="4" width="14.26953125" customWidth="1"/>
    <col min="5" max="5" width="12.90625" bestFit="1" customWidth="1"/>
    <col min="6" max="6" width="11.36328125" bestFit="1" customWidth="1"/>
    <col min="7" max="8" width="12.90625" bestFit="1" customWidth="1"/>
    <col min="9" max="9" width="12.36328125" bestFit="1" customWidth="1"/>
    <col min="10" max="10" width="14" bestFit="1" customWidth="1"/>
    <col min="11" max="11" width="12.08984375" bestFit="1" customWidth="1"/>
  </cols>
  <sheetData>
    <row r="1" spans="2:11" x14ac:dyDescent="0.35">
      <c r="B1" s="7" t="s">
        <v>266</v>
      </c>
    </row>
    <row r="2" spans="2:11" x14ac:dyDescent="0.35">
      <c r="B2" s="7" t="s">
        <v>265</v>
      </c>
    </row>
    <row r="3" spans="2:11" x14ac:dyDescent="0.35">
      <c r="B3" s="7" t="s">
        <v>267</v>
      </c>
    </row>
    <row r="4" spans="2:11" ht="15" thickBot="1" x14ac:dyDescent="0.4">
      <c r="B4" s="7" t="str">
        <f ca="1">MID(CELL("filename",A1),FIND("]",CELL("filename",A1))+1,255)</f>
        <v>Customer Data</v>
      </c>
    </row>
    <row r="5" spans="2:11" s="35" customFormat="1" x14ac:dyDescent="0.35">
      <c r="B5" s="54"/>
      <c r="C5" s="55" t="s">
        <v>57</v>
      </c>
      <c r="D5" s="55" t="s">
        <v>59</v>
      </c>
      <c r="E5" s="55" t="s">
        <v>58</v>
      </c>
      <c r="F5" s="55" t="s">
        <v>60</v>
      </c>
      <c r="G5" s="55" t="s">
        <v>61</v>
      </c>
      <c r="H5" s="55" t="s">
        <v>62</v>
      </c>
      <c r="I5" s="55" t="s">
        <v>63</v>
      </c>
      <c r="J5" s="55" t="s">
        <v>64</v>
      </c>
      <c r="K5" s="56" t="s">
        <v>20</v>
      </c>
    </row>
    <row r="6" spans="2:11" x14ac:dyDescent="0.35">
      <c r="B6" s="57" t="s">
        <v>65</v>
      </c>
      <c r="C6" s="58">
        <v>19778415.739818431</v>
      </c>
      <c r="D6" s="58">
        <v>6193868.565493363</v>
      </c>
      <c r="E6" s="58">
        <v>2686372.7498129737</v>
      </c>
      <c r="F6" s="58">
        <v>832280.61714073038</v>
      </c>
      <c r="G6" s="58">
        <v>3918035.8020753572</v>
      </c>
      <c r="H6" s="58">
        <v>2334616.1025064504</v>
      </c>
      <c r="I6" s="58">
        <v>647585.61798835057</v>
      </c>
      <c r="J6" s="58">
        <v>65345852.20000001</v>
      </c>
      <c r="K6" s="59">
        <f>SUM(C6:J6)</f>
        <v>101737027.39483565</v>
      </c>
    </row>
    <row r="7" spans="2:11" x14ac:dyDescent="0.35">
      <c r="B7" s="57" t="s">
        <v>66</v>
      </c>
      <c r="C7" s="58">
        <v>9578</v>
      </c>
      <c r="D7" s="58">
        <v>590</v>
      </c>
      <c r="E7" s="58">
        <v>81</v>
      </c>
      <c r="F7" s="58">
        <v>50</v>
      </c>
      <c r="G7" s="58">
        <v>5</v>
      </c>
      <c r="H7" s="58">
        <v>46</v>
      </c>
      <c r="I7" s="58">
        <v>4</v>
      </c>
      <c r="J7" s="58">
        <v>1</v>
      </c>
      <c r="K7" s="59">
        <f>SUM(C7:J7)</f>
        <v>10355</v>
      </c>
    </row>
    <row r="8" spans="2:11" ht="15" thickBot="1" x14ac:dyDescent="0.4">
      <c r="B8" s="60" t="s">
        <v>246</v>
      </c>
      <c r="C8" s="61">
        <f>C6/C7</f>
        <v>2064.9838943222417</v>
      </c>
      <c r="D8" s="61">
        <f t="shared" ref="D8:J8" si="0">D6/D7</f>
        <v>10498.082314395531</v>
      </c>
      <c r="E8" s="61">
        <f t="shared" si="0"/>
        <v>33165.095676703379</v>
      </c>
      <c r="F8" s="61">
        <f t="shared" si="0"/>
        <v>16645.612342814609</v>
      </c>
      <c r="G8" s="61">
        <f t="shared" si="0"/>
        <v>783607.16041507141</v>
      </c>
      <c r="H8" s="61">
        <f t="shared" si="0"/>
        <v>50752.523967531532</v>
      </c>
      <c r="I8" s="61">
        <f t="shared" si="0"/>
        <v>161896.40449708764</v>
      </c>
      <c r="J8" s="61">
        <f t="shared" si="0"/>
        <v>65345852.20000001</v>
      </c>
      <c r="K8" s="62"/>
    </row>
    <row r="9" spans="2:11" ht="15" thickBot="1" x14ac:dyDescent="0.4">
      <c r="B9" s="63"/>
      <c r="C9" s="64"/>
      <c r="D9" s="64"/>
      <c r="E9" s="64"/>
      <c r="F9" s="64"/>
      <c r="G9" s="64"/>
      <c r="H9" s="64"/>
      <c r="I9" s="64"/>
      <c r="J9" s="64"/>
      <c r="K9" s="65"/>
    </row>
    <row r="10" spans="2:11" x14ac:dyDescent="0.35">
      <c r="B10" s="66" t="s">
        <v>69</v>
      </c>
      <c r="C10" s="67"/>
      <c r="D10" s="67"/>
      <c r="E10" s="67"/>
      <c r="F10" s="67"/>
      <c r="G10" s="67"/>
      <c r="H10" s="67"/>
      <c r="I10" s="67"/>
      <c r="J10" s="67"/>
      <c r="K10" s="68"/>
    </row>
    <row r="11" spans="2:11" x14ac:dyDescent="0.35">
      <c r="B11" s="57">
        <v>36.6</v>
      </c>
      <c r="C11" s="64"/>
      <c r="D11" s="64"/>
      <c r="E11" s="64"/>
      <c r="F11" s="64"/>
      <c r="G11" s="64"/>
      <c r="H11" s="64"/>
      <c r="I11" s="64"/>
      <c r="J11" s="64"/>
      <c r="K11" s="69"/>
    </row>
    <row r="12" spans="2:11" x14ac:dyDescent="0.35">
      <c r="B12" s="57"/>
      <c r="C12" s="64"/>
      <c r="D12" s="64"/>
      <c r="E12" s="64"/>
      <c r="F12" s="64"/>
      <c r="G12" s="64"/>
      <c r="H12" s="64"/>
      <c r="I12" s="64"/>
      <c r="J12" s="64"/>
      <c r="K12" s="69"/>
    </row>
    <row r="13" spans="2:11" x14ac:dyDescent="0.35">
      <c r="B13" s="57" t="s">
        <v>67</v>
      </c>
      <c r="C13" s="70">
        <v>0.51383500000000004</v>
      </c>
      <c r="D13" s="70">
        <v>2.6338330000000001</v>
      </c>
      <c r="E13" s="70">
        <v>5.9519250000000001</v>
      </c>
      <c r="F13" s="70">
        <v>0.66359900000000005</v>
      </c>
      <c r="G13" s="70">
        <v>284.4765790217391</v>
      </c>
      <c r="H13" s="70">
        <v>0</v>
      </c>
      <c r="I13" s="70">
        <v>0</v>
      </c>
      <c r="J13" s="70">
        <v>0</v>
      </c>
      <c r="K13" s="69"/>
    </row>
    <row r="14" spans="2:11" x14ac:dyDescent="0.35">
      <c r="B14" s="57" t="s">
        <v>70</v>
      </c>
      <c r="C14" s="71">
        <f>C13*$B$11</f>
        <v>18.806361000000003</v>
      </c>
      <c r="D14" s="71">
        <f>D13*$B$11</f>
        <v>96.398287800000006</v>
      </c>
      <c r="E14" s="71">
        <f>E13*$B$11</f>
        <v>217.84045500000002</v>
      </c>
      <c r="F14" s="71">
        <f>F13*$B$11</f>
        <v>24.287723400000004</v>
      </c>
      <c r="G14" s="71">
        <f>G13*$B$11</f>
        <v>10411.842792195652</v>
      </c>
      <c r="H14" s="71">
        <f t="shared" ref="H14:J14" si="1">H13*$B$11</f>
        <v>0</v>
      </c>
      <c r="I14" s="71">
        <f t="shared" si="1"/>
        <v>0</v>
      </c>
      <c r="J14" s="71">
        <f t="shared" si="1"/>
        <v>0</v>
      </c>
      <c r="K14" s="69"/>
    </row>
    <row r="15" spans="2:11" x14ac:dyDescent="0.35">
      <c r="B15" s="57" t="s">
        <v>71</v>
      </c>
      <c r="C15" s="58">
        <f t="shared" ref="C15:I15" si="2">C14*C7</f>
        <v>180127.32565800002</v>
      </c>
      <c r="D15" s="58">
        <f t="shared" si="2"/>
        <v>56874.989802000004</v>
      </c>
      <c r="E15" s="58">
        <f t="shared" si="2"/>
        <v>17645.076855000003</v>
      </c>
      <c r="F15" s="58">
        <f t="shared" si="2"/>
        <v>1214.3861700000002</v>
      </c>
      <c r="G15" s="58">
        <f t="shared" si="2"/>
        <v>52059.213960978261</v>
      </c>
      <c r="H15" s="58">
        <f t="shared" si="2"/>
        <v>0</v>
      </c>
      <c r="I15" s="58">
        <f t="shared" si="2"/>
        <v>0</v>
      </c>
      <c r="J15" s="58">
        <f>J6/365</f>
        <v>179029.73205479456</v>
      </c>
      <c r="K15" s="59">
        <f>SUM(C15:J15)</f>
        <v>486950.72450077283</v>
      </c>
    </row>
    <row r="16" spans="2:11" x14ac:dyDescent="0.35">
      <c r="B16" s="57"/>
      <c r="C16" s="64"/>
      <c r="D16" s="64"/>
      <c r="E16" s="64"/>
      <c r="F16" s="64"/>
      <c r="G16" s="64"/>
      <c r="H16" s="64"/>
      <c r="I16" s="64"/>
      <c r="J16" s="64"/>
      <c r="K16" s="69"/>
    </row>
    <row r="17" spans="2:11" x14ac:dyDescent="0.35">
      <c r="B17" s="57"/>
      <c r="C17" s="64"/>
      <c r="D17" s="64"/>
      <c r="E17" s="64"/>
      <c r="F17" s="64"/>
      <c r="G17" s="64"/>
      <c r="H17" s="64"/>
      <c r="I17" s="64"/>
      <c r="J17" s="64"/>
      <c r="K17" s="69"/>
    </row>
    <row r="18" spans="2:11" x14ac:dyDescent="0.35">
      <c r="B18" s="57" t="s">
        <v>68</v>
      </c>
      <c r="C18" s="58">
        <v>17.347857307742384</v>
      </c>
      <c r="D18" s="58">
        <v>89.676551276850418</v>
      </c>
      <c r="E18" s="58">
        <v>216.07143398268397</v>
      </c>
      <c r="F18" s="58">
        <v>384.60627450980388</v>
      </c>
      <c r="G18" s="58">
        <v>9408.5174164762047</v>
      </c>
      <c r="H18" s="58">
        <v>2504</v>
      </c>
      <c r="I18" s="58">
        <v>3458.7258023446943</v>
      </c>
      <c r="J18" s="58">
        <f>J6/365</f>
        <v>179029.73205479456</v>
      </c>
      <c r="K18" s="72"/>
    </row>
    <row r="19" spans="2:11" ht="15" thickBot="1" x14ac:dyDescent="0.4">
      <c r="B19" s="60" t="s">
        <v>72</v>
      </c>
      <c r="C19" s="61">
        <f t="shared" ref="C19:J19" si="3">C18*C7</f>
        <v>166157.77729355654</v>
      </c>
      <c r="D19" s="61">
        <f t="shared" si="3"/>
        <v>52909.165253341744</v>
      </c>
      <c r="E19" s="61">
        <f t="shared" si="3"/>
        <v>17501.7861525974</v>
      </c>
      <c r="F19" s="61">
        <f t="shared" si="3"/>
        <v>19230.313725490196</v>
      </c>
      <c r="G19" s="61">
        <f t="shared" si="3"/>
        <v>47042.587082381026</v>
      </c>
      <c r="H19" s="61">
        <f t="shared" si="3"/>
        <v>115184</v>
      </c>
      <c r="I19" s="61">
        <f t="shared" si="3"/>
        <v>13834.903209378777</v>
      </c>
      <c r="J19" s="61">
        <f t="shared" si="3"/>
        <v>179029.73205479456</v>
      </c>
      <c r="K19" s="62">
        <f>SUM(C19:J19)</f>
        <v>610890.26477154018</v>
      </c>
    </row>
    <row r="20" spans="2:11" ht="15" thickBot="1" x14ac:dyDescent="0.4">
      <c r="B20" s="63"/>
      <c r="C20" s="64"/>
      <c r="D20" s="64"/>
      <c r="E20" s="64"/>
      <c r="F20" s="64"/>
      <c r="G20" s="64"/>
      <c r="H20" s="64"/>
      <c r="I20" s="64"/>
      <c r="J20" s="64"/>
      <c r="K20" s="65"/>
    </row>
    <row r="21" spans="2:11" x14ac:dyDescent="0.35">
      <c r="B21" s="66" t="s">
        <v>30</v>
      </c>
      <c r="C21" s="73">
        <v>1</v>
      </c>
      <c r="D21" s="73">
        <v>1.7542204861686455</v>
      </c>
      <c r="E21" s="73">
        <v>2.4220524543670301</v>
      </c>
      <c r="F21" s="73">
        <v>3.0898844225654147</v>
      </c>
      <c r="G21" s="73">
        <v>3.2359934388671161</v>
      </c>
      <c r="H21" s="73">
        <v>3.1927660294552296</v>
      </c>
      <c r="I21" s="73">
        <v>4.4237787249281979</v>
      </c>
      <c r="J21" s="73">
        <v>4.4237787249281979</v>
      </c>
      <c r="K21" s="68"/>
    </row>
    <row r="22" spans="2:11" x14ac:dyDescent="0.35">
      <c r="B22" s="57" t="s">
        <v>276</v>
      </c>
      <c r="C22" s="58">
        <f t="shared" ref="C22:J22" si="4">C21*C7</f>
        <v>9578</v>
      </c>
      <c r="D22" s="58">
        <f t="shared" si="4"/>
        <v>1034.9900868395009</v>
      </c>
      <c r="E22" s="58">
        <f t="shared" si="4"/>
        <v>196.18624880372943</v>
      </c>
      <c r="F22" s="58">
        <f t="shared" si="4"/>
        <v>154.49422112827074</v>
      </c>
      <c r="G22" s="58">
        <f t="shared" si="4"/>
        <v>16.179967194335582</v>
      </c>
      <c r="H22" s="58">
        <f t="shared" si="4"/>
        <v>146.86723735494056</v>
      </c>
      <c r="I22" s="58">
        <f t="shared" si="4"/>
        <v>17.695114899712792</v>
      </c>
      <c r="J22" s="58">
        <f t="shared" si="4"/>
        <v>4.4237787249281979</v>
      </c>
      <c r="K22" s="59">
        <f>SUM(C22:J22)</f>
        <v>11148.836654945417</v>
      </c>
    </row>
    <row r="23" spans="2:11" x14ac:dyDescent="0.35">
      <c r="B23" s="57"/>
      <c r="C23" s="58"/>
      <c r="D23" s="58"/>
      <c r="E23" s="58"/>
      <c r="F23" s="58"/>
      <c r="G23" s="58"/>
      <c r="H23" s="58"/>
      <c r="I23" s="58"/>
      <c r="J23" s="58"/>
      <c r="K23" s="69"/>
    </row>
    <row r="24" spans="2:11" x14ac:dyDescent="0.35">
      <c r="B24" s="57" t="s">
        <v>73</v>
      </c>
      <c r="C24" s="74">
        <v>1</v>
      </c>
      <c r="D24" s="74">
        <v>1</v>
      </c>
      <c r="E24" s="74">
        <v>1</v>
      </c>
      <c r="F24" s="74">
        <v>1.040910346967135</v>
      </c>
      <c r="G24" s="74">
        <v>7.6988389491759008</v>
      </c>
      <c r="H24" s="74">
        <v>0.93362610796569945</v>
      </c>
      <c r="I24" s="74">
        <v>7.8790649610260113</v>
      </c>
      <c r="J24" s="74">
        <v>8.4197429965763426</v>
      </c>
      <c r="K24" s="69"/>
    </row>
    <row r="25" spans="2:11" x14ac:dyDescent="0.35">
      <c r="B25" s="57" t="s">
        <v>277</v>
      </c>
      <c r="C25" s="58">
        <f t="shared" ref="C25:J25" si="5">C24*C7</f>
        <v>9578</v>
      </c>
      <c r="D25" s="58">
        <f t="shared" si="5"/>
        <v>590</v>
      </c>
      <c r="E25" s="58">
        <f t="shared" si="5"/>
        <v>81</v>
      </c>
      <c r="F25" s="58">
        <f t="shared" si="5"/>
        <v>52.045517348356753</v>
      </c>
      <c r="G25" s="58">
        <f t="shared" si="5"/>
        <v>38.494194745879504</v>
      </c>
      <c r="H25" s="58">
        <f t="shared" si="5"/>
        <v>42.946800966422174</v>
      </c>
      <c r="I25" s="58">
        <f t="shared" si="5"/>
        <v>31.516259844104045</v>
      </c>
      <c r="J25" s="58">
        <f t="shared" si="5"/>
        <v>8.4197429965763426</v>
      </c>
      <c r="K25" s="59">
        <f>SUM(C25:J25)</f>
        <v>10422.422515901339</v>
      </c>
    </row>
    <row r="26" spans="2:11" x14ac:dyDescent="0.35">
      <c r="B26" s="57"/>
      <c r="C26" s="58"/>
      <c r="D26" s="58"/>
      <c r="E26" s="58"/>
      <c r="F26" s="58"/>
      <c r="G26" s="58"/>
      <c r="H26" s="58"/>
      <c r="I26" s="58"/>
      <c r="J26" s="58"/>
      <c r="K26" s="69"/>
    </row>
    <row r="27" spans="2:11" x14ac:dyDescent="0.35">
      <c r="B27" s="57" t="s">
        <v>31</v>
      </c>
      <c r="C27" s="74">
        <v>1</v>
      </c>
      <c r="D27" s="74">
        <v>3.8803555518525461</v>
      </c>
      <c r="E27" s="74">
        <v>5.9485054078874597</v>
      </c>
      <c r="F27" s="74">
        <v>7.7760433497940804</v>
      </c>
      <c r="G27" s="74">
        <v>10.020477430566293</v>
      </c>
      <c r="H27" s="74">
        <v>9.9572234962334178</v>
      </c>
      <c r="I27" s="74">
        <v>10.020477430566293</v>
      </c>
      <c r="J27" s="74">
        <f>I27</f>
        <v>10.020477430566293</v>
      </c>
      <c r="K27" s="69"/>
    </row>
    <row r="28" spans="2:11" x14ac:dyDescent="0.35">
      <c r="B28" s="57" t="s">
        <v>155</v>
      </c>
      <c r="C28" s="75">
        <f t="shared" ref="C28:J28" si="6">C27*C7</f>
        <v>9578</v>
      </c>
      <c r="D28" s="75">
        <f t="shared" si="6"/>
        <v>2289.409775593002</v>
      </c>
      <c r="E28" s="75">
        <f t="shared" si="6"/>
        <v>481.82893803888425</v>
      </c>
      <c r="F28" s="75">
        <f t="shared" si="6"/>
        <v>388.802167489704</v>
      </c>
      <c r="G28" s="75">
        <f t="shared" si="6"/>
        <v>50.102387152831469</v>
      </c>
      <c r="H28" s="75">
        <f t="shared" si="6"/>
        <v>458.03228082673724</v>
      </c>
      <c r="I28" s="75">
        <f t="shared" si="6"/>
        <v>40.081909722265173</v>
      </c>
      <c r="J28" s="75">
        <f t="shared" si="6"/>
        <v>10.020477430566293</v>
      </c>
      <c r="K28" s="59">
        <f>SUM(C28:J28)</f>
        <v>13296.277936253991</v>
      </c>
    </row>
    <row r="29" spans="2:11" x14ac:dyDescent="0.35">
      <c r="B29" s="57" t="s">
        <v>156</v>
      </c>
      <c r="C29" s="75"/>
      <c r="D29" s="75">
        <f>D28</f>
        <v>2289.409775593002</v>
      </c>
      <c r="E29" s="75">
        <f t="shared" ref="E29:I29" si="7">E28</f>
        <v>481.82893803888425</v>
      </c>
      <c r="F29" s="75">
        <f t="shared" si="7"/>
        <v>388.802167489704</v>
      </c>
      <c r="G29" s="75">
        <f t="shared" si="7"/>
        <v>50.102387152831469</v>
      </c>
      <c r="H29" s="75">
        <f t="shared" si="7"/>
        <v>458.03228082673724</v>
      </c>
      <c r="I29" s="75">
        <f t="shared" si="7"/>
        <v>40.081909722265173</v>
      </c>
      <c r="J29" s="75"/>
      <c r="K29" s="59">
        <f>SUM(C29:J29)</f>
        <v>3708.2574588234243</v>
      </c>
    </row>
    <row r="30" spans="2:11" x14ac:dyDescent="0.35">
      <c r="B30" s="57"/>
      <c r="C30" s="71"/>
      <c r="D30" s="71"/>
      <c r="E30" s="71"/>
      <c r="F30" s="71"/>
      <c r="G30" s="71"/>
      <c r="H30" s="71"/>
      <c r="I30" s="71"/>
      <c r="J30" s="71"/>
      <c r="K30" s="69"/>
    </row>
    <row r="31" spans="2:11" ht="15" thickBot="1" x14ac:dyDescent="0.4">
      <c r="B31" s="60" t="s">
        <v>74</v>
      </c>
      <c r="C31" s="61">
        <v>53208.37000000001</v>
      </c>
      <c r="D31" s="61">
        <v>43674.1</v>
      </c>
      <c r="E31" s="61">
        <v>15565</v>
      </c>
      <c r="F31" s="61">
        <v>166</v>
      </c>
      <c r="G31" s="61"/>
      <c r="H31" s="61"/>
      <c r="I31" s="61"/>
      <c r="J31" s="61">
        <v>140000</v>
      </c>
      <c r="K31" s="62">
        <f>SUM(C31:J31)</f>
        <v>252613.47</v>
      </c>
    </row>
  </sheetData>
  <sheetProtection sheet="1" objects="1" scenarios="1"/>
  <pageMargins left="0.7" right="0.7" top="0.75" bottom="0.7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 tint="0.79998168889431442"/>
    <pageSetUpPr fitToPage="1"/>
  </sheetPr>
  <dimension ref="B1:T53"/>
  <sheetViews>
    <sheetView showGridLines="0" workbookViewId="0">
      <pane xSplit="3" ySplit="5" topLeftCell="D32" activePane="bottomRight" state="frozen"/>
      <selection pane="topRight" activeCell="D1" sqref="D1"/>
      <selection pane="bottomLeft" activeCell="A3" sqref="A3"/>
      <selection pane="bottomRight" activeCell="N41" sqref="N41"/>
    </sheetView>
  </sheetViews>
  <sheetFormatPr defaultColWidth="9" defaultRowHeight="14.5" x14ac:dyDescent="0.35"/>
  <cols>
    <col min="1" max="1" width="0" hidden="1" customWidth="1"/>
    <col min="2" max="2" width="11.26953125" customWidth="1"/>
    <col min="3" max="3" width="14.90625" customWidth="1"/>
    <col min="4" max="12" width="13.08984375" customWidth="1"/>
  </cols>
  <sheetData>
    <row r="1" spans="2:11" x14ac:dyDescent="0.35">
      <c r="B1" s="7" t="s">
        <v>266</v>
      </c>
    </row>
    <row r="2" spans="2:11" x14ac:dyDescent="0.35">
      <c r="B2" s="7" t="s">
        <v>265</v>
      </c>
    </row>
    <row r="3" spans="2:11" x14ac:dyDescent="0.35">
      <c r="B3" s="7" t="s">
        <v>267</v>
      </c>
    </row>
    <row r="4" spans="2:11" ht="15" thickBot="1" x14ac:dyDescent="0.4">
      <c r="B4" s="7" t="str">
        <f ca="1">MID(CELL("filename",A1),FIND("]",CELL("filename",A1))+1,255)</f>
        <v>Customer Revenues</v>
      </c>
    </row>
    <row r="5" spans="2:11" x14ac:dyDescent="0.35">
      <c r="B5" s="98"/>
      <c r="C5" s="99"/>
      <c r="D5" s="100" t="str">
        <f>'Customer Data'!C5</f>
        <v>R1 Residential</v>
      </c>
      <c r="E5" s="100" t="str">
        <f>'Customer Data'!D5</f>
        <v>R1 Commercial</v>
      </c>
      <c r="F5" s="100" t="str">
        <f>'Customer Data'!E5</f>
        <v>R1 Industrial</v>
      </c>
      <c r="G5" s="100" t="str">
        <f>'Customer Data'!F5</f>
        <v>R2 Seasonal</v>
      </c>
      <c r="H5" s="100" t="str">
        <f>'Customer Data'!G5</f>
        <v>R3</v>
      </c>
      <c r="I5" s="100" t="str">
        <f>'Customer Data'!H5</f>
        <v>R4</v>
      </c>
      <c r="J5" s="100" t="str">
        <f>'Customer Data'!I5</f>
        <v>R5</v>
      </c>
      <c r="K5" s="101" t="str">
        <f>'Customer Data'!J5</f>
        <v>R6</v>
      </c>
    </row>
    <row r="6" spans="2:11" x14ac:dyDescent="0.35">
      <c r="B6" s="57"/>
      <c r="C6" s="64" t="str">
        <f>'Customer Data'!B6</f>
        <v>Total Volumes</v>
      </c>
      <c r="D6" s="58">
        <f>'Customer Data'!C6</f>
        <v>19778415.739818431</v>
      </c>
      <c r="E6" s="58">
        <f>'Customer Data'!D6</f>
        <v>6193868.565493363</v>
      </c>
      <c r="F6" s="58">
        <f>'Customer Data'!E6</f>
        <v>2686372.7498129737</v>
      </c>
      <c r="G6" s="58">
        <f>'Customer Data'!F6</f>
        <v>832280.61714073038</v>
      </c>
      <c r="H6" s="58">
        <f>'Customer Data'!G6</f>
        <v>3918035.8020753572</v>
      </c>
      <c r="I6" s="58">
        <f>'Customer Data'!H6</f>
        <v>2334616.1025064504</v>
      </c>
      <c r="J6" s="58">
        <f>'Customer Data'!I6</f>
        <v>647585.61798835057</v>
      </c>
      <c r="K6" s="72">
        <f>'Customer Data'!J6</f>
        <v>65345852.20000001</v>
      </c>
    </row>
    <row r="7" spans="2:11" x14ac:dyDescent="0.35">
      <c r="B7" s="57"/>
      <c r="C7" s="64" t="str">
        <f>'Customer Data'!B7</f>
        <v>Customers</v>
      </c>
      <c r="D7" s="58">
        <f>'Customer Data'!C7</f>
        <v>9578</v>
      </c>
      <c r="E7" s="58">
        <f>'Customer Data'!D7</f>
        <v>590</v>
      </c>
      <c r="F7" s="58">
        <f>'Customer Data'!E7</f>
        <v>81</v>
      </c>
      <c r="G7" s="58">
        <f>'Customer Data'!F7</f>
        <v>50</v>
      </c>
      <c r="H7" s="58">
        <f>'Customer Data'!G7</f>
        <v>5</v>
      </c>
      <c r="I7" s="58">
        <f>'Customer Data'!H7</f>
        <v>46</v>
      </c>
      <c r="J7" s="58">
        <f>'Customer Data'!I7</f>
        <v>4</v>
      </c>
      <c r="K7" s="72">
        <f>'Customer Data'!J7</f>
        <v>1</v>
      </c>
    </row>
    <row r="8" spans="2:11" x14ac:dyDescent="0.35">
      <c r="B8" s="57"/>
      <c r="C8" s="64"/>
      <c r="D8" s="64"/>
      <c r="E8" s="64"/>
      <c r="F8" s="64"/>
      <c r="G8" s="64"/>
      <c r="H8" s="64"/>
      <c r="I8" s="64"/>
      <c r="J8" s="64"/>
      <c r="K8" s="69"/>
    </row>
    <row r="9" spans="2:11" x14ac:dyDescent="0.35">
      <c r="B9" s="57"/>
      <c r="C9" s="64"/>
      <c r="D9" s="64"/>
      <c r="E9" s="64"/>
      <c r="F9" s="64"/>
      <c r="G9" s="64"/>
      <c r="H9" s="64"/>
      <c r="I9" s="64"/>
      <c r="J9" s="64"/>
      <c r="K9" s="69"/>
    </row>
    <row r="10" spans="2:11" x14ac:dyDescent="0.35">
      <c r="B10" s="57"/>
      <c r="C10" s="64" t="s">
        <v>278</v>
      </c>
      <c r="D10" s="58">
        <v>19647130.538080137</v>
      </c>
      <c r="E10" s="58">
        <v>2898065.0934174759</v>
      </c>
      <c r="F10" s="58">
        <v>658241.55117804394</v>
      </c>
      <c r="G10" s="58">
        <v>55414.644288557916</v>
      </c>
      <c r="H10" s="58">
        <f>H6</f>
        <v>3918035.8020753572</v>
      </c>
      <c r="I10" s="58">
        <v>191609.08142759325</v>
      </c>
      <c r="J10" s="58">
        <f>J6</f>
        <v>647585.61798835057</v>
      </c>
      <c r="K10" s="72">
        <f>K6</f>
        <v>65345852.20000001</v>
      </c>
    </row>
    <row r="11" spans="2:11" x14ac:dyDescent="0.35">
      <c r="B11" s="57"/>
      <c r="C11" s="64"/>
      <c r="D11" s="58"/>
      <c r="E11" s="58"/>
      <c r="F11" s="58"/>
      <c r="G11" s="58">
        <v>43004.557265324162</v>
      </c>
      <c r="H11" s="58"/>
      <c r="I11" s="58">
        <v>36580.045308848268</v>
      </c>
      <c r="J11" s="58"/>
      <c r="K11" s="72"/>
    </row>
    <row r="12" spans="2:11" x14ac:dyDescent="0.35">
      <c r="B12" s="57" t="s">
        <v>114</v>
      </c>
      <c r="C12" s="64" t="s">
        <v>279</v>
      </c>
      <c r="D12" s="58">
        <v>131285.20173830312</v>
      </c>
      <c r="E12" s="58">
        <v>3295803.472075888</v>
      </c>
      <c r="F12" s="58">
        <v>2028131.19863493</v>
      </c>
      <c r="G12" s="58">
        <v>462869.76963998214</v>
      </c>
      <c r="H12" s="58"/>
      <c r="I12" s="58">
        <v>2099021.3749563894</v>
      </c>
      <c r="J12" s="58"/>
      <c r="K12" s="72"/>
    </row>
    <row r="13" spans="2:11" x14ac:dyDescent="0.35">
      <c r="B13" s="57"/>
      <c r="C13" s="64"/>
      <c r="D13" s="58"/>
      <c r="E13" s="58"/>
      <c r="F13" s="58"/>
      <c r="G13" s="58">
        <v>171245.63888387938</v>
      </c>
      <c r="H13" s="58"/>
      <c r="I13" s="58">
        <v>7405.6008136194541</v>
      </c>
      <c r="J13" s="58"/>
      <c r="K13" s="72"/>
    </row>
    <row r="14" spans="2:11" x14ac:dyDescent="0.35">
      <c r="B14" s="57"/>
      <c r="C14" s="64" t="s">
        <v>280</v>
      </c>
      <c r="D14" s="58"/>
      <c r="E14" s="58"/>
      <c r="F14" s="58"/>
      <c r="G14" s="58">
        <v>88427.061765241451</v>
      </c>
      <c r="H14" s="58"/>
      <c r="I14" s="64"/>
      <c r="J14" s="58"/>
      <c r="K14" s="72"/>
    </row>
    <row r="15" spans="2:11" x14ac:dyDescent="0.35">
      <c r="B15" s="57"/>
      <c r="C15" s="64"/>
      <c r="D15" s="58"/>
      <c r="E15" s="58"/>
      <c r="F15" s="58"/>
      <c r="G15" s="58">
        <v>11318.945297745284</v>
      </c>
      <c r="H15" s="58"/>
      <c r="I15" s="58"/>
      <c r="J15" s="58"/>
      <c r="K15" s="72"/>
    </row>
    <row r="16" spans="2:11" x14ac:dyDescent="0.35">
      <c r="B16" s="57" t="s">
        <v>118</v>
      </c>
      <c r="C16" s="64"/>
      <c r="D16" s="58"/>
      <c r="E16" s="58"/>
      <c r="F16" s="58"/>
      <c r="G16" s="58"/>
      <c r="H16" s="58">
        <v>581467</v>
      </c>
      <c r="I16" s="58"/>
      <c r="J16" s="58"/>
      <c r="K16" s="72"/>
    </row>
    <row r="17" spans="2:20" ht="15" thickBot="1" x14ac:dyDescent="0.4">
      <c r="B17" s="60"/>
      <c r="C17" s="76"/>
      <c r="D17" s="61"/>
      <c r="E17" s="61"/>
      <c r="F17" s="61"/>
      <c r="G17" s="61"/>
      <c r="H17" s="76"/>
      <c r="I17" s="61"/>
      <c r="J17" s="61"/>
      <c r="K17" s="77"/>
    </row>
    <row r="18" spans="2:20" ht="15" thickBot="1" x14ac:dyDescent="0.4">
      <c r="D18" s="78"/>
      <c r="E18" s="78"/>
      <c r="F18" s="78"/>
      <c r="G18" s="78"/>
      <c r="H18" s="78"/>
      <c r="I18" s="78"/>
      <c r="J18" s="78"/>
      <c r="K18" s="78"/>
    </row>
    <row r="19" spans="2:20" x14ac:dyDescent="0.35">
      <c r="B19" s="66"/>
      <c r="C19" s="67"/>
      <c r="D19" s="67"/>
      <c r="E19" s="67"/>
      <c r="F19" s="67"/>
      <c r="G19" s="67"/>
      <c r="H19" s="67"/>
      <c r="I19" s="67"/>
      <c r="J19" s="67"/>
      <c r="K19" s="68"/>
    </row>
    <row r="20" spans="2:20" x14ac:dyDescent="0.35">
      <c r="B20" s="57"/>
      <c r="C20" s="64"/>
      <c r="D20" s="64"/>
      <c r="E20" s="64"/>
      <c r="F20" s="64"/>
      <c r="G20" s="64"/>
      <c r="H20" s="64"/>
      <c r="I20" s="64"/>
      <c r="J20" s="64"/>
      <c r="K20" s="69"/>
    </row>
    <row r="21" spans="2:20" x14ac:dyDescent="0.35">
      <c r="B21" s="57"/>
      <c r="C21" s="64" t="s">
        <v>104</v>
      </c>
      <c r="D21" s="70">
        <f>21.5-1</f>
        <v>20.5</v>
      </c>
      <c r="E21" s="70">
        <f>21.5-1</f>
        <v>20.5</v>
      </c>
      <c r="F21" s="70">
        <f>21.5-1</f>
        <v>20.5</v>
      </c>
      <c r="G21" s="70">
        <f>23.59-1</f>
        <v>22.59</v>
      </c>
      <c r="H21" s="70">
        <f>226.94-1</f>
        <v>225.94</v>
      </c>
      <c r="I21" s="70">
        <f>23.59-1</f>
        <v>22.59</v>
      </c>
      <c r="J21" s="70">
        <f>215.64-1</f>
        <v>214.64</v>
      </c>
      <c r="K21" s="79">
        <f>69171.53-1</f>
        <v>69170.53</v>
      </c>
    </row>
    <row r="22" spans="2:20" x14ac:dyDescent="0.35">
      <c r="B22" s="57"/>
      <c r="C22" s="64" t="str">
        <f>C10</f>
        <v>Tier 1</v>
      </c>
      <c r="D22" s="339">
        <v>0.145341</v>
      </c>
      <c r="E22" s="339">
        <f>F22</f>
        <v>0.145341</v>
      </c>
      <c r="F22" s="339">
        <f>D22</f>
        <v>0.145341</v>
      </c>
      <c r="G22" s="339">
        <v>0.187366</v>
      </c>
      <c r="H22" s="339">
        <v>4.0682000000000003E-2</v>
      </c>
      <c r="I22" s="339">
        <v>0.20632200000000001</v>
      </c>
      <c r="J22" s="339">
        <v>8.6110999999999993E-2</v>
      </c>
      <c r="K22" s="340"/>
      <c r="M22" s="81"/>
      <c r="N22" s="81"/>
      <c r="O22" s="81"/>
      <c r="P22" s="81"/>
      <c r="Q22" s="81"/>
      <c r="R22" s="81"/>
      <c r="S22" s="81"/>
      <c r="T22" s="81"/>
    </row>
    <row r="23" spans="2:20" x14ac:dyDescent="0.35">
      <c r="B23" s="57"/>
      <c r="C23" s="64"/>
      <c r="D23" s="339"/>
      <c r="E23" s="339"/>
      <c r="F23" s="339"/>
      <c r="G23" s="339">
        <v>0.23617099999999999</v>
      </c>
      <c r="H23" s="339"/>
      <c r="I23" s="339">
        <v>0.26320900000000003</v>
      </c>
      <c r="J23" s="339"/>
      <c r="K23" s="340"/>
      <c r="M23" s="81"/>
      <c r="N23" s="81"/>
      <c r="O23" s="81"/>
      <c r="P23" s="81"/>
      <c r="Q23" s="81"/>
      <c r="R23" s="81"/>
      <c r="S23" s="81"/>
      <c r="T23" s="81"/>
    </row>
    <row r="24" spans="2:20" x14ac:dyDescent="0.35">
      <c r="B24" s="57" t="s">
        <v>115</v>
      </c>
      <c r="C24" s="64" t="str">
        <f>C12</f>
        <v>Tier 2</v>
      </c>
      <c r="D24" s="339">
        <v>0.116811</v>
      </c>
      <c r="E24" s="339">
        <f>F24</f>
        <v>0.116811</v>
      </c>
      <c r="F24" s="339">
        <f>D24</f>
        <v>0.116811</v>
      </c>
      <c r="G24" s="339">
        <v>9.6948999999999994E-2</v>
      </c>
      <c r="H24" s="339"/>
      <c r="I24" s="339">
        <v>0.12659100000000001</v>
      </c>
      <c r="J24" s="339"/>
      <c r="K24" s="340"/>
      <c r="M24" s="81"/>
      <c r="N24" s="81"/>
      <c r="O24" s="81"/>
      <c r="P24" s="81"/>
      <c r="Q24" s="81"/>
      <c r="R24" s="81"/>
      <c r="S24" s="81"/>
      <c r="T24" s="81"/>
    </row>
    <row r="25" spans="2:20" x14ac:dyDescent="0.35">
      <c r="B25" s="57"/>
      <c r="C25" s="64"/>
      <c r="D25" s="339"/>
      <c r="E25" s="339"/>
      <c r="F25" s="339"/>
      <c r="G25" s="339">
        <v>0.160473</v>
      </c>
      <c r="H25" s="339"/>
      <c r="I25" s="339">
        <v>0.20339199999999999</v>
      </c>
      <c r="J25" s="339"/>
      <c r="K25" s="340"/>
      <c r="M25" s="81"/>
      <c r="N25" s="81"/>
      <c r="O25" s="81"/>
      <c r="P25" s="81"/>
      <c r="Q25" s="81"/>
      <c r="R25" s="81"/>
      <c r="S25" s="81"/>
      <c r="T25" s="81"/>
    </row>
    <row r="26" spans="2:20" x14ac:dyDescent="0.35">
      <c r="B26" s="57"/>
      <c r="C26" s="64" t="str">
        <f>C14</f>
        <v>Tier 3</v>
      </c>
      <c r="D26" s="339"/>
      <c r="E26" s="339"/>
      <c r="F26" s="339"/>
      <c r="G26" s="339">
        <v>7.6671000000000003E-2</v>
      </c>
      <c r="H26" s="339"/>
      <c r="I26" s="339"/>
      <c r="J26" s="339"/>
      <c r="K26" s="340"/>
      <c r="M26" s="81"/>
      <c r="N26" s="81"/>
      <c r="O26" s="81"/>
      <c r="P26" s="81"/>
      <c r="Q26" s="81"/>
      <c r="R26" s="81"/>
      <c r="S26" s="81"/>
      <c r="T26" s="81"/>
    </row>
    <row r="27" spans="2:20" x14ac:dyDescent="0.35">
      <c r="B27" s="57"/>
      <c r="C27" s="64"/>
      <c r="D27" s="339"/>
      <c r="E27" s="339"/>
      <c r="F27" s="339"/>
      <c r="G27" s="339">
        <v>0.17272999999999999</v>
      </c>
      <c r="H27" s="339"/>
      <c r="I27" s="339"/>
      <c r="J27" s="339"/>
      <c r="K27" s="340"/>
      <c r="M27" s="81"/>
      <c r="N27" s="81"/>
      <c r="O27" s="81"/>
      <c r="P27" s="81"/>
      <c r="Q27" s="81"/>
      <c r="R27" s="81"/>
      <c r="S27" s="81"/>
      <c r="T27" s="81"/>
    </row>
    <row r="28" spans="2:20" x14ac:dyDescent="0.35">
      <c r="B28" s="57"/>
      <c r="C28" s="64" t="s">
        <v>119</v>
      </c>
      <c r="D28" s="339"/>
      <c r="E28" s="339"/>
      <c r="F28" s="339"/>
      <c r="G28" s="339"/>
      <c r="H28" s="339">
        <v>0.32871400000000001</v>
      </c>
      <c r="I28" s="339"/>
      <c r="J28" s="339"/>
      <c r="K28" s="340"/>
    </row>
    <row r="29" spans="2:20" ht="15" thickBot="1" x14ac:dyDescent="0.4">
      <c r="B29" s="60"/>
      <c r="C29" s="76"/>
      <c r="D29" s="82"/>
      <c r="E29" s="82"/>
      <c r="F29" s="82"/>
      <c r="G29" s="82"/>
      <c r="H29" s="82"/>
      <c r="I29" s="82"/>
      <c r="J29" s="82"/>
      <c r="K29" s="83"/>
    </row>
    <row r="30" spans="2:20" ht="15" thickBot="1" x14ac:dyDescent="0.4">
      <c r="D30" s="81"/>
      <c r="E30" s="81"/>
      <c r="F30" s="81"/>
      <c r="G30" s="81"/>
      <c r="H30" s="81"/>
      <c r="I30" s="81"/>
      <c r="J30" s="81"/>
      <c r="K30" s="81"/>
    </row>
    <row r="31" spans="2:20" x14ac:dyDescent="0.35">
      <c r="B31" s="66"/>
      <c r="C31" s="67" t="s">
        <v>104</v>
      </c>
      <c r="D31" s="84">
        <f t="shared" ref="D31:K31" si="0">D7*D21*12</f>
        <v>2356188</v>
      </c>
      <c r="E31" s="84">
        <f t="shared" si="0"/>
        <v>145140</v>
      </c>
      <c r="F31" s="84">
        <f t="shared" si="0"/>
        <v>19926</v>
      </c>
      <c r="G31" s="84">
        <f t="shared" si="0"/>
        <v>13554</v>
      </c>
      <c r="H31" s="84">
        <f t="shared" si="0"/>
        <v>13556.400000000001</v>
      </c>
      <c r="I31" s="84">
        <f t="shared" si="0"/>
        <v>12469.68</v>
      </c>
      <c r="J31" s="84">
        <f t="shared" si="0"/>
        <v>10302.719999999999</v>
      </c>
      <c r="K31" s="84">
        <f t="shared" si="0"/>
        <v>830046.36</v>
      </c>
      <c r="L31" s="85">
        <f>SUM(D31:K31)</f>
        <v>3401183.16</v>
      </c>
    </row>
    <row r="32" spans="2:20" x14ac:dyDescent="0.35">
      <c r="B32" s="57" t="s">
        <v>116</v>
      </c>
      <c r="C32" s="64" t="s">
        <v>101</v>
      </c>
      <c r="D32" s="58">
        <f>D10*D22+D11*D23</f>
        <v>2855533.5995351053</v>
      </c>
      <c r="E32" s="58">
        <f>E10*E22+E11*E23</f>
        <v>421207.67874238937</v>
      </c>
      <c r="F32" s="58">
        <f>F10*F22+F11*F23</f>
        <v>95669.485289768083</v>
      </c>
      <c r="G32" s="58">
        <f>G10*G22+G11*G23</f>
        <v>20539.249535678813</v>
      </c>
      <c r="H32" s="58">
        <f>H10*H22</f>
        <v>159393.53250002969</v>
      </c>
      <c r="I32" s="58">
        <f>I10*I22+I11*I23</f>
        <v>49161.366044000541</v>
      </c>
      <c r="J32" s="58">
        <f>J10*J22</f>
        <v>55764.245150594848</v>
      </c>
      <c r="K32" s="58">
        <f>K10*K22+K11*K23</f>
        <v>0</v>
      </c>
      <c r="L32" s="59">
        <f>SUM(D32:K32)</f>
        <v>3657269.1567975665</v>
      </c>
    </row>
    <row r="33" spans="2:12" x14ac:dyDescent="0.35">
      <c r="B33" s="57"/>
      <c r="C33" s="64" t="s">
        <v>102</v>
      </c>
      <c r="D33" s="58">
        <f t="shared" ref="D33:K33" si="1">D12*D24+D13*D25</f>
        <v>15335.555700252926</v>
      </c>
      <c r="E33" s="58">
        <f t="shared" si="1"/>
        <v>384986.09937665652</v>
      </c>
      <c r="F33" s="58">
        <f t="shared" si="1"/>
        <v>236908.03344374479</v>
      </c>
      <c r="G33" s="58">
        <f t="shared" si="1"/>
        <v>72355.062705439399</v>
      </c>
      <c r="H33" s="58">
        <f t="shared" si="1"/>
        <v>0</v>
      </c>
      <c r="I33" s="58">
        <f t="shared" si="1"/>
        <v>267223.45483778801</v>
      </c>
      <c r="J33" s="58">
        <f t="shared" si="1"/>
        <v>0</v>
      </c>
      <c r="K33" s="58">
        <f t="shared" si="1"/>
        <v>0</v>
      </c>
      <c r="L33" s="59">
        <f>SUM(D33:K33)</f>
        <v>976808.20606388163</v>
      </c>
    </row>
    <row r="34" spans="2:12" x14ac:dyDescent="0.35">
      <c r="B34" s="57"/>
      <c r="C34" s="64" t="s">
        <v>103</v>
      </c>
      <c r="D34" s="58">
        <f t="shared" ref="D34:K34" si="2">D14*D26+D15*D27</f>
        <v>0</v>
      </c>
      <c r="E34" s="58">
        <f t="shared" si="2"/>
        <v>0</v>
      </c>
      <c r="F34" s="58">
        <f t="shared" si="2"/>
        <v>0</v>
      </c>
      <c r="G34" s="58">
        <f t="shared" si="2"/>
        <v>8734.9126738823707</v>
      </c>
      <c r="H34" s="58">
        <f t="shared" si="2"/>
        <v>0</v>
      </c>
      <c r="I34" s="58">
        <f t="shared" si="2"/>
        <v>0</v>
      </c>
      <c r="J34" s="58">
        <f t="shared" si="2"/>
        <v>0</v>
      </c>
      <c r="K34" s="58">
        <f t="shared" si="2"/>
        <v>0</v>
      </c>
      <c r="L34" s="59">
        <f>SUM(D34:K34)</f>
        <v>8734.9126738823707</v>
      </c>
    </row>
    <row r="35" spans="2:12" x14ac:dyDescent="0.35">
      <c r="B35" s="57"/>
      <c r="C35" s="64" t="s">
        <v>118</v>
      </c>
      <c r="D35" s="58"/>
      <c r="E35" s="58"/>
      <c r="F35" s="58"/>
      <c r="G35" s="58"/>
      <c r="H35" s="58">
        <f>H16*H28</f>
        <v>191136.34343800001</v>
      </c>
      <c r="I35" s="58"/>
      <c r="J35" s="64"/>
      <c r="K35" s="58"/>
      <c r="L35" s="59">
        <f t="shared" ref="L35" si="3">SUM(D35:K35)</f>
        <v>191136.34343800001</v>
      </c>
    </row>
    <row r="36" spans="2:12" x14ac:dyDescent="0.35">
      <c r="B36" s="57"/>
      <c r="C36" s="64"/>
      <c r="D36" s="58"/>
      <c r="E36" s="58"/>
      <c r="F36" s="58"/>
      <c r="G36" s="58"/>
      <c r="H36" s="64"/>
      <c r="I36" s="58"/>
      <c r="J36" s="58"/>
      <c r="K36" s="58"/>
      <c r="L36" s="59"/>
    </row>
    <row r="37" spans="2:12" x14ac:dyDescent="0.35">
      <c r="B37" s="57"/>
      <c r="C37" s="86" t="s">
        <v>20</v>
      </c>
      <c r="D37" s="87">
        <f t="shared" ref="D37:G37" si="4">SUM(D31:D36)</f>
        <v>5227057.1552353585</v>
      </c>
      <c r="E37" s="87">
        <f t="shared" si="4"/>
        <v>951333.77811904601</v>
      </c>
      <c r="F37" s="87">
        <f t="shared" si="4"/>
        <v>352503.51873351284</v>
      </c>
      <c r="G37" s="87">
        <f t="shared" si="4"/>
        <v>115183.22491500058</v>
      </c>
      <c r="H37" s="87">
        <f>SUM(H31:H35)</f>
        <v>364086.27593802969</v>
      </c>
      <c r="I37" s="87">
        <f t="shared" ref="I37:K37" si="5">SUM(I31:I36)</f>
        <v>328854.50088178855</v>
      </c>
      <c r="J37" s="87">
        <f t="shared" si="5"/>
        <v>66066.965150594842</v>
      </c>
      <c r="K37" s="87">
        <f t="shared" si="5"/>
        <v>830046.36</v>
      </c>
      <c r="L37" s="88">
        <f>SUM(L31:L36)</f>
        <v>8235131.7789733307</v>
      </c>
    </row>
    <row r="38" spans="2:12" x14ac:dyDescent="0.35">
      <c r="B38" s="57"/>
      <c r="C38" s="64"/>
      <c r="D38" s="80"/>
      <c r="E38" s="64"/>
      <c r="F38" s="64"/>
      <c r="G38" s="64"/>
      <c r="H38" s="64"/>
      <c r="I38" s="64"/>
      <c r="J38" s="64"/>
      <c r="K38" s="64"/>
      <c r="L38" s="69"/>
    </row>
    <row r="39" spans="2:12" x14ac:dyDescent="0.35">
      <c r="B39" s="57"/>
      <c r="C39" s="64"/>
      <c r="D39" s="64">
        <v>2.3723999999999999E-2</v>
      </c>
      <c r="E39" s="64">
        <f>D39</f>
        <v>2.3723999999999999E-2</v>
      </c>
      <c r="F39" s="64">
        <f t="shared" ref="F39:K39" si="6">E39</f>
        <v>2.3723999999999999E-2</v>
      </c>
      <c r="G39" s="64">
        <f t="shared" si="6"/>
        <v>2.3723999999999999E-2</v>
      </c>
      <c r="H39" s="64">
        <f t="shared" si="6"/>
        <v>2.3723999999999999E-2</v>
      </c>
      <c r="I39" s="64">
        <f t="shared" si="6"/>
        <v>2.3723999999999999E-2</v>
      </c>
      <c r="J39" s="64">
        <f t="shared" si="6"/>
        <v>2.3723999999999999E-2</v>
      </c>
      <c r="K39" s="64">
        <f t="shared" si="6"/>
        <v>2.3723999999999999E-2</v>
      </c>
      <c r="L39" s="69"/>
    </row>
    <row r="40" spans="2:12" x14ac:dyDescent="0.35">
      <c r="B40" s="57"/>
      <c r="C40" s="64" t="s">
        <v>120</v>
      </c>
      <c r="D40" s="75">
        <f t="shared" ref="D40:J40" si="7">D39*D6</f>
        <v>469223.13501145242</v>
      </c>
      <c r="E40" s="75">
        <f t="shared" si="7"/>
        <v>146943.33784776455</v>
      </c>
      <c r="F40" s="75">
        <f t="shared" si="7"/>
        <v>63731.507116562985</v>
      </c>
      <c r="G40" s="75">
        <f t="shared" si="7"/>
        <v>19745.025361046686</v>
      </c>
      <c r="H40" s="75">
        <f t="shared" si="7"/>
        <v>92951.481368435765</v>
      </c>
      <c r="I40" s="75">
        <f t="shared" si="7"/>
        <v>55386.432415863026</v>
      </c>
      <c r="J40" s="75">
        <f t="shared" si="7"/>
        <v>15363.321201155628</v>
      </c>
      <c r="K40" s="75"/>
      <c r="L40" s="59">
        <f>SUM(D40:K40)</f>
        <v>863344.24032228114</v>
      </c>
    </row>
    <row r="41" spans="2:12" x14ac:dyDescent="0.35">
      <c r="B41" s="57"/>
      <c r="C41" s="64"/>
      <c r="D41" s="64"/>
      <c r="E41" s="64"/>
      <c r="F41" s="64"/>
      <c r="G41" s="64"/>
      <c r="H41" s="64"/>
      <c r="I41" s="64"/>
      <c r="J41" s="64"/>
      <c r="K41" s="64"/>
      <c r="L41" s="69"/>
    </row>
    <row r="42" spans="2:12" ht="15" thickBot="1" x14ac:dyDescent="0.4">
      <c r="B42" s="60"/>
      <c r="C42" s="89" t="s">
        <v>121</v>
      </c>
      <c r="D42" s="90">
        <f>D37-D40</f>
        <v>4757834.0202239063</v>
      </c>
      <c r="E42" s="90">
        <f>E37-E40</f>
        <v>804390.4402712814</v>
      </c>
      <c r="F42" s="90">
        <f t="shared" ref="F42:K42" si="8">F37-F40</f>
        <v>288772.01161694987</v>
      </c>
      <c r="G42" s="90">
        <f t="shared" si="8"/>
        <v>95438.199553953891</v>
      </c>
      <c r="H42" s="90">
        <f t="shared" si="8"/>
        <v>271134.79456959391</v>
      </c>
      <c r="I42" s="90">
        <f t="shared" si="8"/>
        <v>273468.06846592552</v>
      </c>
      <c r="J42" s="90">
        <f t="shared" si="8"/>
        <v>50703.643949439211</v>
      </c>
      <c r="K42" s="90">
        <f t="shared" si="8"/>
        <v>830046.36</v>
      </c>
      <c r="L42" s="91">
        <f>SUM(D42:K42)</f>
        <v>7371787.5386510501</v>
      </c>
    </row>
    <row r="43" spans="2:12" ht="15" thickBot="1" x14ac:dyDescent="0.4"/>
    <row r="44" spans="2:12" x14ac:dyDescent="0.35">
      <c r="B44" s="66"/>
      <c r="C44" s="67" t="s">
        <v>144</v>
      </c>
      <c r="D44" s="92">
        <f t="shared" ref="D44:L44" si="9">D31</f>
        <v>2356188</v>
      </c>
      <c r="E44" s="92">
        <f t="shared" si="9"/>
        <v>145140</v>
      </c>
      <c r="F44" s="92">
        <f t="shared" si="9"/>
        <v>19926</v>
      </c>
      <c r="G44" s="92">
        <f t="shared" si="9"/>
        <v>13554</v>
      </c>
      <c r="H44" s="92">
        <f t="shared" si="9"/>
        <v>13556.400000000001</v>
      </c>
      <c r="I44" s="92">
        <f t="shared" si="9"/>
        <v>12469.68</v>
      </c>
      <c r="J44" s="92">
        <f t="shared" si="9"/>
        <v>10302.719999999999</v>
      </c>
      <c r="K44" s="92">
        <f t="shared" si="9"/>
        <v>830046.36</v>
      </c>
      <c r="L44" s="85">
        <f t="shared" si="9"/>
        <v>3401183.16</v>
      </c>
    </row>
    <row r="45" spans="2:12" x14ac:dyDescent="0.35">
      <c r="B45" s="57"/>
      <c r="C45" s="64" t="s">
        <v>146</v>
      </c>
      <c r="D45" s="75">
        <f t="shared" ref="D45:L45" si="10">SUM(D32:D35)</f>
        <v>2870869.155235358</v>
      </c>
      <c r="E45" s="75">
        <f t="shared" si="10"/>
        <v>806193.77811904589</v>
      </c>
      <c r="F45" s="75">
        <f t="shared" si="10"/>
        <v>332577.51873351284</v>
      </c>
      <c r="G45" s="75">
        <f t="shared" si="10"/>
        <v>101629.22491500058</v>
      </c>
      <c r="H45" s="75">
        <f t="shared" si="10"/>
        <v>350529.87593802973</v>
      </c>
      <c r="I45" s="75">
        <f t="shared" si="10"/>
        <v>316384.82088178856</v>
      </c>
      <c r="J45" s="75">
        <f t="shared" si="10"/>
        <v>55764.245150594848</v>
      </c>
      <c r="K45" s="75">
        <f t="shared" si="10"/>
        <v>0</v>
      </c>
      <c r="L45" s="59">
        <f t="shared" si="10"/>
        <v>4833948.6189733306</v>
      </c>
    </row>
    <row r="46" spans="2:12" x14ac:dyDescent="0.35">
      <c r="B46" s="57"/>
      <c r="C46" s="64" t="s">
        <v>145</v>
      </c>
      <c r="D46" s="75">
        <f>D44+D45</f>
        <v>5227057.1552353576</v>
      </c>
      <c r="E46" s="75">
        <f t="shared" ref="E46:K46" si="11">E44+E45</f>
        <v>951333.77811904589</v>
      </c>
      <c r="F46" s="75">
        <f t="shared" si="11"/>
        <v>352503.51873351284</v>
      </c>
      <c r="G46" s="75">
        <f t="shared" si="11"/>
        <v>115183.22491500058</v>
      </c>
      <c r="H46" s="75">
        <f t="shared" si="11"/>
        <v>364086.27593802975</v>
      </c>
      <c r="I46" s="75">
        <f t="shared" si="11"/>
        <v>328854.50088178855</v>
      </c>
      <c r="J46" s="75">
        <f t="shared" si="11"/>
        <v>66066.965150594842</v>
      </c>
      <c r="K46" s="75">
        <f t="shared" si="11"/>
        <v>830046.36</v>
      </c>
      <c r="L46" s="59">
        <f>L44+L45</f>
        <v>8235131.7789733307</v>
      </c>
    </row>
    <row r="47" spans="2:12" x14ac:dyDescent="0.35">
      <c r="B47" s="57"/>
      <c r="C47" s="64" t="s">
        <v>147</v>
      </c>
      <c r="D47" s="93">
        <f>D44/D46</f>
        <v>0.45076759829191276</v>
      </c>
      <c r="E47" s="93">
        <f t="shared" ref="E47:L47" si="12">E44/E46</f>
        <v>0.15256474997341868</v>
      </c>
      <c r="F47" s="93">
        <f t="shared" si="12"/>
        <v>5.6527095308412351E-2</v>
      </c>
      <c r="G47" s="93">
        <f t="shared" si="12"/>
        <v>0.11767338525208136</v>
      </c>
      <c r="H47" s="93">
        <f t="shared" si="12"/>
        <v>3.7234031865313717E-2</v>
      </c>
      <c r="I47" s="93">
        <f t="shared" si="12"/>
        <v>3.7918532258381356E-2</v>
      </c>
      <c r="J47" s="93">
        <f t="shared" si="12"/>
        <v>0.15594359414747896</v>
      </c>
      <c r="K47" s="93">
        <f t="shared" si="12"/>
        <v>1</v>
      </c>
      <c r="L47" s="94">
        <f t="shared" si="12"/>
        <v>0.41300895374670299</v>
      </c>
    </row>
    <row r="48" spans="2:12" ht="15" thickBot="1" x14ac:dyDescent="0.4">
      <c r="B48" s="60"/>
      <c r="C48" s="76" t="s">
        <v>148</v>
      </c>
      <c r="D48" s="95">
        <f>D45/D46</f>
        <v>0.54923240170808729</v>
      </c>
      <c r="E48" s="95">
        <f t="shared" ref="E48:L48" si="13">E45/E46</f>
        <v>0.84743525002658127</v>
      </c>
      <c r="F48" s="95">
        <f t="shared" si="13"/>
        <v>0.94347290469158762</v>
      </c>
      <c r="G48" s="95">
        <f t="shared" si="13"/>
        <v>0.88232661474791862</v>
      </c>
      <c r="H48" s="95">
        <f t="shared" si="13"/>
        <v>0.96276596813468618</v>
      </c>
      <c r="I48" s="95">
        <f t="shared" si="13"/>
        <v>0.96208146774161862</v>
      </c>
      <c r="J48" s="95">
        <f t="shared" si="13"/>
        <v>0.84405640585252106</v>
      </c>
      <c r="K48" s="95">
        <f t="shared" si="13"/>
        <v>0</v>
      </c>
      <c r="L48" s="96">
        <f t="shared" si="13"/>
        <v>0.58699104625329701</v>
      </c>
    </row>
    <row r="50" spans="4:11" hidden="1" x14ac:dyDescent="0.35">
      <c r="D50" s="97">
        <f>D39*-D10</f>
        <v>-466108.52488541312</v>
      </c>
      <c r="E50" s="97">
        <f t="shared" ref="E50:J50" si="14">E39*-E10</f>
        <v>-68753.696276236195</v>
      </c>
      <c r="F50" s="97">
        <f t="shared" si="14"/>
        <v>-15616.122560147913</v>
      </c>
      <c r="G50" s="97">
        <f t="shared" si="14"/>
        <v>-1314.6570211017479</v>
      </c>
      <c r="H50" s="97">
        <f t="shared" si="14"/>
        <v>-92951.481368435765</v>
      </c>
      <c r="I50" s="97">
        <f t="shared" si="14"/>
        <v>-4545.7338477882222</v>
      </c>
      <c r="J50" s="97">
        <f t="shared" si="14"/>
        <v>-15363.321201155628</v>
      </c>
      <c r="K50" s="97"/>
    </row>
    <row r="51" spans="4:11" hidden="1" x14ac:dyDescent="0.35">
      <c r="D51" s="97">
        <f>D32+D50</f>
        <v>2389425.074649692</v>
      </c>
      <c r="E51" s="97">
        <f t="shared" ref="E51:J51" si="15">E32+E50</f>
        <v>352453.98246615316</v>
      </c>
      <c r="F51" s="97">
        <f t="shared" si="15"/>
        <v>80053.362729620174</v>
      </c>
      <c r="G51" s="97">
        <f t="shared" si="15"/>
        <v>19224.592514577067</v>
      </c>
      <c r="H51" s="97">
        <f t="shared" si="15"/>
        <v>66442.051131593922</v>
      </c>
      <c r="I51" s="97">
        <f t="shared" si="15"/>
        <v>44615.632196212318</v>
      </c>
      <c r="J51" s="97">
        <f t="shared" si="15"/>
        <v>40400.923949439224</v>
      </c>
    </row>
    <row r="52" spans="4:11" hidden="1" x14ac:dyDescent="0.35">
      <c r="D52" s="81">
        <f>D22-D39</f>
        <v>0.121617</v>
      </c>
      <c r="E52" s="81">
        <f t="shared" ref="E52:J52" si="16">E22-E39</f>
        <v>0.121617</v>
      </c>
      <c r="F52" s="81">
        <f t="shared" si="16"/>
        <v>0.121617</v>
      </c>
      <c r="G52" s="81">
        <f t="shared" si="16"/>
        <v>0.16364200000000001</v>
      </c>
      <c r="H52" s="81">
        <f t="shared" si="16"/>
        <v>1.6958000000000004E-2</v>
      </c>
      <c r="I52" s="81">
        <f t="shared" si="16"/>
        <v>0.18259800000000001</v>
      </c>
      <c r="J52" s="81">
        <f t="shared" si="16"/>
        <v>6.2386999999999998E-2</v>
      </c>
    </row>
    <row r="53" spans="4:11" hidden="1" x14ac:dyDescent="0.35"/>
  </sheetData>
  <sheetProtection sheet="1" objects="1" scenarios="1"/>
  <pageMargins left="0.7" right="0.7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7" tint="0.79998168889431442"/>
    <pageSetUpPr fitToPage="1"/>
  </sheetPr>
  <dimension ref="B1:V83"/>
  <sheetViews>
    <sheetView showGridLines="0" zoomScale="80" zoomScaleNormal="80" workbookViewId="0">
      <pane xSplit="5" ySplit="8" topLeftCell="F24" activePane="bottomRight" state="frozen"/>
      <selection pane="topRight" activeCell="F1" sqref="F1"/>
      <selection pane="bottomLeft" activeCell="A6" sqref="A6"/>
      <selection pane="bottomRight" activeCell="I41" sqref="H40:I41"/>
    </sheetView>
  </sheetViews>
  <sheetFormatPr defaultColWidth="8.7265625" defaultRowHeight="14" x14ac:dyDescent="0.3"/>
  <cols>
    <col min="1" max="1" width="0" style="8" hidden="1" customWidth="1"/>
    <col min="2" max="2" width="2" style="8" customWidth="1"/>
    <col min="3" max="3" width="4.7265625" style="8" customWidth="1"/>
    <col min="4" max="4" width="37.08984375" style="8" customWidth="1"/>
    <col min="5" max="5" width="13.90625" style="8" bestFit="1" customWidth="1"/>
    <col min="6" max="6" width="10" style="8" customWidth="1"/>
    <col min="7" max="7" width="15.453125" style="8" customWidth="1"/>
    <col min="8" max="9" width="12.90625" style="8" customWidth="1"/>
    <col min="10" max="10" width="11.7265625" style="8" customWidth="1"/>
    <col min="11" max="11" width="11" style="8" bestFit="1" customWidth="1"/>
    <col min="12" max="12" width="17.26953125" style="8" bestFit="1" customWidth="1"/>
    <col min="13" max="13" width="12" style="8" customWidth="1"/>
    <col min="14" max="14" width="18.90625" style="8" bestFit="1" customWidth="1"/>
    <col min="15" max="15" width="12.26953125" style="8" customWidth="1"/>
    <col min="16" max="16" width="14.453125" style="8" customWidth="1"/>
    <col min="17" max="17" width="16" style="8" customWidth="1"/>
    <col min="18" max="18" width="10.26953125" style="8" customWidth="1"/>
    <col min="19" max="21" width="8.7265625" style="8"/>
    <col min="22" max="22" width="11" style="8" bestFit="1" customWidth="1"/>
    <col min="23" max="16384" width="8.7265625" style="8"/>
  </cols>
  <sheetData>
    <row r="1" spans="2:22" x14ac:dyDescent="0.3">
      <c r="B1" s="7" t="s">
        <v>266</v>
      </c>
    </row>
    <row r="2" spans="2:22" x14ac:dyDescent="0.3">
      <c r="B2" s="7" t="s">
        <v>265</v>
      </c>
    </row>
    <row r="3" spans="2:22" x14ac:dyDescent="0.3">
      <c r="B3" s="7" t="s">
        <v>267</v>
      </c>
    </row>
    <row r="4" spans="2:22" ht="14.5" thickBot="1" x14ac:dyDescent="0.35">
      <c r="B4" s="7" t="str">
        <f ca="1">MID(CELL("filename",A1),FIND("]",CELL("filename",A1))+1,255)</f>
        <v>Capital Functionlization</v>
      </c>
    </row>
    <row r="5" spans="2:22" ht="14.5" thickBot="1" x14ac:dyDescent="0.35"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102"/>
    </row>
    <row r="6" spans="2:22" ht="14.5" customHeight="1" x14ac:dyDescent="0.3">
      <c r="B6" s="24"/>
      <c r="C6" s="115"/>
      <c r="D6" s="116"/>
      <c r="E6" s="116"/>
      <c r="F6" s="117"/>
      <c r="G6" s="366"/>
      <c r="H6" s="366"/>
      <c r="I6" s="366"/>
      <c r="J6" s="368"/>
      <c r="K6" s="369"/>
      <c r="L6" s="368"/>
      <c r="M6" s="370"/>
      <c r="N6" s="370"/>
      <c r="O6" s="369"/>
      <c r="P6" s="117"/>
      <c r="Q6" s="118"/>
      <c r="R6" s="118"/>
      <c r="S6" s="119"/>
      <c r="T6" s="103"/>
    </row>
    <row r="7" spans="2:22" ht="14.5" customHeight="1" x14ac:dyDescent="0.3">
      <c r="B7" s="24"/>
      <c r="C7" s="127"/>
      <c r="D7" s="128"/>
      <c r="E7" s="128"/>
      <c r="F7" s="129"/>
      <c r="G7" s="367" t="s">
        <v>46</v>
      </c>
      <c r="H7" s="367"/>
      <c r="I7" s="367"/>
      <c r="J7" s="363" t="s">
        <v>154</v>
      </c>
      <c r="K7" s="363"/>
      <c r="L7" s="363" t="s">
        <v>153</v>
      </c>
      <c r="M7" s="363"/>
      <c r="N7" s="363"/>
      <c r="O7" s="363"/>
      <c r="P7" s="364" t="s">
        <v>26</v>
      </c>
      <c r="Q7" s="130" t="s">
        <v>27</v>
      </c>
      <c r="R7" s="130" t="s">
        <v>28</v>
      </c>
      <c r="S7" s="131"/>
      <c r="T7" s="103"/>
    </row>
    <row r="8" spans="2:22" ht="35.15" customHeight="1" thickBot="1" x14ac:dyDescent="0.35">
      <c r="B8" s="24"/>
      <c r="C8" s="135"/>
      <c r="D8" s="140"/>
      <c r="E8" s="140"/>
      <c r="F8" s="141" t="s">
        <v>23</v>
      </c>
      <c r="G8" s="142" t="s">
        <v>117</v>
      </c>
      <c r="H8" s="142" t="s">
        <v>29</v>
      </c>
      <c r="I8" s="142" t="s">
        <v>225</v>
      </c>
      <c r="J8" s="142" t="s">
        <v>30</v>
      </c>
      <c r="K8" s="142" t="s">
        <v>31</v>
      </c>
      <c r="L8" s="142" t="s">
        <v>48</v>
      </c>
      <c r="M8" s="142" t="s">
        <v>32</v>
      </c>
      <c r="N8" s="141" t="s">
        <v>49</v>
      </c>
      <c r="O8" s="142" t="s">
        <v>34</v>
      </c>
      <c r="P8" s="365"/>
      <c r="Q8" s="142" t="s">
        <v>35</v>
      </c>
      <c r="R8" s="142" t="s">
        <v>30</v>
      </c>
      <c r="S8" s="143"/>
      <c r="T8" s="103"/>
    </row>
    <row r="9" spans="2:22" x14ac:dyDescent="0.3">
      <c r="B9" s="24"/>
      <c r="C9" s="127">
        <f>Assets!B6</f>
        <v>488</v>
      </c>
      <c r="D9" s="121" t="str">
        <f>Assets!C6</f>
        <v>Communication Equipment</v>
      </c>
      <c r="E9" s="121"/>
      <c r="F9" s="132"/>
      <c r="G9" s="132">
        <v>0</v>
      </c>
      <c r="H9" s="132">
        <v>0</v>
      </c>
      <c r="I9" s="132"/>
      <c r="J9" s="132">
        <v>0.25</v>
      </c>
      <c r="K9" s="132">
        <v>0.25</v>
      </c>
      <c r="L9" s="132">
        <v>0</v>
      </c>
      <c r="M9" s="132">
        <v>0</v>
      </c>
      <c r="N9" s="132">
        <v>0</v>
      </c>
      <c r="O9" s="132">
        <v>0.5</v>
      </c>
      <c r="P9" s="132">
        <v>0</v>
      </c>
      <c r="Q9" s="132">
        <v>0</v>
      </c>
      <c r="R9" s="133"/>
      <c r="S9" s="134">
        <f>SUM(F9:R9)</f>
        <v>1</v>
      </c>
      <c r="T9" s="103"/>
    </row>
    <row r="10" spans="2:22" x14ac:dyDescent="0.3">
      <c r="B10" s="24"/>
      <c r="C10" s="127">
        <f>Assets!B7</f>
        <v>490</v>
      </c>
      <c r="D10" s="121" t="str">
        <f>Assets!C7</f>
        <v>Computer Equipment</v>
      </c>
      <c r="E10" s="121"/>
      <c r="F10" s="132"/>
      <c r="G10" s="132">
        <v>5.2111857937100657E-3</v>
      </c>
      <c r="H10" s="132">
        <v>0.14686981842321647</v>
      </c>
      <c r="I10" s="132"/>
      <c r="J10" s="132">
        <v>0.14833767095903017</v>
      </c>
      <c r="K10" s="132">
        <v>0.10221105755086335</v>
      </c>
      <c r="L10" s="132">
        <v>0.19093851132686082</v>
      </c>
      <c r="M10" s="132">
        <v>6.5313327449249781E-2</v>
      </c>
      <c r="N10" s="132">
        <v>5.4427772874374815E-2</v>
      </c>
      <c r="O10" s="132">
        <v>0.28669065562269441</v>
      </c>
      <c r="P10" s="132">
        <v>0</v>
      </c>
      <c r="Q10" s="132">
        <v>0</v>
      </c>
      <c r="R10" s="133"/>
      <c r="S10" s="134">
        <f t="shared" ref="S10:S28" si="0">SUM(F10:R10)</f>
        <v>1</v>
      </c>
      <c r="T10" s="103"/>
    </row>
    <row r="11" spans="2:22" x14ac:dyDescent="0.3">
      <c r="B11" s="24"/>
      <c r="C11" s="127">
        <f>Assets!B12</f>
        <v>401</v>
      </c>
      <c r="D11" s="121" t="str">
        <f>Assets!C12</f>
        <v>Franchise &amp; Consents</v>
      </c>
      <c r="E11" s="121"/>
      <c r="F11" s="132"/>
      <c r="G11" s="132"/>
      <c r="H11" s="132"/>
      <c r="I11" s="132"/>
      <c r="J11" s="132"/>
      <c r="K11" s="132"/>
      <c r="L11" s="132"/>
      <c r="M11" s="132"/>
      <c r="N11" s="132"/>
      <c r="O11" s="132">
        <v>1</v>
      </c>
      <c r="P11" s="132"/>
      <c r="Q11" s="132"/>
      <c r="R11" s="133"/>
      <c r="S11" s="134">
        <f t="shared" si="0"/>
        <v>1</v>
      </c>
      <c r="T11" s="103"/>
    </row>
    <row r="12" spans="2:22" x14ac:dyDescent="0.3">
      <c r="B12" s="24"/>
      <c r="C12" s="127">
        <f>Assets!B13</f>
        <v>483</v>
      </c>
      <c r="D12" s="121" t="str">
        <f>Assets!C13</f>
        <v>Furnishing / Office Equipment</v>
      </c>
      <c r="E12" s="121"/>
      <c r="F12" s="132"/>
      <c r="G12" s="132"/>
      <c r="H12" s="132"/>
      <c r="I12" s="132"/>
      <c r="J12" s="132"/>
      <c r="K12" s="132"/>
      <c r="L12" s="132"/>
      <c r="M12" s="132"/>
      <c r="N12" s="132"/>
      <c r="O12" s="132">
        <v>1</v>
      </c>
      <c r="P12" s="132"/>
      <c r="Q12" s="132"/>
      <c r="R12" s="133"/>
      <c r="S12" s="134">
        <f t="shared" si="0"/>
        <v>1</v>
      </c>
      <c r="T12" s="103"/>
    </row>
    <row r="13" spans="2:22" x14ac:dyDescent="0.3">
      <c r="B13" s="24"/>
      <c r="C13" s="127">
        <f>Assets!B14</f>
        <v>480</v>
      </c>
      <c r="D13" s="121" t="str">
        <f>Assets!C14</f>
        <v>Land</v>
      </c>
      <c r="E13" s="121"/>
      <c r="F13" s="132"/>
      <c r="G13" s="132">
        <v>5.4637713534657394E-3</v>
      </c>
      <c r="H13" s="132">
        <v>0.14882546770266697</v>
      </c>
      <c r="I13" s="132"/>
      <c r="J13" s="132">
        <v>0.13011170295028734</v>
      </c>
      <c r="K13" s="132">
        <v>9.7275323128403479E-2</v>
      </c>
      <c r="L13" s="132">
        <v>0.19947455354654356</v>
      </c>
      <c r="M13" s="132">
        <v>7.8892409002456448E-2</v>
      </c>
      <c r="N13" s="132">
        <v>4.3978950289001839E-2</v>
      </c>
      <c r="O13" s="132">
        <v>0.29597782202717471</v>
      </c>
      <c r="P13" s="132"/>
      <c r="Q13" s="132"/>
      <c r="R13" s="133"/>
      <c r="S13" s="134">
        <f t="shared" si="0"/>
        <v>1</v>
      </c>
      <c r="T13" s="103"/>
    </row>
    <row r="14" spans="2:22" x14ac:dyDescent="0.3">
      <c r="B14" s="24"/>
      <c r="C14" s="127">
        <f>Assets!B15</f>
        <v>475</v>
      </c>
      <c r="D14" s="121" t="str">
        <f>Assets!C15</f>
        <v>Mains - Metallic</v>
      </c>
      <c r="E14" s="121"/>
      <c r="F14" s="132"/>
      <c r="G14" s="132"/>
      <c r="H14" s="132"/>
      <c r="I14" s="132">
        <v>1</v>
      </c>
      <c r="J14" s="132"/>
      <c r="K14" s="132"/>
      <c r="L14" s="132"/>
      <c r="M14" s="132"/>
      <c r="N14" s="132"/>
      <c r="O14" s="132"/>
      <c r="P14" s="132"/>
      <c r="Q14" s="132"/>
      <c r="R14" s="133"/>
      <c r="S14" s="134">
        <f t="shared" si="0"/>
        <v>1</v>
      </c>
      <c r="T14" s="103"/>
    </row>
    <row r="15" spans="2:22" x14ac:dyDescent="0.3">
      <c r="B15" s="24"/>
      <c r="C15" s="127">
        <f>Assets!B16</f>
        <v>475</v>
      </c>
      <c r="D15" s="121" t="str">
        <f>Assets!C16</f>
        <v>Mains - Metallic (IGPC)</v>
      </c>
      <c r="E15" s="121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>
        <v>1</v>
      </c>
      <c r="Q15" s="132"/>
      <c r="R15" s="133"/>
      <c r="S15" s="134">
        <f t="shared" si="0"/>
        <v>1</v>
      </c>
      <c r="T15" s="103"/>
      <c r="V15" s="9"/>
    </row>
    <row r="16" spans="2:22" x14ac:dyDescent="0.3">
      <c r="B16" s="24"/>
      <c r="C16" s="127">
        <f>Assets!B17</f>
        <v>475</v>
      </c>
      <c r="D16" s="121" t="str">
        <f>Assets!C17</f>
        <v>Mains - Plastic</v>
      </c>
      <c r="E16" s="121"/>
      <c r="F16" s="132"/>
      <c r="G16" s="132"/>
      <c r="H16" s="132"/>
      <c r="I16" s="132">
        <v>1</v>
      </c>
      <c r="J16" s="132"/>
      <c r="K16" s="132"/>
      <c r="L16" s="132"/>
      <c r="M16" s="132"/>
      <c r="N16" s="132"/>
      <c r="O16" s="132"/>
      <c r="P16" s="132"/>
      <c r="Q16" s="132"/>
      <c r="R16" s="133"/>
      <c r="S16" s="134">
        <f t="shared" si="0"/>
        <v>1</v>
      </c>
      <c r="T16" s="103"/>
    </row>
    <row r="17" spans="2:20" x14ac:dyDescent="0.3">
      <c r="B17" s="24"/>
      <c r="C17" s="127">
        <f>Assets!B18</f>
        <v>477</v>
      </c>
      <c r="D17" s="121" t="str">
        <f>Assets!C18</f>
        <v>Measuring &amp; Regulating Equip</v>
      </c>
      <c r="E17" s="121"/>
      <c r="F17" s="132"/>
      <c r="G17" s="132">
        <v>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3"/>
      <c r="S17" s="134">
        <f t="shared" si="0"/>
        <v>1</v>
      </c>
      <c r="T17" s="103"/>
    </row>
    <row r="18" spans="2:20" x14ac:dyDescent="0.3">
      <c r="B18" s="24"/>
      <c r="C18" s="127">
        <f>Assets!B19</f>
        <v>477</v>
      </c>
      <c r="D18" s="121" t="str">
        <f>Assets!C19</f>
        <v>Measuring &amp; Regulating Equip (IGPC)</v>
      </c>
      <c r="E18" s="121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>
        <v>1</v>
      </c>
      <c r="Q18" s="132"/>
      <c r="R18" s="133"/>
      <c r="S18" s="134">
        <f t="shared" ref="S18" si="1">SUM(F18:R18)</f>
        <v>1</v>
      </c>
      <c r="T18" s="103"/>
    </row>
    <row r="19" spans="2:20" x14ac:dyDescent="0.3">
      <c r="B19" s="24"/>
      <c r="C19" s="127">
        <f>Assets!B20</f>
        <v>478</v>
      </c>
      <c r="D19" s="121" t="str">
        <f>Assets!C20</f>
        <v>Meters - Commercial</v>
      </c>
      <c r="E19" s="121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>
        <v>1</v>
      </c>
      <c r="R19" s="133"/>
      <c r="S19" s="134">
        <f t="shared" si="0"/>
        <v>1</v>
      </c>
      <c r="T19" s="103"/>
    </row>
    <row r="20" spans="2:20" x14ac:dyDescent="0.3">
      <c r="B20" s="24"/>
      <c r="C20" s="127">
        <f>Assets!B21</f>
        <v>478</v>
      </c>
      <c r="D20" s="121" t="str">
        <f>Assets!C21</f>
        <v>Meters - IGPC</v>
      </c>
      <c r="E20" s="121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>
        <v>1</v>
      </c>
      <c r="Q20" s="132"/>
      <c r="R20" s="133"/>
      <c r="S20" s="134">
        <f t="shared" si="0"/>
        <v>1</v>
      </c>
      <c r="T20" s="103"/>
    </row>
    <row r="21" spans="2:20" x14ac:dyDescent="0.3">
      <c r="B21" s="24"/>
      <c r="C21" s="127">
        <f>Assets!B22</f>
        <v>478</v>
      </c>
      <c r="D21" s="121" t="str">
        <f>Assets!C22</f>
        <v>Meters - Residential</v>
      </c>
      <c r="E21" s="121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>
        <v>1</v>
      </c>
      <c r="R21" s="133"/>
      <c r="S21" s="134">
        <f t="shared" si="0"/>
        <v>1</v>
      </c>
      <c r="T21" s="103"/>
    </row>
    <row r="22" spans="2:20" x14ac:dyDescent="0.3">
      <c r="B22" s="24"/>
      <c r="C22" s="127">
        <f>Assets!B23</f>
        <v>474</v>
      </c>
      <c r="D22" s="121" t="str">
        <f>Assets!C23</f>
        <v>Regulators</v>
      </c>
      <c r="E22" s="121"/>
      <c r="F22" s="132"/>
      <c r="G22" s="132"/>
      <c r="H22" s="132"/>
      <c r="I22" s="132"/>
      <c r="J22" s="132">
        <v>1</v>
      </c>
      <c r="K22" s="132"/>
      <c r="L22" s="132"/>
      <c r="M22" s="132"/>
      <c r="N22" s="132"/>
      <c r="O22" s="132"/>
      <c r="P22" s="132"/>
      <c r="Q22" s="132"/>
      <c r="R22" s="133"/>
      <c r="S22" s="134">
        <f t="shared" si="0"/>
        <v>1</v>
      </c>
      <c r="T22" s="103"/>
    </row>
    <row r="23" spans="2:20" x14ac:dyDescent="0.3">
      <c r="B23" s="24"/>
      <c r="C23" s="127">
        <f>Assets!B24</f>
        <v>473</v>
      </c>
      <c r="D23" s="121" t="str">
        <f>Assets!C24</f>
        <v>Services - Plastic</v>
      </c>
      <c r="E23" s="121"/>
      <c r="F23" s="132"/>
      <c r="G23" s="132"/>
      <c r="H23" s="132"/>
      <c r="I23" s="132"/>
      <c r="J23" s="132">
        <v>1</v>
      </c>
      <c r="K23" s="132"/>
      <c r="L23" s="132"/>
      <c r="M23" s="132"/>
      <c r="N23" s="132"/>
      <c r="O23" s="132"/>
      <c r="P23" s="132"/>
      <c r="Q23" s="132"/>
      <c r="R23" s="133"/>
      <c r="S23" s="134">
        <f t="shared" si="0"/>
        <v>1</v>
      </c>
      <c r="T23" s="103"/>
    </row>
    <row r="24" spans="2:20" x14ac:dyDescent="0.3">
      <c r="B24" s="24"/>
      <c r="C24" s="127">
        <f>Assets!B25</f>
        <v>491</v>
      </c>
      <c r="D24" s="121" t="str">
        <f>Assets!C25</f>
        <v>Software - Acquired</v>
      </c>
      <c r="E24" s="121"/>
      <c r="F24" s="132"/>
      <c r="G24" s="132"/>
      <c r="H24" s="132"/>
      <c r="I24" s="132"/>
      <c r="J24" s="132"/>
      <c r="K24" s="132"/>
      <c r="L24" s="132"/>
      <c r="M24" s="132"/>
      <c r="N24" s="132"/>
      <c r="O24" s="132">
        <v>1</v>
      </c>
      <c r="P24" s="132"/>
      <c r="Q24" s="132"/>
      <c r="R24" s="133"/>
      <c r="S24" s="134">
        <f t="shared" si="0"/>
        <v>1</v>
      </c>
      <c r="T24" s="103"/>
    </row>
    <row r="25" spans="2:20" x14ac:dyDescent="0.3">
      <c r="B25" s="24"/>
      <c r="C25" s="127">
        <f>Assets!B26</f>
        <v>482</v>
      </c>
      <c r="D25" s="121" t="str">
        <f>Assets!C26</f>
        <v>Structures &amp; Improvements</v>
      </c>
      <c r="E25" s="121"/>
      <c r="F25" s="132"/>
      <c r="G25" s="132">
        <v>5.4637713534657394E-3</v>
      </c>
      <c r="H25" s="132">
        <v>0.14882546770266697</v>
      </c>
      <c r="I25" s="132"/>
      <c r="J25" s="132">
        <v>0.13011170295028734</v>
      </c>
      <c r="K25" s="132">
        <v>9.7275323128403479E-2</v>
      </c>
      <c r="L25" s="132">
        <v>0.19947455354654356</v>
      </c>
      <c r="M25" s="132">
        <v>7.8892409002456448E-2</v>
      </c>
      <c r="N25" s="132">
        <v>4.3978950289001839E-2</v>
      </c>
      <c r="O25" s="132">
        <v>0.29597782202717471</v>
      </c>
      <c r="P25" s="132"/>
      <c r="Q25" s="132"/>
      <c r="R25" s="133"/>
      <c r="S25" s="134">
        <f t="shared" si="0"/>
        <v>1</v>
      </c>
      <c r="T25" s="103"/>
    </row>
    <row r="26" spans="2:20" x14ac:dyDescent="0.3">
      <c r="B26" s="24"/>
      <c r="C26" s="127">
        <f>Assets!B27</f>
        <v>486</v>
      </c>
      <c r="D26" s="121" t="str">
        <f>Assets!C27</f>
        <v>Tools and Work Equipment</v>
      </c>
      <c r="E26" s="121"/>
      <c r="F26" s="132"/>
      <c r="G26" s="132">
        <v>6.1676646706586825E-2</v>
      </c>
      <c r="H26" s="132">
        <v>0.23782934131736527</v>
      </c>
      <c r="I26" s="132"/>
      <c r="J26" s="132">
        <v>0.128937125748503</v>
      </c>
      <c r="K26" s="132">
        <v>0.55508982035928145</v>
      </c>
      <c r="L26" s="132">
        <v>1.6467065868263474E-2</v>
      </c>
      <c r="M26" s="132">
        <v>0</v>
      </c>
      <c r="N26" s="132">
        <v>0</v>
      </c>
      <c r="O26" s="132">
        <v>0</v>
      </c>
      <c r="P26" s="132"/>
      <c r="Q26" s="132"/>
      <c r="R26" s="133"/>
      <c r="S26" s="134">
        <f t="shared" si="0"/>
        <v>1</v>
      </c>
      <c r="T26" s="103"/>
    </row>
    <row r="27" spans="2:20" x14ac:dyDescent="0.3">
      <c r="B27" s="24"/>
      <c r="C27" s="127">
        <f>Assets!B28</f>
        <v>485</v>
      </c>
      <c r="D27" s="121" t="str">
        <f>Assets!C28</f>
        <v>Vehicle - Heavy Work Equip</v>
      </c>
      <c r="E27" s="121"/>
      <c r="F27" s="132"/>
      <c r="G27" s="132"/>
      <c r="H27" s="132">
        <v>0.57353790613718414</v>
      </c>
      <c r="I27" s="132"/>
      <c r="J27" s="132">
        <v>0.42646209386281586</v>
      </c>
      <c r="K27" s="132"/>
      <c r="L27" s="132"/>
      <c r="M27" s="132"/>
      <c r="N27" s="132"/>
      <c r="O27" s="132"/>
      <c r="P27" s="132"/>
      <c r="Q27" s="132"/>
      <c r="R27" s="133"/>
      <c r="S27" s="134">
        <f t="shared" si="0"/>
        <v>1</v>
      </c>
      <c r="T27" s="103"/>
    </row>
    <row r="28" spans="2:20" ht="14.5" thickBot="1" x14ac:dyDescent="0.35">
      <c r="B28" s="24"/>
      <c r="C28" s="135">
        <f>Assets!B29</f>
        <v>484</v>
      </c>
      <c r="D28" s="136" t="str">
        <f>Assets!C29</f>
        <v>Vehicles - Transportation Equip</v>
      </c>
      <c r="E28" s="136"/>
      <c r="F28" s="137"/>
      <c r="G28" s="137">
        <f>'OM&amp;A Functionalization'!E23</f>
        <v>0</v>
      </c>
      <c r="H28" s="137">
        <f>'OM&amp;A Functionalization'!F23</f>
        <v>0.43399428656575589</v>
      </c>
      <c r="I28" s="137"/>
      <c r="J28" s="137">
        <f>'OM&amp;A Functionalization'!H23</f>
        <v>0.26826184056329894</v>
      </c>
      <c r="K28" s="137">
        <f>'OM&amp;A Functionalization'!I23</f>
        <v>0</v>
      </c>
      <c r="L28" s="137">
        <f>'OM&amp;A Functionalization'!J23</f>
        <v>0</v>
      </c>
      <c r="M28" s="137">
        <f>'OM&amp;A Functionalization'!K23</f>
        <v>0</v>
      </c>
      <c r="N28" s="137">
        <f>'OM&amp;A Functionalization'!L23</f>
        <v>0</v>
      </c>
      <c r="O28" s="137">
        <f>'OM&amp;A Functionalization'!M23</f>
        <v>0</v>
      </c>
      <c r="P28" s="137">
        <f>'OM&amp;A Functionalization'!N23</f>
        <v>0.29774387287094523</v>
      </c>
      <c r="Q28" s="137">
        <f>'OM&amp;A Functionalization'!O23</f>
        <v>0</v>
      </c>
      <c r="R28" s="138">
        <f>'OM&amp;A Functionalization'!P23</f>
        <v>0</v>
      </c>
      <c r="S28" s="139">
        <f t="shared" si="0"/>
        <v>1</v>
      </c>
      <c r="T28" s="103"/>
    </row>
    <row r="29" spans="2:20" x14ac:dyDescent="0.3">
      <c r="B29" s="24"/>
      <c r="O29" s="105"/>
      <c r="P29" s="105"/>
      <c r="S29" s="104"/>
      <c r="T29" s="103"/>
    </row>
    <row r="30" spans="2:20" ht="14.5" thickBot="1" x14ac:dyDescent="0.35"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106"/>
    </row>
    <row r="31" spans="2:20" ht="14.5" thickBot="1" x14ac:dyDescent="0.35"/>
    <row r="32" spans="2:20" x14ac:dyDescent="0.3"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102"/>
    </row>
    <row r="33" spans="2:20" x14ac:dyDescent="0.3">
      <c r="B33" s="24"/>
      <c r="C33" s="114"/>
      <c r="D33" s="114"/>
      <c r="E33" s="125" t="s">
        <v>16</v>
      </c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07"/>
      <c r="T33" s="103"/>
    </row>
    <row r="34" spans="2:20" x14ac:dyDescent="0.3">
      <c r="B34" s="24"/>
      <c r="C34" s="121">
        <v>1</v>
      </c>
      <c r="D34" s="121" t="str">
        <f t="shared" ref="D34:D53" si="2">D9</f>
        <v>Communication Equipment</v>
      </c>
      <c r="E34" s="122">
        <f>Assets!H6</f>
        <v>109839.35035742112</v>
      </c>
      <c r="F34" s="123">
        <f t="shared" ref="F34:F53" si="3">$E34*F9</f>
        <v>0</v>
      </c>
      <c r="G34" s="123">
        <f t="shared" ref="G34:P34" si="4">$E34*G9</f>
        <v>0</v>
      </c>
      <c r="H34" s="123">
        <f t="shared" si="4"/>
        <v>0</v>
      </c>
      <c r="I34" s="123">
        <f t="shared" ref="I34" si="5">$E34*I9</f>
        <v>0</v>
      </c>
      <c r="J34" s="123">
        <f t="shared" si="4"/>
        <v>27459.83758935528</v>
      </c>
      <c r="K34" s="123">
        <f t="shared" si="4"/>
        <v>27459.83758935528</v>
      </c>
      <c r="L34" s="123">
        <f t="shared" si="4"/>
        <v>0</v>
      </c>
      <c r="M34" s="123">
        <f t="shared" si="4"/>
        <v>0</v>
      </c>
      <c r="N34" s="123">
        <f t="shared" si="4"/>
        <v>0</v>
      </c>
      <c r="O34" s="123">
        <f t="shared" si="4"/>
        <v>54919.67517871056</v>
      </c>
      <c r="P34" s="123">
        <f t="shared" si="4"/>
        <v>0</v>
      </c>
      <c r="Q34" s="123">
        <f t="shared" ref="Q34" si="6">$E34*Q9</f>
        <v>0</v>
      </c>
      <c r="R34" s="108"/>
      <c r="T34" s="103"/>
    </row>
    <row r="35" spans="2:20" x14ac:dyDescent="0.3">
      <c r="B35" s="24"/>
      <c r="C35" s="121">
        <f>C34+1</f>
        <v>2</v>
      </c>
      <c r="D35" s="121" t="str">
        <f t="shared" si="2"/>
        <v>Computer Equipment</v>
      </c>
      <c r="E35" s="122">
        <f>Assets!H7</f>
        <v>70262.171427387279</v>
      </c>
      <c r="F35" s="123">
        <f t="shared" si="3"/>
        <v>0</v>
      </c>
      <c r="G35" s="123">
        <f t="shared" ref="G35:P35" si="7">$E35*G10</f>
        <v>366.1492295776219</v>
      </c>
      <c r="H35" s="123">
        <f>$E35*H10</f>
        <v>10319.392359561278</v>
      </c>
      <c r="I35" s="123">
        <f>$E35*I10</f>
        <v>0</v>
      </c>
      <c r="J35" s="123">
        <f t="shared" si="7"/>
        <v>10422.526866062744</v>
      </c>
      <c r="K35" s="123">
        <f t="shared" si="7"/>
        <v>7181.5708474133071</v>
      </c>
      <c r="L35" s="123">
        <f t="shared" si="7"/>
        <v>13415.754414938023</v>
      </c>
      <c r="M35" s="123">
        <f t="shared" si="7"/>
        <v>4589.0562097322672</v>
      </c>
      <c r="N35" s="123">
        <f t="shared" si="7"/>
        <v>3824.2135081102224</v>
      </c>
      <c r="O35" s="123">
        <f t="shared" si="7"/>
        <v>20143.507991991806</v>
      </c>
      <c r="P35" s="123">
        <f t="shared" si="7"/>
        <v>0</v>
      </c>
      <c r="Q35" s="123">
        <f t="shared" ref="Q35" si="8">$E35*Q10</f>
        <v>0</v>
      </c>
      <c r="R35" s="108"/>
      <c r="T35" s="103"/>
    </row>
    <row r="36" spans="2:20" x14ac:dyDescent="0.3">
      <c r="B36" s="24"/>
      <c r="C36" s="121">
        <f t="shared" ref="C36:C53" si="9">C35+1</f>
        <v>3</v>
      </c>
      <c r="D36" s="121" t="str">
        <f t="shared" si="2"/>
        <v>Franchise &amp; Consents</v>
      </c>
      <c r="E36" s="122">
        <f>Assets!H12</f>
        <v>280647.54999999993</v>
      </c>
      <c r="F36" s="123">
        <f t="shared" si="3"/>
        <v>0</v>
      </c>
      <c r="G36" s="123">
        <f t="shared" ref="G36:P36" si="10">$E36*G11</f>
        <v>0</v>
      </c>
      <c r="H36" s="123">
        <f t="shared" si="10"/>
        <v>0</v>
      </c>
      <c r="I36" s="123">
        <f t="shared" ref="I36" si="11">$E36*I11</f>
        <v>0</v>
      </c>
      <c r="J36" s="123">
        <f t="shared" si="10"/>
        <v>0</v>
      </c>
      <c r="K36" s="123">
        <f t="shared" si="10"/>
        <v>0</v>
      </c>
      <c r="L36" s="123">
        <f t="shared" si="10"/>
        <v>0</v>
      </c>
      <c r="M36" s="123">
        <f t="shared" si="10"/>
        <v>0</v>
      </c>
      <c r="N36" s="123">
        <f t="shared" si="10"/>
        <v>0</v>
      </c>
      <c r="O36" s="123">
        <f t="shared" si="10"/>
        <v>280647.54999999993</v>
      </c>
      <c r="P36" s="123">
        <f t="shared" si="10"/>
        <v>0</v>
      </c>
      <c r="Q36" s="123">
        <f t="shared" ref="Q36" si="12">$E36*Q11</f>
        <v>0</v>
      </c>
      <c r="R36" s="108"/>
      <c r="T36" s="103"/>
    </row>
    <row r="37" spans="2:20" x14ac:dyDescent="0.3">
      <c r="B37" s="24"/>
      <c r="C37" s="121">
        <f t="shared" si="9"/>
        <v>4</v>
      </c>
      <c r="D37" s="121" t="str">
        <f t="shared" si="2"/>
        <v>Furnishing / Office Equipment</v>
      </c>
      <c r="E37" s="122">
        <f>Assets!H13</f>
        <v>66293.0118421308</v>
      </c>
      <c r="F37" s="123">
        <f t="shared" si="3"/>
        <v>0</v>
      </c>
      <c r="G37" s="123">
        <f t="shared" ref="G37:P37" si="13">$E37*G12</f>
        <v>0</v>
      </c>
      <c r="H37" s="123">
        <f t="shared" si="13"/>
        <v>0</v>
      </c>
      <c r="I37" s="123">
        <f t="shared" ref="I37" si="14">$E37*I12</f>
        <v>0</v>
      </c>
      <c r="J37" s="123">
        <f t="shared" si="13"/>
        <v>0</v>
      </c>
      <c r="K37" s="123">
        <f t="shared" si="13"/>
        <v>0</v>
      </c>
      <c r="L37" s="123">
        <f t="shared" si="13"/>
        <v>0</v>
      </c>
      <c r="M37" s="123">
        <f t="shared" si="13"/>
        <v>0</v>
      </c>
      <c r="N37" s="123">
        <f t="shared" si="13"/>
        <v>0</v>
      </c>
      <c r="O37" s="123">
        <f t="shared" si="13"/>
        <v>66293.0118421308</v>
      </c>
      <c r="P37" s="123">
        <f t="shared" si="13"/>
        <v>0</v>
      </c>
      <c r="Q37" s="123">
        <f t="shared" ref="Q37" si="15">$E37*Q12</f>
        <v>0</v>
      </c>
      <c r="R37" s="108"/>
      <c r="T37" s="103"/>
    </row>
    <row r="38" spans="2:20" x14ac:dyDescent="0.3">
      <c r="B38" s="24"/>
      <c r="C38" s="121">
        <f t="shared" si="9"/>
        <v>5</v>
      </c>
      <c r="D38" s="121" t="str">
        <f t="shared" si="2"/>
        <v>Land</v>
      </c>
      <c r="E38" s="122">
        <f>Assets!H14</f>
        <v>82653.239999999991</v>
      </c>
      <c r="F38" s="123">
        <f t="shared" si="3"/>
        <v>0</v>
      </c>
      <c r="G38" s="123">
        <f t="shared" ref="G38:P38" si="16">$E38*G13</f>
        <v>451.59840498312855</v>
      </c>
      <c r="H38" s="123">
        <f t="shared" si="16"/>
        <v>12300.907100140781</v>
      </c>
      <c r="I38" s="123">
        <f t="shared" ref="I38" si="17">$E38*I13</f>
        <v>0</v>
      </c>
      <c r="J38" s="123">
        <f t="shared" si="16"/>
        <v>10754.153810758808</v>
      </c>
      <c r="K38" s="123">
        <f t="shared" si="16"/>
        <v>8040.120628609483</v>
      </c>
      <c r="L38" s="123">
        <f t="shared" si="16"/>
        <v>16487.218148175314</v>
      </c>
      <c r="M38" s="123">
        <f t="shared" si="16"/>
        <v>6520.7132154581923</v>
      </c>
      <c r="N38" s="123">
        <f t="shared" si="16"/>
        <v>3635.0027331849378</v>
      </c>
      <c r="O38" s="123">
        <f t="shared" si="16"/>
        <v>24463.525958689355</v>
      </c>
      <c r="P38" s="123">
        <f t="shared" si="16"/>
        <v>0</v>
      </c>
      <c r="Q38" s="123">
        <f t="shared" ref="Q38" si="18">$E38*Q13</f>
        <v>0</v>
      </c>
      <c r="R38" s="108"/>
      <c r="T38" s="103"/>
    </row>
    <row r="39" spans="2:20" x14ac:dyDescent="0.3">
      <c r="B39" s="24"/>
      <c r="C39" s="121">
        <f t="shared" si="9"/>
        <v>6</v>
      </c>
      <c r="D39" s="121" t="str">
        <f t="shared" si="2"/>
        <v>Mains - Metallic</v>
      </c>
      <c r="E39" s="122">
        <f>Assets!H15</f>
        <v>0</v>
      </c>
      <c r="F39" s="123">
        <f t="shared" si="3"/>
        <v>0</v>
      </c>
      <c r="G39" s="123">
        <f t="shared" ref="G39:P39" si="19">$E39*G14</f>
        <v>0</v>
      </c>
      <c r="H39" s="123">
        <f t="shared" si="19"/>
        <v>0</v>
      </c>
      <c r="I39" s="123">
        <f t="shared" ref="I39" si="20">$E39*I14</f>
        <v>0</v>
      </c>
      <c r="J39" s="123">
        <f t="shared" si="19"/>
        <v>0</v>
      </c>
      <c r="K39" s="123">
        <f t="shared" si="19"/>
        <v>0</v>
      </c>
      <c r="L39" s="123">
        <f t="shared" si="19"/>
        <v>0</v>
      </c>
      <c r="M39" s="123">
        <f t="shared" si="19"/>
        <v>0</v>
      </c>
      <c r="N39" s="123">
        <f t="shared" si="19"/>
        <v>0</v>
      </c>
      <c r="O39" s="123">
        <f t="shared" si="19"/>
        <v>0</v>
      </c>
      <c r="P39" s="123">
        <f t="shared" si="19"/>
        <v>0</v>
      </c>
      <c r="Q39" s="123">
        <f t="shared" ref="Q39" si="21">$E39*Q14</f>
        <v>0</v>
      </c>
      <c r="R39" s="108"/>
      <c r="T39" s="103"/>
    </row>
    <row r="40" spans="2:20" x14ac:dyDescent="0.3">
      <c r="B40" s="24"/>
      <c r="C40" s="121">
        <f t="shared" si="9"/>
        <v>7</v>
      </c>
      <c r="D40" s="121" t="str">
        <f t="shared" si="2"/>
        <v>Mains - Metallic (IGPC)</v>
      </c>
      <c r="E40" s="122">
        <f>Assets!H16</f>
        <v>2937611.4898853716</v>
      </c>
      <c r="F40" s="123">
        <f t="shared" si="3"/>
        <v>0</v>
      </c>
      <c r="G40" s="123">
        <f t="shared" ref="G40:P40" si="22">$E40*G15</f>
        <v>0</v>
      </c>
      <c r="H40" s="123">
        <f t="shared" si="22"/>
        <v>0</v>
      </c>
      <c r="I40" s="123">
        <f t="shared" ref="I40" si="23">$E40*I15</f>
        <v>0</v>
      </c>
      <c r="J40" s="123">
        <f t="shared" si="22"/>
        <v>0</v>
      </c>
      <c r="K40" s="123">
        <f t="shared" si="22"/>
        <v>0</v>
      </c>
      <c r="L40" s="123">
        <f t="shared" si="22"/>
        <v>0</v>
      </c>
      <c r="M40" s="123">
        <f t="shared" si="22"/>
        <v>0</v>
      </c>
      <c r="N40" s="123">
        <f t="shared" si="22"/>
        <v>0</v>
      </c>
      <c r="O40" s="123">
        <f t="shared" si="22"/>
        <v>0</v>
      </c>
      <c r="P40" s="123">
        <f t="shared" si="22"/>
        <v>2937611.4898853716</v>
      </c>
      <c r="Q40" s="123">
        <f t="shared" ref="Q40" si="24">$E40*Q15</f>
        <v>0</v>
      </c>
      <c r="R40" s="108"/>
      <c r="T40" s="103"/>
    </row>
    <row r="41" spans="2:20" x14ac:dyDescent="0.3">
      <c r="B41" s="24"/>
      <c r="C41" s="121">
        <f t="shared" si="9"/>
        <v>8</v>
      </c>
      <c r="D41" s="121" t="str">
        <f t="shared" si="2"/>
        <v>Mains - Plastic</v>
      </c>
      <c r="E41" s="122">
        <f>Assets!H17</f>
        <v>10629966.976569345</v>
      </c>
      <c r="F41" s="123">
        <f t="shared" si="3"/>
        <v>0</v>
      </c>
      <c r="G41" s="123">
        <f t="shared" ref="G41:P43" si="25">$E41*G16</f>
        <v>0</v>
      </c>
      <c r="H41" s="123">
        <f t="shared" si="25"/>
        <v>0</v>
      </c>
      <c r="I41" s="123">
        <f t="shared" ref="I41" si="26">$E41*I16</f>
        <v>10629966.976569345</v>
      </c>
      <c r="J41" s="123">
        <f t="shared" si="25"/>
        <v>0</v>
      </c>
      <c r="K41" s="123">
        <f t="shared" si="25"/>
        <v>0</v>
      </c>
      <c r="L41" s="123">
        <f t="shared" si="25"/>
        <v>0</v>
      </c>
      <c r="M41" s="123">
        <f t="shared" si="25"/>
        <v>0</v>
      </c>
      <c r="N41" s="123">
        <f t="shared" si="25"/>
        <v>0</v>
      </c>
      <c r="O41" s="123">
        <f t="shared" si="25"/>
        <v>0</v>
      </c>
      <c r="P41" s="123">
        <f t="shared" si="25"/>
        <v>0</v>
      </c>
      <c r="Q41" s="123">
        <f t="shared" ref="Q41" si="27">$E41*Q16</f>
        <v>0</v>
      </c>
      <c r="R41" s="108"/>
      <c r="T41" s="103"/>
    </row>
    <row r="42" spans="2:20" x14ac:dyDescent="0.3">
      <c r="B42" s="24"/>
      <c r="C42" s="121">
        <f t="shared" si="9"/>
        <v>9</v>
      </c>
      <c r="D42" s="121" t="str">
        <f t="shared" si="2"/>
        <v>Measuring &amp; Regulating Equip</v>
      </c>
      <c r="E42" s="122">
        <f>Assets!H18</f>
        <v>1347794.8780144067</v>
      </c>
      <c r="F42" s="123">
        <f t="shared" si="3"/>
        <v>0</v>
      </c>
      <c r="G42" s="123">
        <f t="shared" ref="G42:P42" si="28">$E42*G17</f>
        <v>1347794.8780144067</v>
      </c>
      <c r="H42" s="123">
        <f t="shared" si="28"/>
        <v>0</v>
      </c>
      <c r="I42" s="123">
        <f t="shared" ref="I42" si="29">$E42*I17</f>
        <v>0</v>
      </c>
      <c r="J42" s="123">
        <f t="shared" si="28"/>
        <v>0</v>
      </c>
      <c r="K42" s="123">
        <f t="shared" si="28"/>
        <v>0</v>
      </c>
      <c r="L42" s="123">
        <f t="shared" si="28"/>
        <v>0</v>
      </c>
      <c r="M42" s="123">
        <f t="shared" si="28"/>
        <v>0</v>
      </c>
      <c r="N42" s="123">
        <f t="shared" si="28"/>
        <v>0</v>
      </c>
      <c r="O42" s="123">
        <f t="shared" si="28"/>
        <v>0</v>
      </c>
      <c r="P42" s="123">
        <f t="shared" si="28"/>
        <v>0</v>
      </c>
      <c r="Q42" s="123">
        <f t="shared" ref="Q42" si="30">$E42*Q17</f>
        <v>0</v>
      </c>
      <c r="R42" s="108"/>
      <c r="T42" s="103"/>
    </row>
    <row r="43" spans="2:20" x14ac:dyDescent="0.3">
      <c r="B43" s="24"/>
      <c r="C43" s="121">
        <f t="shared" si="9"/>
        <v>10</v>
      </c>
      <c r="D43" s="121" t="str">
        <f t="shared" si="2"/>
        <v>Measuring &amp; Regulating Equip (IGPC)</v>
      </c>
      <c r="E43" s="122">
        <f>Assets!H19</f>
        <v>419934.66500000004</v>
      </c>
      <c r="F43" s="123">
        <f t="shared" si="3"/>
        <v>0</v>
      </c>
      <c r="G43" s="123">
        <f t="shared" si="25"/>
        <v>0</v>
      </c>
      <c r="H43" s="123">
        <f t="shared" si="25"/>
        <v>0</v>
      </c>
      <c r="I43" s="123">
        <f t="shared" ref="I43" si="31">$E43*I18</f>
        <v>0</v>
      </c>
      <c r="J43" s="123">
        <f t="shared" si="25"/>
        <v>0</v>
      </c>
      <c r="K43" s="123">
        <f t="shared" si="25"/>
        <v>0</v>
      </c>
      <c r="L43" s="123">
        <f t="shared" si="25"/>
        <v>0</v>
      </c>
      <c r="M43" s="123">
        <f t="shared" si="25"/>
        <v>0</v>
      </c>
      <c r="N43" s="123">
        <f t="shared" si="25"/>
        <v>0</v>
      </c>
      <c r="O43" s="123">
        <f t="shared" si="25"/>
        <v>0</v>
      </c>
      <c r="P43" s="123">
        <f t="shared" si="25"/>
        <v>419934.66500000004</v>
      </c>
      <c r="Q43" s="123">
        <f t="shared" ref="Q43" si="32">$E43*Q18</f>
        <v>0</v>
      </c>
      <c r="R43" s="108"/>
      <c r="T43" s="103"/>
    </row>
    <row r="44" spans="2:20" x14ac:dyDescent="0.3">
      <c r="B44" s="24"/>
      <c r="C44" s="121">
        <f t="shared" si="9"/>
        <v>11</v>
      </c>
      <c r="D44" s="121" t="str">
        <f t="shared" si="2"/>
        <v>Meters - Commercial</v>
      </c>
      <c r="E44" s="122">
        <f>Assets!H20</f>
        <v>978729.99028487084</v>
      </c>
      <c r="F44" s="123">
        <f t="shared" si="3"/>
        <v>0</v>
      </c>
      <c r="G44" s="123">
        <f t="shared" ref="G44:P44" si="33">$E44*G19</f>
        <v>0</v>
      </c>
      <c r="H44" s="123">
        <f t="shared" si="33"/>
        <v>0</v>
      </c>
      <c r="I44" s="123">
        <f t="shared" ref="I44" si="34">$E44*I19</f>
        <v>0</v>
      </c>
      <c r="J44" s="123">
        <f t="shared" si="33"/>
        <v>0</v>
      </c>
      <c r="K44" s="123">
        <f t="shared" si="33"/>
        <v>0</v>
      </c>
      <c r="L44" s="123">
        <f t="shared" si="33"/>
        <v>0</v>
      </c>
      <c r="M44" s="123">
        <f t="shared" si="33"/>
        <v>0</v>
      </c>
      <c r="N44" s="123">
        <f t="shared" si="33"/>
        <v>0</v>
      </c>
      <c r="O44" s="123">
        <f t="shared" si="33"/>
        <v>0</v>
      </c>
      <c r="P44" s="123">
        <f t="shared" si="33"/>
        <v>0</v>
      </c>
      <c r="Q44" s="123">
        <f t="shared" ref="Q44" si="35">$E44*Q19</f>
        <v>978729.99028487084</v>
      </c>
      <c r="R44" s="108"/>
      <c r="T44" s="103"/>
    </row>
    <row r="45" spans="2:20" x14ac:dyDescent="0.3">
      <c r="B45" s="24"/>
      <c r="C45" s="121">
        <f t="shared" si="9"/>
        <v>12</v>
      </c>
      <c r="D45" s="121" t="str">
        <f t="shared" si="2"/>
        <v>Meters - IGPC</v>
      </c>
      <c r="E45" s="122">
        <f>Assets!H21</f>
        <v>0</v>
      </c>
      <c r="F45" s="123">
        <f t="shared" si="3"/>
        <v>0</v>
      </c>
      <c r="G45" s="123">
        <f t="shared" ref="G45:P45" si="36">$E45*G20</f>
        <v>0</v>
      </c>
      <c r="H45" s="123">
        <f t="shared" si="36"/>
        <v>0</v>
      </c>
      <c r="I45" s="123">
        <f t="shared" ref="I45" si="37">$E45*I20</f>
        <v>0</v>
      </c>
      <c r="J45" s="123">
        <f t="shared" si="36"/>
        <v>0</v>
      </c>
      <c r="K45" s="123">
        <f t="shared" si="36"/>
        <v>0</v>
      </c>
      <c r="L45" s="123">
        <f t="shared" si="36"/>
        <v>0</v>
      </c>
      <c r="M45" s="123">
        <f t="shared" si="36"/>
        <v>0</v>
      </c>
      <c r="N45" s="123">
        <f t="shared" si="36"/>
        <v>0</v>
      </c>
      <c r="O45" s="123">
        <f t="shared" si="36"/>
        <v>0</v>
      </c>
      <c r="P45" s="123">
        <f t="shared" si="36"/>
        <v>0</v>
      </c>
      <c r="Q45" s="123">
        <f t="shared" ref="Q45" si="38">$E45*Q20</f>
        <v>0</v>
      </c>
      <c r="R45" s="108"/>
      <c r="T45" s="103"/>
    </row>
    <row r="46" spans="2:20" x14ac:dyDescent="0.3">
      <c r="B46" s="24"/>
      <c r="C46" s="121">
        <f t="shared" si="9"/>
        <v>13</v>
      </c>
      <c r="D46" s="121" t="str">
        <f t="shared" si="2"/>
        <v>Meters - Residential</v>
      </c>
      <c r="E46" s="122">
        <f>Assets!H22</f>
        <v>1984821.0875446172</v>
      </c>
      <c r="F46" s="123">
        <f t="shared" si="3"/>
        <v>0</v>
      </c>
      <c r="G46" s="123">
        <f t="shared" ref="G46:P46" si="39">$E46*G21</f>
        <v>0</v>
      </c>
      <c r="H46" s="123">
        <f t="shared" si="39"/>
        <v>0</v>
      </c>
      <c r="I46" s="123">
        <f t="shared" ref="I46" si="40">$E46*I21</f>
        <v>0</v>
      </c>
      <c r="J46" s="123">
        <f t="shared" si="39"/>
        <v>0</v>
      </c>
      <c r="K46" s="123">
        <f t="shared" si="39"/>
        <v>0</v>
      </c>
      <c r="L46" s="123">
        <f t="shared" si="39"/>
        <v>0</v>
      </c>
      <c r="M46" s="123">
        <f t="shared" si="39"/>
        <v>0</v>
      </c>
      <c r="N46" s="123">
        <f t="shared" si="39"/>
        <v>0</v>
      </c>
      <c r="O46" s="123">
        <f t="shared" si="39"/>
        <v>0</v>
      </c>
      <c r="P46" s="123">
        <f t="shared" si="39"/>
        <v>0</v>
      </c>
      <c r="Q46" s="123">
        <f t="shared" ref="Q46" si="41">$E46*Q21</f>
        <v>1984821.0875446172</v>
      </c>
      <c r="R46" s="108"/>
      <c r="T46" s="103"/>
    </row>
    <row r="47" spans="2:20" x14ac:dyDescent="0.3">
      <c r="B47" s="24"/>
      <c r="C47" s="121">
        <f t="shared" si="9"/>
        <v>14</v>
      </c>
      <c r="D47" s="121" t="str">
        <f t="shared" si="2"/>
        <v>Regulators</v>
      </c>
      <c r="E47" s="122">
        <f>Assets!H23</f>
        <v>740700.09939055901</v>
      </c>
      <c r="F47" s="123">
        <f t="shared" si="3"/>
        <v>0</v>
      </c>
      <c r="G47" s="123">
        <f t="shared" ref="G47:P47" si="42">$E47*G22</f>
        <v>0</v>
      </c>
      <c r="H47" s="123">
        <f t="shared" si="42"/>
        <v>0</v>
      </c>
      <c r="I47" s="123">
        <f t="shared" ref="I47" si="43">$E47*I22</f>
        <v>0</v>
      </c>
      <c r="J47" s="123">
        <f t="shared" si="42"/>
        <v>740700.09939055901</v>
      </c>
      <c r="K47" s="123">
        <f t="shared" si="42"/>
        <v>0</v>
      </c>
      <c r="L47" s="123">
        <f t="shared" si="42"/>
        <v>0</v>
      </c>
      <c r="M47" s="123">
        <f t="shared" si="42"/>
        <v>0</v>
      </c>
      <c r="N47" s="123">
        <f t="shared" si="42"/>
        <v>0</v>
      </c>
      <c r="O47" s="123">
        <f t="shared" si="42"/>
        <v>0</v>
      </c>
      <c r="P47" s="123">
        <f t="shared" si="42"/>
        <v>0</v>
      </c>
      <c r="Q47" s="123">
        <f t="shared" ref="Q47" si="44">$E47*Q22</f>
        <v>0</v>
      </c>
      <c r="R47" s="108"/>
      <c r="T47" s="103"/>
    </row>
    <row r="48" spans="2:20" x14ac:dyDescent="0.3">
      <c r="B48" s="24"/>
      <c r="C48" s="121">
        <f t="shared" si="9"/>
        <v>15</v>
      </c>
      <c r="D48" s="121" t="str">
        <f t="shared" si="2"/>
        <v>Services - Plastic</v>
      </c>
      <c r="E48" s="122">
        <f>Assets!H24</f>
        <v>3971799.0931861605</v>
      </c>
      <c r="F48" s="123">
        <f t="shared" si="3"/>
        <v>0</v>
      </c>
      <c r="G48" s="123">
        <f t="shared" ref="G48:P48" si="45">$E48*G23</f>
        <v>0</v>
      </c>
      <c r="H48" s="123">
        <f t="shared" si="45"/>
        <v>0</v>
      </c>
      <c r="I48" s="123">
        <f t="shared" ref="I48" si="46">$E48*I23</f>
        <v>0</v>
      </c>
      <c r="J48" s="123">
        <f t="shared" si="45"/>
        <v>3971799.0931861605</v>
      </c>
      <c r="K48" s="123">
        <f t="shared" si="45"/>
        <v>0</v>
      </c>
      <c r="L48" s="123">
        <f t="shared" si="45"/>
        <v>0</v>
      </c>
      <c r="M48" s="123">
        <f t="shared" si="45"/>
        <v>0</v>
      </c>
      <c r="N48" s="123">
        <f t="shared" si="45"/>
        <v>0</v>
      </c>
      <c r="O48" s="123">
        <f t="shared" si="45"/>
        <v>0</v>
      </c>
      <c r="P48" s="123">
        <f t="shared" si="45"/>
        <v>0</v>
      </c>
      <c r="Q48" s="123">
        <f t="shared" ref="Q48" si="47">$E48*Q23</f>
        <v>0</v>
      </c>
      <c r="R48" s="108"/>
      <c r="T48" s="103"/>
    </row>
    <row r="49" spans="2:20" x14ac:dyDescent="0.3">
      <c r="B49" s="24"/>
      <c r="C49" s="121">
        <f t="shared" si="9"/>
        <v>16</v>
      </c>
      <c r="D49" s="121" t="str">
        <f t="shared" si="2"/>
        <v>Software - Acquired</v>
      </c>
      <c r="E49" s="122">
        <f>Assets!H25</f>
        <v>153315.67089967569</v>
      </c>
      <c r="F49" s="123">
        <f t="shared" si="3"/>
        <v>0</v>
      </c>
      <c r="G49" s="123">
        <f t="shared" ref="G49:P49" si="48">$E49*G24</f>
        <v>0</v>
      </c>
      <c r="H49" s="123">
        <f t="shared" si="48"/>
        <v>0</v>
      </c>
      <c r="I49" s="123">
        <f t="shared" ref="I49" si="49">$E49*I24</f>
        <v>0</v>
      </c>
      <c r="J49" s="123">
        <f t="shared" si="48"/>
        <v>0</v>
      </c>
      <c r="K49" s="123">
        <f t="shared" si="48"/>
        <v>0</v>
      </c>
      <c r="L49" s="123">
        <f t="shared" si="48"/>
        <v>0</v>
      </c>
      <c r="M49" s="123">
        <f t="shared" si="48"/>
        <v>0</v>
      </c>
      <c r="N49" s="123">
        <f t="shared" si="48"/>
        <v>0</v>
      </c>
      <c r="O49" s="123">
        <f t="shared" si="48"/>
        <v>153315.67089967569</v>
      </c>
      <c r="P49" s="123">
        <f t="shared" si="48"/>
        <v>0</v>
      </c>
      <c r="Q49" s="123">
        <f t="shared" ref="Q49" si="50">$E49*Q24</f>
        <v>0</v>
      </c>
      <c r="R49" s="108"/>
      <c r="T49" s="103"/>
    </row>
    <row r="50" spans="2:20" x14ac:dyDescent="0.3">
      <c r="B50" s="24"/>
      <c r="C50" s="121">
        <f t="shared" si="9"/>
        <v>17</v>
      </c>
      <c r="D50" s="121" t="str">
        <f t="shared" si="2"/>
        <v>Structures &amp; Improvements</v>
      </c>
      <c r="E50" s="122">
        <f>Assets!H26</f>
        <v>460327.52286365756</v>
      </c>
      <c r="F50" s="123">
        <f t="shared" si="3"/>
        <v>0</v>
      </c>
      <c r="G50" s="123">
        <f t="shared" ref="G50:P50" si="51">$E50*G25</f>
        <v>2515.1243326342974</v>
      </c>
      <c r="H50" s="123">
        <f t="shared" si="51"/>
        <v>68508.458886593959</v>
      </c>
      <c r="I50" s="123">
        <f t="shared" ref="I50" si="52">$E50*I25</f>
        <v>0</v>
      </c>
      <c r="J50" s="123">
        <f t="shared" si="51"/>
        <v>59893.997914677821</v>
      </c>
      <c r="K50" s="123">
        <f t="shared" si="51"/>
        <v>44778.508531459833</v>
      </c>
      <c r="L50" s="123">
        <f t="shared" si="51"/>
        <v>91823.62710841441</v>
      </c>
      <c r="M50" s="123">
        <f t="shared" si="51"/>
        <v>36316.347208847292</v>
      </c>
      <c r="N50" s="123">
        <f t="shared" si="51"/>
        <v>20244.721244680153</v>
      </c>
      <c r="O50" s="123">
        <f t="shared" si="51"/>
        <v>136246.73763634983</v>
      </c>
      <c r="P50" s="123">
        <f t="shared" si="51"/>
        <v>0</v>
      </c>
      <c r="Q50" s="123">
        <f t="shared" ref="Q50" si="53">$E50*Q25</f>
        <v>0</v>
      </c>
      <c r="R50" s="108"/>
      <c r="T50" s="103"/>
    </row>
    <row r="51" spans="2:20" x14ac:dyDescent="0.3">
      <c r="B51" s="24"/>
      <c r="C51" s="121">
        <f t="shared" si="9"/>
        <v>18</v>
      </c>
      <c r="D51" s="121" t="str">
        <f t="shared" si="2"/>
        <v>Tools and Work Equipment</v>
      </c>
      <c r="E51" s="122">
        <f>Assets!H27</f>
        <v>243058.85314581275</v>
      </c>
      <c r="F51" s="123">
        <f t="shared" si="3"/>
        <v>0</v>
      </c>
      <c r="G51" s="123">
        <f t="shared" ref="G51:P51" si="54">$E51*G26</f>
        <v>14991.055014382464</v>
      </c>
      <c r="H51" s="123">
        <f t="shared" si="54"/>
        <v>57806.526945022866</v>
      </c>
      <c r="I51" s="123">
        <f t="shared" ref="I51" si="55">$E51*I26</f>
        <v>0</v>
      </c>
      <c r="J51" s="123">
        <f t="shared" si="54"/>
        <v>31339.309912348581</v>
      </c>
      <c r="K51" s="123">
        <f t="shared" si="54"/>
        <v>134919.49512944216</v>
      </c>
      <c r="L51" s="123">
        <f t="shared" si="54"/>
        <v>4002.4661446166774</v>
      </c>
      <c r="M51" s="123">
        <f t="shared" si="54"/>
        <v>0</v>
      </c>
      <c r="N51" s="123">
        <f t="shared" si="54"/>
        <v>0</v>
      </c>
      <c r="O51" s="123">
        <f t="shared" si="54"/>
        <v>0</v>
      </c>
      <c r="P51" s="123">
        <f t="shared" si="54"/>
        <v>0</v>
      </c>
      <c r="Q51" s="123">
        <f t="shared" ref="Q51" si="56">$E51*Q26</f>
        <v>0</v>
      </c>
      <c r="R51" s="108"/>
      <c r="T51" s="103"/>
    </row>
    <row r="52" spans="2:20" x14ac:dyDescent="0.3">
      <c r="B52" s="24"/>
      <c r="C52" s="121">
        <f t="shared" si="9"/>
        <v>19</v>
      </c>
      <c r="D52" s="121" t="str">
        <f t="shared" si="2"/>
        <v>Vehicle - Heavy Work Equip</v>
      </c>
      <c r="E52" s="122">
        <f>Assets!H28</f>
        <v>17612.115795788759</v>
      </c>
      <c r="F52" s="123">
        <f t="shared" si="3"/>
        <v>0</v>
      </c>
      <c r="G52" s="123">
        <f t="shared" ref="G52:P52" si="57">$E52*G27</f>
        <v>0</v>
      </c>
      <c r="H52" s="123">
        <f t="shared" si="57"/>
        <v>10101.216016162311</v>
      </c>
      <c r="I52" s="123">
        <f t="shared" ref="I52" si="58">$E52*I27</f>
        <v>0</v>
      </c>
      <c r="J52" s="123">
        <f t="shared" si="57"/>
        <v>7510.8997796264475</v>
      </c>
      <c r="K52" s="123">
        <f t="shared" si="57"/>
        <v>0</v>
      </c>
      <c r="L52" s="123">
        <f t="shared" si="57"/>
        <v>0</v>
      </c>
      <c r="M52" s="123">
        <f t="shared" si="57"/>
        <v>0</v>
      </c>
      <c r="N52" s="123">
        <f t="shared" si="57"/>
        <v>0</v>
      </c>
      <c r="O52" s="123">
        <f t="shared" si="57"/>
        <v>0</v>
      </c>
      <c r="P52" s="123">
        <f t="shared" si="57"/>
        <v>0</v>
      </c>
      <c r="Q52" s="123">
        <f t="shared" ref="Q52" si="59">$E52*Q27</f>
        <v>0</v>
      </c>
      <c r="R52" s="108"/>
      <c r="T52" s="103"/>
    </row>
    <row r="53" spans="2:20" x14ac:dyDescent="0.3">
      <c r="B53" s="24"/>
      <c r="C53" s="121">
        <f t="shared" si="9"/>
        <v>20</v>
      </c>
      <c r="D53" s="121" t="str">
        <f t="shared" si="2"/>
        <v>Vehicles - Transportation Equip</v>
      </c>
      <c r="E53" s="122">
        <f>Assets!H29</f>
        <v>325574.49416967668</v>
      </c>
      <c r="F53" s="123">
        <f t="shared" si="3"/>
        <v>0</v>
      </c>
      <c r="G53" s="123">
        <f t="shared" ref="G53:P53" si="60">$E53*G28</f>
        <v>0</v>
      </c>
      <c r="H53" s="123">
        <f t="shared" si="60"/>
        <v>141297.47032117567</v>
      </c>
      <c r="I53" s="123">
        <f t="shared" ref="I53" si="61">$E53*I28</f>
        <v>0</v>
      </c>
      <c r="J53" s="123">
        <f t="shared" si="60"/>
        <v>87339.213046422505</v>
      </c>
      <c r="K53" s="123">
        <f t="shared" si="60"/>
        <v>0</v>
      </c>
      <c r="L53" s="123">
        <f t="shared" si="60"/>
        <v>0</v>
      </c>
      <c r="M53" s="123">
        <f t="shared" si="60"/>
        <v>0</v>
      </c>
      <c r="N53" s="123">
        <f t="shared" si="60"/>
        <v>0</v>
      </c>
      <c r="O53" s="123">
        <f t="shared" si="60"/>
        <v>0</v>
      </c>
      <c r="P53" s="123">
        <f t="shared" si="60"/>
        <v>96937.810802078515</v>
      </c>
      <c r="Q53" s="123">
        <f t="shared" ref="Q53" si="62">$E53*Q28</f>
        <v>0</v>
      </c>
      <c r="R53" s="108"/>
      <c r="T53" s="103"/>
    </row>
    <row r="54" spans="2:20" x14ac:dyDescent="0.3">
      <c r="B54" s="24"/>
      <c r="C54" s="121"/>
      <c r="D54" s="121"/>
      <c r="E54" s="122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08"/>
      <c r="T54" s="103"/>
    </row>
    <row r="55" spans="2:20" x14ac:dyDescent="0.3">
      <c r="B55" s="24"/>
      <c r="C55" s="120"/>
      <c r="D55" s="120" t="s">
        <v>20</v>
      </c>
      <c r="E55" s="124">
        <f>SUM(E34:E54)</f>
        <v>24820942.260376871</v>
      </c>
      <c r="F55" s="124">
        <f t="shared" ref="F55:P55" si="63">SUM(F34:F54)</f>
        <v>0</v>
      </c>
      <c r="G55" s="124">
        <f t="shared" si="63"/>
        <v>1366118.8049959841</v>
      </c>
      <c r="H55" s="124">
        <f t="shared" si="63"/>
        <v>300333.97162865684</v>
      </c>
      <c r="I55" s="124">
        <f t="shared" ref="I55" si="64">SUM(I34:I54)</f>
        <v>10629966.976569345</v>
      </c>
      <c r="J55" s="124">
        <f t="shared" si="63"/>
        <v>4947219.1314959703</v>
      </c>
      <c r="K55" s="124">
        <f t="shared" si="63"/>
        <v>222379.53272628007</v>
      </c>
      <c r="L55" s="124">
        <f t="shared" si="63"/>
        <v>125729.06581614442</v>
      </c>
      <c r="M55" s="124">
        <f t="shared" si="63"/>
        <v>47426.116634037753</v>
      </c>
      <c r="N55" s="124">
        <f t="shared" si="63"/>
        <v>27703.937485975315</v>
      </c>
      <c r="O55" s="124">
        <f t="shared" si="63"/>
        <v>736029.67950754799</v>
      </c>
      <c r="P55" s="124">
        <f t="shared" si="63"/>
        <v>3454483.96568745</v>
      </c>
      <c r="Q55" s="124">
        <f t="shared" ref="Q55" si="65">SUM(Q34:Q54)</f>
        <v>2963551.0778294881</v>
      </c>
      <c r="R55" s="108"/>
      <c r="T55" s="103"/>
    </row>
    <row r="56" spans="2:20" ht="14.5" thickBot="1" x14ac:dyDescent="0.35">
      <c r="B56" s="22"/>
      <c r="C56" s="23"/>
      <c r="D56" s="23"/>
      <c r="E56" s="109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23"/>
      <c r="T56" s="106"/>
    </row>
    <row r="57" spans="2:20" ht="14.5" thickBot="1" x14ac:dyDescent="0.35">
      <c r="E57" s="111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</row>
    <row r="58" spans="2:20" x14ac:dyDescent="0.3">
      <c r="B58" s="20"/>
      <c r="C58" s="21"/>
      <c r="D58" s="21"/>
      <c r="E58" s="112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21"/>
      <c r="T58" s="102"/>
    </row>
    <row r="59" spans="2:20" x14ac:dyDescent="0.3">
      <c r="B59" s="24"/>
      <c r="C59" s="114"/>
      <c r="D59" s="114"/>
      <c r="E59" s="125" t="s">
        <v>47</v>
      </c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08"/>
      <c r="T59" s="103"/>
    </row>
    <row r="60" spans="2:20" x14ac:dyDescent="0.3">
      <c r="B60" s="24"/>
      <c r="C60" s="121"/>
      <c r="D60" s="121" t="str">
        <f t="shared" ref="D60:D79" si="66">D34</f>
        <v>Communication Equipment</v>
      </c>
      <c r="E60" s="122">
        <f>-Assets!K6</f>
        <v>12277.565765760544</v>
      </c>
      <c r="F60" s="123">
        <f t="shared" ref="F60:F79" si="67">$E60*F9</f>
        <v>0</v>
      </c>
      <c r="G60" s="123">
        <f t="shared" ref="G60:P60" si="68">$E60*G9</f>
        <v>0</v>
      </c>
      <c r="H60" s="123">
        <f t="shared" si="68"/>
        <v>0</v>
      </c>
      <c r="I60" s="123">
        <f t="shared" ref="I60" si="69">$E60*I9</f>
        <v>0</v>
      </c>
      <c r="J60" s="123">
        <f t="shared" si="68"/>
        <v>3069.3914414401361</v>
      </c>
      <c r="K60" s="123">
        <f t="shared" si="68"/>
        <v>3069.3914414401361</v>
      </c>
      <c r="L60" s="123">
        <f t="shared" si="68"/>
        <v>0</v>
      </c>
      <c r="M60" s="123">
        <f t="shared" si="68"/>
        <v>0</v>
      </c>
      <c r="N60" s="123">
        <f t="shared" si="68"/>
        <v>0</v>
      </c>
      <c r="O60" s="123">
        <f t="shared" si="68"/>
        <v>6138.7828828802722</v>
      </c>
      <c r="P60" s="123">
        <f t="shared" si="68"/>
        <v>0</v>
      </c>
      <c r="Q60" s="123">
        <f t="shared" ref="Q60" si="70">$E60*Q9</f>
        <v>0</v>
      </c>
      <c r="R60" s="108"/>
      <c r="T60" s="103"/>
    </row>
    <row r="61" spans="2:20" x14ac:dyDescent="0.3">
      <c r="B61" s="24"/>
      <c r="C61" s="121"/>
      <c r="D61" s="121" t="str">
        <f t="shared" si="66"/>
        <v>Computer Equipment</v>
      </c>
      <c r="E61" s="122">
        <f>-Assets!K7</f>
        <v>32628.313559192396</v>
      </c>
      <c r="F61" s="123">
        <f t="shared" si="67"/>
        <v>0</v>
      </c>
      <c r="G61" s="123">
        <f t="shared" ref="G61:P61" si="71">$E61*G10</f>
        <v>170.03220409238094</v>
      </c>
      <c r="H61" s="123">
        <f>$E61*H10</f>
        <v>4792.1144878943596</v>
      </c>
      <c r="I61" s="123">
        <f>$E61*I10</f>
        <v>0</v>
      </c>
      <c r="J61" s="123">
        <f t="shared" si="71"/>
        <v>4840.008040691544</v>
      </c>
      <c r="K61" s="123">
        <f t="shared" si="71"/>
        <v>3334.974434986229</v>
      </c>
      <c r="L61" s="123">
        <f t="shared" si="71"/>
        <v>6230.0016180982238</v>
      </c>
      <c r="M61" s="123">
        <f t="shared" si="71"/>
        <v>2131.0637276083294</v>
      </c>
      <c r="N61" s="123">
        <f t="shared" si="71"/>
        <v>1775.8864396736078</v>
      </c>
      <c r="O61" s="123">
        <f t="shared" si="71"/>
        <v>9354.2326061477179</v>
      </c>
      <c r="P61" s="123">
        <f t="shared" si="71"/>
        <v>0</v>
      </c>
      <c r="Q61" s="123">
        <f t="shared" ref="Q61" si="72">$E61*Q10</f>
        <v>0</v>
      </c>
      <c r="R61" s="108"/>
      <c r="T61" s="103"/>
    </row>
    <row r="62" spans="2:20" x14ac:dyDescent="0.3">
      <c r="B62" s="24"/>
      <c r="C62" s="121"/>
      <c r="D62" s="121" t="str">
        <f t="shared" si="66"/>
        <v>Franchise &amp; Consents</v>
      </c>
      <c r="E62" s="122">
        <f>-Assets!K12</f>
        <v>35232</v>
      </c>
      <c r="F62" s="123">
        <f t="shared" si="67"/>
        <v>0</v>
      </c>
      <c r="G62" s="123">
        <f t="shared" ref="G62:P62" si="73">$E62*G11</f>
        <v>0</v>
      </c>
      <c r="H62" s="123">
        <f t="shared" si="73"/>
        <v>0</v>
      </c>
      <c r="I62" s="123">
        <f t="shared" ref="I62" si="74">$E62*I11</f>
        <v>0</v>
      </c>
      <c r="J62" s="123">
        <f t="shared" si="73"/>
        <v>0</v>
      </c>
      <c r="K62" s="123">
        <f t="shared" si="73"/>
        <v>0</v>
      </c>
      <c r="L62" s="123">
        <f t="shared" si="73"/>
        <v>0</v>
      </c>
      <c r="M62" s="123">
        <f t="shared" si="73"/>
        <v>0</v>
      </c>
      <c r="N62" s="123">
        <f t="shared" si="73"/>
        <v>0</v>
      </c>
      <c r="O62" s="123">
        <f t="shared" si="73"/>
        <v>35232</v>
      </c>
      <c r="P62" s="123">
        <f t="shared" si="73"/>
        <v>0</v>
      </c>
      <c r="Q62" s="123">
        <f t="shared" ref="Q62" si="75">$E62*Q11</f>
        <v>0</v>
      </c>
      <c r="R62" s="108"/>
      <c r="T62" s="103"/>
    </row>
    <row r="63" spans="2:20" x14ac:dyDescent="0.3">
      <c r="B63" s="24"/>
      <c r="C63" s="121"/>
      <c r="D63" s="121" t="str">
        <f t="shared" si="66"/>
        <v>Furnishing / Office Equipment</v>
      </c>
      <c r="E63" s="122">
        <f>-Assets!K13</f>
        <v>7773.9921052461441</v>
      </c>
      <c r="F63" s="123">
        <f t="shared" si="67"/>
        <v>0</v>
      </c>
      <c r="G63" s="123">
        <f t="shared" ref="G63:P63" si="76">$E63*G12</f>
        <v>0</v>
      </c>
      <c r="H63" s="123">
        <f t="shared" si="76"/>
        <v>0</v>
      </c>
      <c r="I63" s="123">
        <f t="shared" ref="I63" si="77">$E63*I12</f>
        <v>0</v>
      </c>
      <c r="J63" s="123">
        <f t="shared" si="76"/>
        <v>0</v>
      </c>
      <c r="K63" s="123">
        <f t="shared" si="76"/>
        <v>0</v>
      </c>
      <c r="L63" s="123">
        <f t="shared" si="76"/>
        <v>0</v>
      </c>
      <c r="M63" s="123">
        <f t="shared" si="76"/>
        <v>0</v>
      </c>
      <c r="N63" s="123">
        <f t="shared" si="76"/>
        <v>0</v>
      </c>
      <c r="O63" s="123">
        <f t="shared" si="76"/>
        <v>7773.9921052461441</v>
      </c>
      <c r="P63" s="123">
        <f t="shared" si="76"/>
        <v>0</v>
      </c>
      <c r="Q63" s="123">
        <f t="shared" ref="Q63" si="78">$E63*Q12</f>
        <v>0</v>
      </c>
      <c r="R63" s="108"/>
      <c r="T63" s="103"/>
    </row>
    <row r="64" spans="2:20" x14ac:dyDescent="0.3">
      <c r="B64" s="24"/>
      <c r="C64" s="121"/>
      <c r="D64" s="121" t="str">
        <f t="shared" si="66"/>
        <v>Land</v>
      </c>
      <c r="E64" s="122">
        <f>-Assets!K14</f>
        <v>0</v>
      </c>
      <c r="F64" s="123">
        <f t="shared" si="67"/>
        <v>0</v>
      </c>
      <c r="G64" s="123">
        <f t="shared" ref="G64:P64" si="79">$E64*G13</f>
        <v>0</v>
      </c>
      <c r="H64" s="123">
        <f t="shared" si="79"/>
        <v>0</v>
      </c>
      <c r="I64" s="123">
        <f t="shared" ref="I64" si="80">$E64*I13</f>
        <v>0</v>
      </c>
      <c r="J64" s="123">
        <f t="shared" si="79"/>
        <v>0</v>
      </c>
      <c r="K64" s="123">
        <f t="shared" si="79"/>
        <v>0</v>
      </c>
      <c r="L64" s="123">
        <f t="shared" si="79"/>
        <v>0</v>
      </c>
      <c r="M64" s="123">
        <f t="shared" si="79"/>
        <v>0</v>
      </c>
      <c r="N64" s="123">
        <f t="shared" si="79"/>
        <v>0</v>
      </c>
      <c r="O64" s="123">
        <f t="shared" si="79"/>
        <v>0</v>
      </c>
      <c r="P64" s="123">
        <f t="shared" si="79"/>
        <v>0</v>
      </c>
      <c r="Q64" s="123">
        <f t="shared" ref="Q64" si="81">$E64*Q13</f>
        <v>0</v>
      </c>
      <c r="R64" s="108"/>
      <c r="T64" s="103"/>
    </row>
    <row r="65" spans="2:20" x14ac:dyDescent="0.3">
      <c r="B65" s="24"/>
      <c r="C65" s="121"/>
      <c r="D65" s="121" t="str">
        <f t="shared" si="66"/>
        <v>Mains - Metallic</v>
      </c>
      <c r="E65" s="122">
        <f>-Assets!K15</f>
        <v>0</v>
      </c>
      <c r="F65" s="123">
        <f t="shared" si="67"/>
        <v>0</v>
      </c>
      <c r="G65" s="123">
        <f t="shared" ref="G65:P65" si="82">$E65*G14</f>
        <v>0</v>
      </c>
      <c r="H65" s="123">
        <f t="shared" si="82"/>
        <v>0</v>
      </c>
      <c r="I65" s="123">
        <f t="shared" ref="I65" si="83">$E65*I14</f>
        <v>0</v>
      </c>
      <c r="J65" s="123">
        <f t="shared" si="82"/>
        <v>0</v>
      </c>
      <c r="K65" s="123">
        <f t="shared" si="82"/>
        <v>0</v>
      </c>
      <c r="L65" s="123">
        <f t="shared" si="82"/>
        <v>0</v>
      </c>
      <c r="M65" s="123">
        <f t="shared" si="82"/>
        <v>0</v>
      </c>
      <c r="N65" s="123">
        <f t="shared" si="82"/>
        <v>0</v>
      </c>
      <c r="O65" s="123">
        <f t="shared" si="82"/>
        <v>0</v>
      </c>
      <c r="P65" s="123">
        <f t="shared" si="82"/>
        <v>0</v>
      </c>
      <c r="Q65" s="123">
        <f t="shared" ref="Q65" si="84">$E65*Q14</f>
        <v>0</v>
      </c>
      <c r="R65" s="108"/>
      <c r="T65" s="103"/>
    </row>
    <row r="66" spans="2:20" x14ac:dyDescent="0.3">
      <c r="B66" s="24"/>
      <c r="C66" s="121"/>
      <c r="D66" s="121" t="str">
        <f t="shared" si="66"/>
        <v>Mains - Metallic (IGPC)</v>
      </c>
      <c r="E66" s="122">
        <f>-Assets!K16</f>
        <v>80257.315631720485</v>
      </c>
      <c r="F66" s="123">
        <f t="shared" si="67"/>
        <v>0</v>
      </c>
      <c r="G66" s="123">
        <f t="shared" ref="G66:P66" si="85">$E66*G15</f>
        <v>0</v>
      </c>
      <c r="H66" s="123">
        <f t="shared" si="85"/>
        <v>0</v>
      </c>
      <c r="I66" s="123">
        <f t="shared" ref="I66" si="86">$E66*I15</f>
        <v>0</v>
      </c>
      <c r="J66" s="123">
        <f t="shared" si="85"/>
        <v>0</v>
      </c>
      <c r="K66" s="123">
        <f t="shared" si="85"/>
        <v>0</v>
      </c>
      <c r="L66" s="123">
        <f t="shared" si="85"/>
        <v>0</v>
      </c>
      <c r="M66" s="123">
        <f t="shared" si="85"/>
        <v>0</v>
      </c>
      <c r="N66" s="123">
        <f t="shared" si="85"/>
        <v>0</v>
      </c>
      <c r="O66" s="123">
        <f t="shared" si="85"/>
        <v>0</v>
      </c>
      <c r="P66" s="123">
        <f t="shared" si="85"/>
        <v>80257.315631720485</v>
      </c>
      <c r="Q66" s="123">
        <f t="shared" ref="Q66" si="87">$E66*Q15</f>
        <v>0</v>
      </c>
      <c r="R66" s="108"/>
      <c r="T66" s="103"/>
    </row>
    <row r="67" spans="2:20" x14ac:dyDescent="0.3">
      <c r="B67" s="24"/>
      <c r="C67" s="121"/>
      <c r="D67" s="121" t="str">
        <f t="shared" si="66"/>
        <v>Mains - Plastic</v>
      </c>
      <c r="E67" s="122">
        <f>-Assets!K17</f>
        <v>351784.78209950833</v>
      </c>
      <c r="F67" s="123">
        <f t="shared" si="67"/>
        <v>0</v>
      </c>
      <c r="G67" s="123">
        <f t="shared" ref="G67:P69" si="88">$E67*G16</f>
        <v>0</v>
      </c>
      <c r="H67" s="123">
        <f t="shared" si="88"/>
        <v>0</v>
      </c>
      <c r="I67" s="123">
        <f t="shared" ref="I67" si="89">$E67*I16</f>
        <v>351784.78209950833</v>
      </c>
      <c r="J67" s="123">
        <f t="shared" si="88"/>
        <v>0</v>
      </c>
      <c r="K67" s="123">
        <f t="shared" si="88"/>
        <v>0</v>
      </c>
      <c r="L67" s="123">
        <f t="shared" si="88"/>
        <v>0</v>
      </c>
      <c r="M67" s="123">
        <f t="shared" si="88"/>
        <v>0</v>
      </c>
      <c r="N67" s="123">
        <f t="shared" si="88"/>
        <v>0</v>
      </c>
      <c r="O67" s="123">
        <f t="shared" si="88"/>
        <v>0</v>
      </c>
      <c r="P67" s="123">
        <f t="shared" si="88"/>
        <v>0</v>
      </c>
      <c r="Q67" s="123">
        <f t="shared" ref="Q67" si="90">$E67*Q16</f>
        <v>0</v>
      </c>
      <c r="R67" s="108"/>
      <c r="T67" s="103"/>
    </row>
    <row r="68" spans="2:20" x14ac:dyDescent="0.3">
      <c r="B68" s="24"/>
      <c r="C68" s="121"/>
      <c r="D68" s="121" t="str">
        <f t="shared" si="66"/>
        <v>Measuring &amp; Regulating Equip</v>
      </c>
      <c r="E68" s="122">
        <f>-Assets!K18</f>
        <v>55025.400510720698</v>
      </c>
      <c r="F68" s="123">
        <f t="shared" si="67"/>
        <v>0</v>
      </c>
      <c r="G68" s="123">
        <f t="shared" ref="G68:P68" si="91">$E68*G17</f>
        <v>55025.400510720698</v>
      </c>
      <c r="H68" s="123">
        <f t="shared" si="91"/>
        <v>0</v>
      </c>
      <c r="I68" s="123">
        <f t="shared" ref="I68" si="92">$E68*I17</f>
        <v>0</v>
      </c>
      <c r="J68" s="123">
        <f t="shared" si="91"/>
        <v>0</v>
      </c>
      <c r="K68" s="123">
        <f t="shared" si="91"/>
        <v>0</v>
      </c>
      <c r="L68" s="123">
        <f t="shared" si="91"/>
        <v>0</v>
      </c>
      <c r="M68" s="123">
        <f t="shared" si="91"/>
        <v>0</v>
      </c>
      <c r="N68" s="123">
        <f t="shared" si="91"/>
        <v>0</v>
      </c>
      <c r="O68" s="123">
        <f t="shared" si="91"/>
        <v>0</v>
      </c>
      <c r="P68" s="123">
        <f t="shared" si="91"/>
        <v>0</v>
      </c>
      <c r="Q68" s="123">
        <f t="shared" ref="Q68" si="93">$E68*Q17</f>
        <v>0</v>
      </c>
      <c r="R68" s="108"/>
      <c r="T68" s="103"/>
    </row>
    <row r="69" spans="2:20" x14ac:dyDescent="0.3">
      <c r="B69" s="24"/>
      <c r="C69" s="121"/>
      <c r="D69" s="121" t="str">
        <f t="shared" si="66"/>
        <v>Measuring &amp; Regulating Equip (IGPC)</v>
      </c>
      <c r="E69" s="122">
        <f>-Assets!K19</f>
        <v>21086.59</v>
      </c>
      <c r="F69" s="123">
        <f t="shared" si="67"/>
        <v>0</v>
      </c>
      <c r="G69" s="123">
        <f t="shared" si="88"/>
        <v>0</v>
      </c>
      <c r="H69" s="123">
        <f t="shared" si="88"/>
        <v>0</v>
      </c>
      <c r="I69" s="123">
        <f t="shared" ref="I69" si="94">$E69*I18</f>
        <v>0</v>
      </c>
      <c r="J69" s="123">
        <f t="shared" si="88"/>
        <v>0</v>
      </c>
      <c r="K69" s="123">
        <f t="shared" si="88"/>
        <v>0</v>
      </c>
      <c r="L69" s="123">
        <f t="shared" si="88"/>
        <v>0</v>
      </c>
      <c r="M69" s="123">
        <f t="shared" si="88"/>
        <v>0</v>
      </c>
      <c r="N69" s="123">
        <f t="shared" si="88"/>
        <v>0</v>
      </c>
      <c r="O69" s="123">
        <f t="shared" si="88"/>
        <v>0</v>
      </c>
      <c r="P69" s="123">
        <f>$E69*P18</f>
        <v>21086.59</v>
      </c>
      <c r="Q69" s="123">
        <f t="shared" ref="Q69" si="95">$E69*Q18</f>
        <v>0</v>
      </c>
      <c r="R69" s="108"/>
      <c r="T69" s="103"/>
    </row>
    <row r="70" spans="2:20" x14ac:dyDescent="0.3">
      <c r="B70" s="24"/>
      <c r="C70" s="121"/>
      <c r="D70" s="121" t="str">
        <f t="shared" si="66"/>
        <v>Meters - Commercial</v>
      </c>
      <c r="E70" s="122">
        <f>-Assets!K20</f>
        <v>89746.799810085897</v>
      </c>
      <c r="F70" s="123">
        <f t="shared" si="67"/>
        <v>0</v>
      </c>
      <c r="G70" s="123">
        <f t="shared" ref="G70:P70" si="96">$E70*G19</f>
        <v>0</v>
      </c>
      <c r="H70" s="123">
        <f t="shared" si="96"/>
        <v>0</v>
      </c>
      <c r="I70" s="123">
        <f t="shared" ref="I70" si="97">$E70*I19</f>
        <v>0</v>
      </c>
      <c r="J70" s="123">
        <f t="shared" si="96"/>
        <v>0</v>
      </c>
      <c r="K70" s="123">
        <f t="shared" si="96"/>
        <v>0</v>
      </c>
      <c r="L70" s="123">
        <f t="shared" si="96"/>
        <v>0</v>
      </c>
      <c r="M70" s="123">
        <f t="shared" si="96"/>
        <v>0</v>
      </c>
      <c r="N70" s="123">
        <f t="shared" si="96"/>
        <v>0</v>
      </c>
      <c r="O70" s="123">
        <f t="shared" si="96"/>
        <v>0</v>
      </c>
      <c r="P70" s="123">
        <f t="shared" si="96"/>
        <v>0</v>
      </c>
      <c r="Q70" s="123">
        <f t="shared" ref="Q70" si="98">$E70*Q19</f>
        <v>89746.799810085897</v>
      </c>
      <c r="R70" s="108"/>
      <c r="T70" s="103"/>
    </row>
    <row r="71" spans="2:20" x14ac:dyDescent="0.3">
      <c r="B71" s="24"/>
      <c r="C71" s="121"/>
      <c r="D71" s="121" t="str">
        <f t="shared" si="66"/>
        <v>Meters - IGPC</v>
      </c>
      <c r="E71" s="122">
        <f>-Assets!K21</f>
        <v>0</v>
      </c>
      <c r="F71" s="123">
        <f t="shared" si="67"/>
        <v>0</v>
      </c>
      <c r="G71" s="123">
        <f t="shared" ref="G71:P71" si="99">$E71*G20</f>
        <v>0</v>
      </c>
      <c r="H71" s="123">
        <f t="shared" si="99"/>
        <v>0</v>
      </c>
      <c r="I71" s="123">
        <f t="shared" ref="I71" si="100">$E71*I20</f>
        <v>0</v>
      </c>
      <c r="J71" s="123">
        <f t="shared" si="99"/>
        <v>0</v>
      </c>
      <c r="K71" s="123">
        <f t="shared" si="99"/>
        <v>0</v>
      </c>
      <c r="L71" s="123">
        <f t="shared" si="99"/>
        <v>0</v>
      </c>
      <c r="M71" s="123">
        <f t="shared" si="99"/>
        <v>0</v>
      </c>
      <c r="N71" s="123">
        <f t="shared" si="99"/>
        <v>0</v>
      </c>
      <c r="O71" s="123">
        <f t="shared" si="99"/>
        <v>0</v>
      </c>
      <c r="P71" s="123">
        <f t="shared" si="99"/>
        <v>0</v>
      </c>
      <c r="Q71" s="123">
        <f t="shared" ref="Q71" si="101">$E71*Q20</f>
        <v>0</v>
      </c>
      <c r="R71" s="108"/>
      <c r="T71" s="103"/>
    </row>
    <row r="72" spans="2:20" x14ac:dyDescent="0.3">
      <c r="B72" s="24"/>
      <c r="C72" s="121"/>
      <c r="D72" s="121" t="str">
        <f t="shared" si="66"/>
        <v>Meters - Residential</v>
      </c>
      <c r="E72" s="122">
        <f>-Assets!K22</f>
        <v>293692.54285961087</v>
      </c>
      <c r="F72" s="123">
        <f t="shared" si="67"/>
        <v>0</v>
      </c>
      <c r="G72" s="123">
        <f t="shared" ref="G72:P72" si="102">$E72*G21</f>
        <v>0</v>
      </c>
      <c r="H72" s="123">
        <f t="shared" si="102"/>
        <v>0</v>
      </c>
      <c r="I72" s="123">
        <f t="shared" ref="I72" si="103">$E72*I21</f>
        <v>0</v>
      </c>
      <c r="J72" s="123">
        <f t="shared" si="102"/>
        <v>0</v>
      </c>
      <c r="K72" s="123">
        <f t="shared" si="102"/>
        <v>0</v>
      </c>
      <c r="L72" s="123">
        <f t="shared" si="102"/>
        <v>0</v>
      </c>
      <c r="M72" s="123">
        <f t="shared" si="102"/>
        <v>0</v>
      </c>
      <c r="N72" s="123">
        <f t="shared" si="102"/>
        <v>0</v>
      </c>
      <c r="O72" s="123">
        <f t="shared" si="102"/>
        <v>0</v>
      </c>
      <c r="P72" s="123">
        <f t="shared" si="102"/>
        <v>0</v>
      </c>
      <c r="Q72" s="123">
        <f t="shared" ref="Q72" si="104">$E72*Q21</f>
        <v>293692.54285961087</v>
      </c>
      <c r="R72" s="108"/>
      <c r="T72" s="103"/>
    </row>
    <row r="73" spans="2:20" x14ac:dyDescent="0.3">
      <c r="B73" s="24"/>
      <c r="C73" s="121"/>
      <c r="D73" s="121" t="str">
        <f t="shared" si="66"/>
        <v>Regulators</v>
      </c>
      <c r="E73" s="122">
        <f>-Assets!K23</f>
        <v>43413.033739627303</v>
      </c>
      <c r="F73" s="123">
        <f t="shared" si="67"/>
        <v>0</v>
      </c>
      <c r="G73" s="123">
        <f t="shared" ref="G73:P73" si="105">$E73*G22</f>
        <v>0</v>
      </c>
      <c r="H73" s="123">
        <f t="shared" si="105"/>
        <v>0</v>
      </c>
      <c r="I73" s="123">
        <f t="shared" ref="I73" si="106">$E73*I22</f>
        <v>0</v>
      </c>
      <c r="J73" s="123">
        <f t="shared" si="105"/>
        <v>43413.033739627303</v>
      </c>
      <c r="K73" s="123">
        <f t="shared" si="105"/>
        <v>0</v>
      </c>
      <c r="L73" s="123">
        <f t="shared" si="105"/>
        <v>0</v>
      </c>
      <c r="M73" s="123">
        <f t="shared" si="105"/>
        <v>0</v>
      </c>
      <c r="N73" s="123">
        <f t="shared" si="105"/>
        <v>0</v>
      </c>
      <c r="O73" s="123">
        <f t="shared" si="105"/>
        <v>0</v>
      </c>
      <c r="P73" s="123">
        <f t="shared" si="105"/>
        <v>0</v>
      </c>
      <c r="Q73" s="123">
        <f t="shared" ref="Q73" si="107">$E73*Q22</f>
        <v>0</v>
      </c>
      <c r="R73" s="108"/>
      <c r="T73" s="103"/>
    </row>
    <row r="74" spans="2:20" x14ac:dyDescent="0.3">
      <c r="B74" s="24"/>
      <c r="C74" s="121"/>
      <c r="D74" s="121" t="str">
        <f t="shared" si="66"/>
        <v>Services - Plastic</v>
      </c>
      <c r="E74" s="122">
        <f>-Assets!K24</f>
        <v>108979.79798746912</v>
      </c>
      <c r="F74" s="123">
        <f t="shared" si="67"/>
        <v>0</v>
      </c>
      <c r="G74" s="123">
        <f t="shared" ref="G74:P74" si="108">$E74*G23</f>
        <v>0</v>
      </c>
      <c r="H74" s="123">
        <f t="shared" si="108"/>
        <v>0</v>
      </c>
      <c r="I74" s="123">
        <f t="shared" ref="I74" si="109">$E74*I23</f>
        <v>0</v>
      </c>
      <c r="J74" s="123">
        <f t="shared" si="108"/>
        <v>108979.79798746912</v>
      </c>
      <c r="K74" s="123">
        <f t="shared" si="108"/>
        <v>0</v>
      </c>
      <c r="L74" s="123">
        <f t="shared" si="108"/>
        <v>0</v>
      </c>
      <c r="M74" s="123">
        <f t="shared" si="108"/>
        <v>0</v>
      </c>
      <c r="N74" s="123">
        <f t="shared" si="108"/>
        <v>0</v>
      </c>
      <c r="O74" s="123">
        <f t="shared" si="108"/>
        <v>0</v>
      </c>
      <c r="P74" s="123">
        <f t="shared" si="108"/>
        <v>0</v>
      </c>
      <c r="Q74" s="123">
        <f t="shared" ref="Q74" si="110">$E74*Q23</f>
        <v>0</v>
      </c>
      <c r="R74" s="108"/>
      <c r="T74" s="103"/>
    </row>
    <row r="75" spans="2:20" x14ac:dyDescent="0.3">
      <c r="B75" s="24"/>
      <c r="C75" s="121"/>
      <c r="D75" s="121" t="str">
        <f t="shared" si="66"/>
        <v>Software - Acquired</v>
      </c>
      <c r="E75" s="122">
        <f>-Assets!K25</f>
        <v>43063.906066882832</v>
      </c>
      <c r="F75" s="123">
        <f t="shared" si="67"/>
        <v>0</v>
      </c>
      <c r="G75" s="123">
        <f t="shared" ref="G75:P75" si="111">$E75*G24</f>
        <v>0</v>
      </c>
      <c r="H75" s="123">
        <f t="shared" si="111"/>
        <v>0</v>
      </c>
      <c r="I75" s="123">
        <f t="shared" ref="I75" si="112">$E75*I24</f>
        <v>0</v>
      </c>
      <c r="J75" s="123">
        <f t="shared" si="111"/>
        <v>0</v>
      </c>
      <c r="K75" s="123">
        <f t="shared" si="111"/>
        <v>0</v>
      </c>
      <c r="L75" s="123">
        <f t="shared" si="111"/>
        <v>0</v>
      </c>
      <c r="M75" s="123">
        <f t="shared" si="111"/>
        <v>0</v>
      </c>
      <c r="N75" s="123">
        <f t="shared" si="111"/>
        <v>0</v>
      </c>
      <c r="O75" s="123">
        <f t="shared" si="111"/>
        <v>43063.906066882832</v>
      </c>
      <c r="P75" s="123">
        <f t="shared" si="111"/>
        <v>0</v>
      </c>
      <c r="Q75" s="123">
        <f t="shared" ref="Q75" si="113">$E75*Q24</f>
        <v>0</v>
      </c>
      <c r="R75" s="108"/>
      <c r="T75" s="103"/>
    </row>
    <row r="76" spans="2:20" x14ac:dyDescent="0.3">
      <c r="B76" s="24"/>
      <c r="C76" s="121"/>
      <c r="D76" s="121" t="str">
        <f t="shared" si="66"/>
        <v>Structures &amp; Improvements</v>
      </c>
      <c r="E76" s="122">
        <f>-Assets!K26</f>
        <v>13038.4100908949</v>
      </c>
      <c r="F76" s="123">
        <f t="shared" si="67"/>
        <v>0</v>
      </c>
      <c r="G76" s="123">
        <f t="shared" ref="G76:P76" si="114">$E76*G25</f>
        <v>71.23889154937018</v>
      </c>
      <c r="H76" s="123">
        <f t="shared" si="114"/>
        <v>1940.4474798766062</v>
      </c>
      <c r="I76" s="123">
        <f t="shared" ref="I76" si="115">$E76*I25</f>
        <v>0</v>
      </c>
      <c r="J76" s="123">
        <f t="shared" si="114"/>
        <v>1696.4497406905464</v>
      </c>
      <c r="K76" s="123">
        <f t="shared" si="114"/>
        <v>1268.3155546724381</v>
      </c>
      <c r="L76" s="123">
        <f t="shared" si="114"/>
        <v>2600.8310318380086</v>
      </c>
      <c r="M76" s="123">
        <f t="shared" si="114"/>
        <v>1028.6315816326357</v>
      </c>
      <c r="N76" s="123">
        <f t="shared" si="114"/>
        <v>573.41558923508683</v>
      </c>
      <c r="O76" s="123">
        <f t="shared" si="114"/>
        <v>3859.0802214002097</v>
      </c>
      <c r="P76" s="123">
        <f t="shared" si="114"/>
        <v>0</v>
      </c>
      <c r="Q76" s="123">
        <f t="shared" ref="Q76" si="116">$E76*Q25</f>
        <v>0</v>
      </c>
      <c r="R76" s="108"/>
      <c r="T76" s="103"/>
    </row>
    <row r="77" spans="2:20" x14ac:dyDescent="0.3">
      <c r="B77" s="24"/>
      <c r="C77" s="121"/>
      <c r="D77" s="121" t="str">
        <f t="shared" si="66"/>
        <v>Tools and Work Equipment</v>
      </c>
      <c r="E77" s="122">
        <f>-Assets!K27</f>
        <v>27043.069013902674</v>
      </c>
      <c r="F77" s="123">
        <f t="shared" si="67"/>
        <v>0</v>
      </c>
      <c r="G77" s="123">
        <f t="shared" ref="G77:P77" si="117">$E77*G26</f>
        <v>1667.9258134323206</v>
      </c>
      <c r="H77" s="123">
        <f t="shared" si="117"/>
        <v>6431.635290776524</v>
      </c>
      <c r="I77" s="123">
        <f t="shared" ref="I77" si="118">$E77*I26</f>
        <v>0</v>
      </c>
      <c r="J77" s="123">
        <f t="shared" si="117"/>
        <v>3486.8555900710139</v>
      </c>
      <c r="K77" s="123">
        <f t="shared" si="117"/>
        <v>15011.332320890886</v>
      </c>
      <c r="L77" s="123">
        <f t="shared" si="117"/>
        <v>445.3199987319303</v>
      </c>
      <c r="M77" s="123">
        <f t="shared" si="117"/>
        <v>0</v>
      </c>
      <c r="N77" s="123">
        <f t="shared" si="117"/>
        <v>0</v>
      </c>
      <c r="O77" s="123">
        <f t="shared" si="117"/>
        <v>0</v>
      </c>
      <c r="P77" s="123">
        <f t="shared" si="117"/>
        <v>0</v>
      </c>
      <c r="Q77" s="123">
        <f t="shared" ref="Q77" si="119">$E77*Q26</f>
        <v>0</v>
      </c>
      <c r="R77" s="108"/>
      <c r="T77" s="103"/>
    </row>
    <row r="78" spans="2:20" x14ac:dyDescent="0.3">
      <c r="B78" s="24"/>
      <c r="C78" s="121"/>
      <c r="D78" s="121" t="str">
        <f t="shared" si="66"/>
        <v>Vehicle - Heavy Work Equip</v>
      </c>
      <c r="E78" s="122">
        <f>-Assets!K28</f>
        <v>2335.2694694741599</v>
      </c>
      <c r="F78" s="123">
        <f t="shared" si="67"/>
        <v>0</v>
      </c>
      <c r="G78" s="123">
        <f t="shared" ref="G78:P78" si="120">$E78*G27</f>
        <v>0</v>
      </c>
      <c r="H78" s="123">
        <f t="shared" si="120"/>
        <v>1339.3655617883026</v>
      </c>
      <c r="I78" s="123">
        <f t="shared" ref="I78" si="121">$E78*I27</f>
        <v>0</v>
      </c>
      <c r="J78" s="123">
        <f t="shared" si="120"/>
        <v>995.90390768585735</v>
      </c>
      <c r="K78" s="123">
        <f t="shared" si="120"/>
        <v>0</v>
      </c>
      <c r="L78" s="123">
        <f t="shared" si="120"/>
        <v>0</v>
      </c>
      <c r="M78" s="123">
        <f t="shared" si="120"/>
        <v>0</v>
      </c>
      <c r="N78" s="123">
        <f t="shared" si="120"/>
        <v>0</v>
      </c>
      <c r="O78" s="123">
        <f t="shared" si="120"/>
        <v>0</v>
      </c>
      <c r="P78" s="123">
        <f t="shared" si="120"/>
        <v>0</v>
      </c>
      <c r="Q78" s="123">
        <f t="shared" ref="Q78" si="122">$E78*Q27</f>
        <v>0</v>
      </c>
      <c r="R78" s="108"/>
      <c r="T78" s="103"/>
    </row>
    <row r="79" spans="2:20" x14ac:dyDescent="0.3">
      <c r="B79" s="24"/>
      <c r="C79" s="121"/>
      <c r="D79" s="121" t="str">
        <f t="shared" si="66"/>
        <v>Vehicles - Transportation Equip</v>
      </c>
      <c r="E79" s="122">
        <f>-Assets!K29</f>
        <v>85328.385482700702</v>
      </c>
      <c r="F79" s="123">
        <f t="shared" si="67"/>
        <v>0</v>
      </c>
      <c r="G79" s="123">
        <f t="shared" ref="G79:P79" si="123">$E79*G28</f>
        <v>0</v>
      </c>
      <c r="H79" s="123">
        <f t="shared" si="123"/>
        <v>37032.031781372491</v>
      </c>
      <c r="I79" s="123">
        <f t="shared" ref="I79" si="124">$E79*I28</f>
        <v>0</v>
      </c>
      <c r="J79" s="123">
        <f t="shared" si="123"/>
        <v>22890.349741883969</v>
      </c>
      <c r="K79" s="123">
        <f t="shared" si="123"/>
        <v>0</v>
      </c>
      <c r="L79" s="123">
        <f t="shared" si="123"/>
        <v>0</v>
      </c>
      <c r="M79" s="123">
        <f t="shared" si="123"/>
        <v>0</v>
      </c>
      <c r="N79" s="123">
        <f t="shared" si="123"/>
        <v>0</v>
      </c>
      <c r="O79" s="123">
        <f t="shared" si="123"/>
        <v>0</v>
      </c>
      <c r="P79" s="123">
        <f t="shared" si="123"/>
        <v>25406.003959444246</v>
      </c>
      <c r="Q79" s="123">
        <f t="shared" ref="Q79" si="125">$E79*Q28</f>
        <v>0</v>
      </c>
      <c r="R79" s="108"/>
      <c r="T79" s="103"/>
    </row>
    <row r="80" spans="2:20" x14ac:dyDescent="0.3">
      <c r="B80" s="24"/>
      <c r="C80" s="121"/>
      <c r="D80" s="121"/>
      <c r="E80" s="122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08"/>
      <c r="T80" s="103"/>
    </row>
    <row r="81" spans="2:20" x14ac:dyDescent="0.3">
      <c r="B81" s="24"/>
      <c r="C81" s="120"/>
      <c r="D81" s="120" t="str">
        <f>D55</f>
        <v>Total</v>
      </c>
      <c r="E81" s="124">
        <f>SUM(E60:E80)</f>
        <v>1302707.1741927972</v>
      </c>
      <c r="F81" s="124">
        <f t="shared" ref="F81:P81" si="126">SUM(F60:F80)</f>
        <v>0</v>
      </c>
      <c r="G81" s="124">
        <f t="shared" si="126"/>
        <v>56934.597419794765</v>
      </c>
      <c r="H81" s="124">
        <f t="shared" si="126"/>
        <v>51535.594601708282</v>
      </c>
      <c r="I81" s="124">
        <f t="shared" ref="I81" si="127">SUM(I60:I80)</f>
        <v>351784.78209950833</v>
      </c>
      <c r="J81" s="124">
        <f t="shared" si="126"/>
        <v>189371.79018955951</v>
      </c>
      <c r="K81" s="124">
        <f t="shared" si="126"/>
        <v>22684.013751989689</v>
      </c>
      <c r="L81" s="124">
        <f t="shared" si="126"/>
        <v>9276.1526486681614</v>
      </c>
      <c r="M81" s="124">
        <f t="shared" si="126"/>
        <v>3159.6953092409649</v>
      </c>
      <c r="N81" s="124">
        <f t="shared" si="126"/>
        <v>2349.3020289086944</v>
      </c>
      <c r="O81" s="124">
        <f t="shared" si="126"/>
        <v>105421.99388255716</v>
      </c>
      <c r="P81" s="124">
        <f t="shared" si="126"/>
        <v>126749.90959116473</v>
      </c>
      <c r="Q81" s="124">
        <f t="shared" ref="Q81" si="128">SUM(Q60:Q80)</f>
        <v>383439.34266969678</v>
      </c>
      <c r="R81" s="108"/>
      <c r="T81" s="103"/>
    </row>
    <row r="82" spans="2:20" ht="14.5" thickBot="1" x14ac:dyDescent="0.35">
      <c r="B82" s="22"/>
      <c r="C82" s="23"/>
      <c r="D82" s="23"/>
      <c r="E82" s="109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106"/>
    </row>
    <row r="83" spans="2:20" x14ac:dyDescent="0.3">
      <c r="E83" s="111"/>
    </row>
  </sheetData>
  <sheetProtection sheet="1" objects="1" scenarios="1"/>
  <mergeCells count="7">
    <mergeCell ref="J7:K7"/>
    <mergeCell ref="L7:O7"/>
    <mergeCell ref="P7:P8"/>
    <mergeCell ref="G6:I6"/>
    <mergeCell ref="G7:I7"/>
    <mergeCell ref="J6:K6"/>
    <mergeCell ref="L6:O6"/>
  </mergeCells>
  <pageMargins left="0.7" right="0.7" top="0.75" bottom="0.75" header="0.3" footer="0.3"/>
  <pageSetup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7" tint="0.79998168889431442"/>
    <pageSetUpPr fitToPage="1"/>
  </sheetPr>
  <dimension ref="A1:V73"/>
  <sheetViews>
    <sheetView showGridLines="0" zoomScale="80" zoomScaleNormal="80" workbookViewId="0">
      <pane xSplit="3" ySplit="9" topLeftCell="D10" activePane="bottomRight" state="frozen"/>
      <selection pane="topRight" activeCell="D1" sqref="D1"/>
      <selection pane="bottomLeft" activeCell="A7" sqref="A7"/>
      <selection pane="bottomRight" activeCell="F73" sqref="F73"/>
    </sheetView>
  </sheetViews>
  <sheetFormatPr defaultColWidth="9" defaultRowHeight="14.5" x14ac:dyDescent="0.35"/>
  <cols>
    <col min="2" max="2" width="32.90625" customWidth="1"/>
    <col min="3" max="3" width="12.7265625" bestFit="1" customWidth="1"/>
    <col min="4" max="4" width="12.7265625" customWidth="1"/>
    <col min="5" max="9" width="15.26953125" customWidth="1"/>
    <col min="10" max="10" width="14.453125" customWidth="1"/>
    <col min="11" max="16" width="15.26953125" customWidth="1"/>
    <col min="17" max="17" width="10.08984375" customWidth="1"/>
    <col min="20" max="20" width="44.453125" customWidth="1"/>
    <col min="21" max="21" width="18" customWidth="1"/>
  </cols>
  <sheetData>
    <row r="1" spans="1:21" x14ac:dyDescent="0.35">
      <c r="A1" s="7" t="s">
        <v>266</v>
      </c>
    </row>
    <row r="2" spans="1:21" x14ac:dyDescent="0.35">
      <c r="A2" s="7" t="s">
        <v>265</v>
      </c>
    </row>
    <row r="3" spans="1:21" x14ac:dyDescent="0.35">
      <c r="A3" s="7" t="s">
        <v>267</v>
      </c>
    </row>
    <row r="4" spans="1:21" x14ac:dyDescent="0.35">
      <c r="A4" s="7" t="str">
        <f ca="1">MID(CELL("filename",A1),FIND("]",CELL("filename",A1))+1,255)</f>
        <v>OM&amp;A Functionalization</v>
      </c>
    </row>
    <row r="5" spans="1:21" ht="15" thickBot="1" x14ac:dyDescent="0.4"/>
    <row r="6" spans="1:21" x14ac:dyDescent="0.35">
      <c r="A6" s="38"/>
      <c r="B6" s="66"/>
      <c r="C6" s="67"/>
      <c r="D6" s="160"/>
      <c r="E6" s="379"/>
      <c r="F6" s="379"/>
      <c r="G6" s="379"/>
      <c r="H6" s="241"/>
      <c r="I6" s="242"/>
      <c r="J6" s="241"/>
      <c r="K6" s="243"/>
      <c r="L6" s="243"/>
      <c r="M6" s="242"/>
      <c r="N6" s="162"/>
      <c r="O6" s="161"/>
      <c r="P6" s="161"/>
      <c r="Q6" s="68"/>
    </row>
    <row r="7" spans="1:21" x14ac:dyDescent="0.35">
      <c r="A7" s="38"/>
      <c r="B7" s="57"/>
      <c r="C7" s="64"/>
      <c r="D7" s="163"/>
      <c r="E7" s="380" t="s">
        <v>46</v>
      </c>
      <c r="F7" s="380"/>
      <c r="G7" s="380"/>
      <c r="H7" s="373" t="s">
        <v>154</v>
      </c>
      <c r="I7" s="375"/>
      <c r="J7" s="373" t="s">
        <v>153</v>
      </c>
      <c r="K7" s="374"/>
      <c r="L7" s="374"/>
      <c r="M7" s="375"/>
      <c r="N7" s="371" t="s">
        <v>26</v>
      </c>
      <c r="O7" s="165"/>
      <c r="P7" s="165"/>
      <c r="Q7" s="69"/>
    </row>
    <row r="8" spans="1:21" x14ac:dyDescent="0.35">
      <c r="A8" s="38"/>
      <c r="B8" s="57"/>
      <c r="C8" s="64"/>
      <c r="D8" s="163"/>
      <c r="E8" s="325" t="s">
        <v>24</v>
      </c>
      <c r="F8" s="325"/>
      <c r="G8" s="325"/>
      <c r="H8" s="164"/>
      <c r="I8" s="164"/>
      <c r="J8" s="381" t="s">
        <v>48</v>
      </c>
      <c r="K8" s="165"/>
      <c r="L8" s="164" t="s">
        <v>25</v>
      </c>
      <c r="M8" s="165" t="s">
        <v>24</v>
      </c>
      <c r="N8" s="371"/>
      <c r="O8" s="165" t="s">
        <v>27</v>
      </c>
      <c r="P8" s="165" t="s">
        <v>28</v>
      </c>
      <c r="Q8" s="69"/>
    </row>
    <row r="9" spans="1:21" ht="15.65" customHeight="1" thickBot="1" x14ac:dyDescent="0.4">
      <c r="A9" s="38"/>
      <c r="B9" s="57"/>
      <c r="C9" s="64"/>
      <c r="D9" s="166" t="s">
        <v>23</v>
      </c>
      <c r="E9" s="167" t="s">
        <v>117</v>
      </c>
      <c r="F9" s="167" t="s">
        <v>29</v>
      </c>
      <c r="G9" s="167" t="s">
        <v>226</v>
      </c>
      <c r="H9" s="167" t="s">
        <v>30</v>
      </c>
      <c r="I9" s="167" t="s">
        <v>31</v>
      </c>
      <c r="J9" s="382"/>
      <c r="K9" s="167" t="s">
        <v>32</v>
      </c>
      <c r="L9" s="168" t="s">
        <v>33</v>
      </c>
      <c r="M9" s="167" t="s">
        <v>34</v>
      </c>
      <c r="N9" s="372"/>
      <c r="O9" s="167" t="s">
        <v>35</v>
      </c>
      <c r="P9" s="167" t="s">
        <v>30</v>
      </c>
      <c r="Q9" s="69"/>
    </row>
    <row r="10" spans="1:21" x14ac:dyDescent="0.35">
      <c r="A10" s="38"/>
      <c r="B10" s="57" t="str">
        <f>'Trial Balance'!D40</f>
        <v>Employee Salaries</v>
      </c>
      <c r="C10" s="58">
        <f>'Trial Balance'!E40</f>
        <v>1811707.0689999999</v>
      </c>
      <c r="D10" s="169"/>
      <c r="E10" s="169">
        <v>2.008434994336826E-2</v>
      </c>
      <c r="F10" s="169">
        <v>0.19516481786770276</v>
      </c>
      <c r="G10" s="169"/>
      <c r="H10" s="169">
        <v>8.6071922968820436E-2</v>
      </c>
      <c r="I10" s="169">
        <v>0.26208519533902586</v>
      </c>
      <c r="J10" s="169">
        <v>0.20681338281162723</v>
      </c>
      <c r="K10" s="169">
        <v>0</v>
      </c>
      <c r="L10" s="169">
        <v>0</v>
      </c>
      <c r="M10" s="169">
        <v>0.2297803310694555</v>
      </c>
      <c r="N10" s="169"/>
      <c r="O10" s="169"/>
      <c r="P10" s="169"/>
      <c r="Q10" s="170">
        <f>SUM(D10:P10)</f>
        <v>1</v>
      </c>
    </row>
    <row r="11" spans="1:21" ht="15" thickBot="1" x14ac:dyDescent="0.4">
      <c r="A11" s="38"/>
      <c r="B11" s="57" t="str">
        <f>'Trial Balance'!D41</f>
        <v>Employee Benefits</v>
      </c>
      <c r="C11" s="58">
        <f>'Trial Balance'!E41</f>
        <v>445202.15</v>
      </c>
      <c r="D11" s="169"/>
      <c r="E11" s="169">
        <v>2.008434994336826E-2</v>
      </c>
      <c r="F11" s="169">
        <v>0.19516481786770276</v>
      </c>
      <c r="G11" s="169"/>
      <c r="H11" s="169">
        <v>8.6071922968820436E-2</v>
      </c>
      <c r="I11" s="169">
        <v>0.26208519533902586</v>
      </c>
      <c r="J11" s="169">
        <v>0.20681338281162723</v>
      </c>
      <c r="K11" s="169">
        <v>0</v>
      </c>
      <c r="L11" s="169">
        <v>0</v>
      </c>
      <c r="M11" s="169">
        <v>0.2297803310694555</v>
      </c>
      <c r="N11" s="169"/>
      <c r="O11" s="169"/>
      <c r="P11" s="169"/>
      <c r="Q11" s="170">
        <f t="shared" ref="Q11:Q37" si="0">SUM(D11:P11)</f>
        <v>1</v>
      </c>
    </row>
    <row r="12" spans="1:21" x14ac:dyDescent="0.35">
      <c r="A12" s="38"/>
      <c r="B12" s="57" t="str">
        <f>'Trial Balance'!D42</f>
        <v>Capital Recoveries</v>
      </c>
      <c r="C12" s="58">
        <f>'Trial Balance'!E42</f>
        <v>-419295.527</v>
      </c>
      <c r="D12" s="169"/>
      <c r="E12" s="169"/>
      <c r="F12" s="169"/>
      <c r="G12" s="169"/>
      <c r="H12" s="169"/>
      <c r="I12" s="169"/>
      <c r="J12" s="169"/>
      <c r="K12" s="169"/>
      <c r="L12" s="169"/>
      <c r="M12" s="169">
        <v>1</v>
      </c>
      <c r="N12" s="169"/>
      <c r="O12" s="169"/>
      <c r="P12" s="169"/>
      <c r="Q12" s="170">
        <f t="shared" si="0"/>
        <v>1</v>
      </c>
      <c r="T12" s="1"/>
      <c r="U12" s="37"/>
    </row>
    <row r="13" spans="1:21" x14ac:dyDescent="0.35">
      <c r="A13" s="38"/>
      <c r="B13" s="57" t="str">
        <f>'Trial Balance'!D43</f>
        <v>Operating Recoveries &amp; Burden</v>
      </c>
      <c r="C13" s="58">
        <f>'Trial Balance'!E43</f>
        <v>-502054.13660067396</v>
      </c>
      <c r="D13" s="169"/>
      <c r="E13" s="169"/>
      <c r="F13" s="169"/>
      <c r="G13" s="169"/>
      <c r="H13" s="169"/>
      <c r="I13" s="169"/>
      <c r="J13" s="169"/>
      <c r="K13" s="169"/>
      <c r="L13" s="169"/>
      <c r="M13" s="169">
        <v>1</v>
      </c>
      <c r="N13" s="169"/>
      <c r="O13" s="169"/>
      <c r="P13" s="169"/>
      <c r="Q13" s="170">
        <f t="shared" si="0"/>
        <v>1</v>
      </c>
      <c r="T13" s="145" t="s">
        <v>1</v>
      </c>
      <c r="U13" s="146">
        <f>'Trial Balance'!E44</f>
        <v>1085178.45</v>
      </c>
    </row>
    <row r="14" spans="1:21" x14ac:dyDescent="0.35">
      <c r="A14" s="38"/>
      <c r="B14" s="57" t="str">
        <f>'Trial Balance'!D44</f>
        <v>Ontario Affiliate Services</v>
      </c>
      <c r="C14" s="58">
        <f>'Trial Balance'!E44</f>
        <v>1085178.45</v>
      </c>
      <c r="D14" s="169">
        <f>U15/U13</f>
        <v>9.4866784876014632E-2</v>
      </c>
      <c r="E14" s="169"/>
      <c r="F14" s="169">
        <f>(U16+U17)/U13*(F39)</f>
        <v>6.8575137547944906E-2</v>
      </c>
      <c r="G14" s="169"/>
      <c r="H14" s="169">
        <f>(U16+U17)/U13*(H39)</f>
        <v>3.1038141953272692E-2</v>
      </c>
      <c r="I14" s="169"/>
      <c r="J14" s="169">
        <f>U14/U13</f>
        <v>3.0943970472065138E-2</v>
      </c>
      <c r="K14" s="169"/>
      <c r="L14" s="169"/>
      <c r="M14" s="169">
        <f>1-SUM(D14:L14)</f>
        <v>0.77457596515070259</v>
      </c>
      <c r="N14" s="169"/>
      <c r="O14" s="169"/>
      <c r="P14" s="169"/>
      <c r="Q14" s="170">
        <f t="shared" si="0"/>
        <v>1</v>
      </c>
      <c r="T14" s="147" t="s">
        <v>208</v>
      </c>
      <c r="U14" s="39">
        <v>33579.729913721414</v>
      </c>
    </row>
    <row r="15" spans="1:21" x14ac:dyDescent="0.35">
      <c r="A15" s="38"/>
      <c r="B15" s="57" t="str">
        <f>'Trial Balance'!D45</f>
        <v>Contractors and Consultants</v>
      </c>
      <c r="C15" s="58">
        <f>'Trial Balance'!E45</f>
        <v>269701</v>
      </c>
      <c r="D15" s="169"/>
      <c r="E15" s="169"/>
      <c r="F15" s="169">
        <f>(U21+U22+U23)/U19*F39</f>
        <v>0.22227922014884388</v>
      </c>
      <c r="G15" s="169"/>
      <c r="H15" s="169">
        <f>U21/U19*H39</f>
        <v>5.6616768467595079E-2</v>
      </c>
      <c r="I15" s="169">
        <f>U20/U19</f>
        <v>0.47783938387880492</v>
      </c>
      <c r="J15" s="169">
        <f>(U24/U19)</f>
        <v>3.9235174057011782E-2</v>
      </c>
      <c r="K15" s="169">
        <f>U26/U19</f>
        <v>1.0189719344458406E-2</v>
      </c>
      <c r="L15" s="169"/>
      <c r="M15" s="169">
        <f>1-SUM(D15:L15)</f>
        <v>0.19383973410328581</v>
      </c>
      <c r="N15" s="169"/>
      <c r="O15" s="169"/>
      <c r="P15" s="169"/>
      <c r="Q15" s="170">
        <f t="shared" si="0"/>
        <v>1</v>
      </c>
      <c r="T15" s="3" t="s">
        <v>209</v>
      </c>
      <c r="U15" s="39">
        <v>102947.390568237</v>
      </c>
    </row>
    <row r="16" spans="1:21" x14ac:dyDescent="0.35">
      <c r="A16" s="38"/>
      <c r="B16" s="57" t="str">
        <f>'Trial Balance'!D46</f>
        <v>Regulatory</v>
      </c>
      <c r="C16" s="58">
        <f>'Trial Balance'!E46</f>
        <v>139000</v>
      </c>
      <c r="D16" s="169"/>
      <c r="E16" s="169"/>
      <c r="F16" s="169"/>
      <c r="G16" s="169"/>
      <c r="H16" s="169"/>
      <c r="I16" s="169"/>
      <c r="J16" s="169"/>
      <c r="K16" s="169"/>
      <c r="L16" s="169"/>
      <c r="M16" s="169">
        <v>1</v>
      </c>
      <c r="N16" s="169"/>
      <c r="O16" s="169"/>
      <c r="P16" s="169"/>
      <c r="Q16" s="170">
        <f t="shared" si="0"/>
        <v>1</v>
      </c>
      <c r="T16" s="3" t="s">
        <v>210</v>
      </c>
      <c r="U16" s="39">
        <v>38879.528768548073</v>
      </c>
    </row>
    <row r="17" spans="1:22" x14ac:dyDescent="0.35">
      <c r="A17" s="38"/>
      <c r="B17" s="57" t="str">
        <f>'Trial Balance'!D47</f>
        <v>Legal</v>
      </c>
      <c r="C17" s="58">
        <f>'Trial Balance'!E47</f>
        <v>35735</v>
      </c>
      <c r="D17" s="169"/>
      <c r="E17" s="169"/>
      <c r="F17" s="169"/>
      <c r="G17" s="169"/>
      <c r="H17" s="169"/>
      <c r="I17" s="169"/>
      <c r="J17" s="169"/>
      <c r="K17" s="169"/>
      <c r="L17" s="169"/>
      <c r="M17" s="169">
        <v>1</v>
      </c>
      <c r="N17" s="169"/>
      <c r="O17" s="169"/>
      <c r="P17" s="169"/>
      <c r="Q17" s="170">
        <f t="shared" si="0"/>
        <v>1</v>
      </c>
      <c r="T17" s="3" t="s">
        <v>211</v>
      </c>
      <c r="U17" s="39">
        <v>69218.655480000001</v>
      </c>
    </row>
    <row r="18" spans="1:22" x14ac:dyDescent="0.35">
      <c r="A18" s="38"/>
      <c r="B18" s="57" t="str">
        <f>'Trial Balance'!D48</f>
        <v>Audit Fees</v>
      </c>
      <c r="C18" s="58">
        <f>'Trial Balance'!E48</f>
        <v>28161.439999999999</v>
      </c>
      <c r="D18" s="169"/>
      <c r="E18" s="169"/>
      <c r="F18" s="169"/>
      <c r="G18" s="169"/>
      <c r="H18" s="169"/>
      <c r="I18" s="169"/>
      <c r="J18" s="169"/>
      <c r="K18" s="169"/>
      <c r="L18" s="169"/>
      <c r="M18" s="169">
        <v>1</v>
      </c>
      <c r="N18" s="169"/>
      <c r="O18" s="169"/>
      <c r="P18" s="169"/>
      <c r="Q18" s="170">
        <f t="shared" si="0"/>
        <v>1</v>
      </c>
      <c r="T18" s="3"/>
      <c r="U18" s="38"/>
    </row>
    <row r="19" spans="1:22" x14ac:dyDescent="0.35">
      <c r="A19" s="38"/>
      <c r="B19" s="57" t="str">
        <f>'Trial Balance'!D49</f>
        <v>Equipment, Rent &amp; Utilities</v>
      </c>
      <c r="C19" s="58">
        <f>'Trial Balance'!E49</f>
        <v>123247.89</v>
      </c>
      <c r="D19" s="169"/>
      <c r="E19" s="169">
        <f>'Capital Functionlization'!G25</f>
        <v>5.4637713534657394E-3</v>
      </c>
      <c r="F19" s="169">
        <f>'Capital Functionlization'!H25</f>
        <v>0.14882546770266697</v>
      </c>
      <c r="G19" s="169"/>
      <c r="H19" s="169">
        <f>'Capital Functionlization'!J25</f>
        <v>0.13011170295028734</v>
      </c>
      <c r="I19" s="169">
        <f>'Capital Functionlization'!K25</f>
        <v>9.7275323128403479E-2</v>
      </c>
      <c r="J19" s="169">
        <f>'Capital Functionlization'!L25</f>
        <v>0.19947455354654356</v>
      </c>
      <c r="K19" s="169">
        <f>'Capital Functionlization'!M25</f>
        <v>7.8892409002456448E-2</v>
      </c>
      <c r="L19" s="169">
        <f>'Capital Functionlization'!N25</f>
        <v>4.3978950289001839E-2</v>
      </c>
      <c r="M19" s="169">
        <f>'Capital Functionlization'!O25</f>
        <v>0.29597782202717471</v>
      </c>
      <c r="N19" s="169"/>
      <c r="O19" s="169"/>
      <c r="P19" s="169"/>
      <c r="Q19" s="170">
        <f t="shared" si="0"/>
        <v>1</v>
      </c>
      <c r="T19" s="145" t="s">
        <v>36</v>
      </c>
      <c r="U19" s="6">
        <f>C15</f>
        <v>269701</v>
      </c>
      <c r="V19" s="2"/>
    </row>
    <row r="20" spans="1:22" x14ac:dyDescent="0.35">
      <c r="A20" s="38"/>
      <c r="B20" s="57" t="str">
        <f>'Trial Balance'!D50</f>
        <v>Telecom &amp; IT Costs</v>
      </c>
      <c r="C20" s="58">
        <f>'Trial Balance'!E50</f>
        <v>120848.82</v>
      </c>
      <c r="D20" s="169"/>
      <c r="E20" s="169"/>
      <c r="F20" s="169"/>
      <c r="G20" s="169"/>
      <c r="H20" s="169"/>
      <c r="I20" s="169"/>
      <c r="J20" s="169"/>
      <c r="K20" s="169"/>
      <c r="L20" s="169"/>
      <c r="M20" s="169">
        <v>1</v>
      </c>
      <c r="N20" s="169"/>
      <c r="O20" s="169"/>
      <c r="P20" s="169"/>
      <c r="Q20" s="170">
        <f t="shared" si="0"/>
        <v>1</v>
      </c>
      <c r="T20" s="3" t="s">
        <v>37</v>
      </c>
      <c r="U20" s="148">
        <v>128873.75967149757</v>
      </c>
    </row>
    <row r="21" spans="1:22" x14ac:dyDescent="0.35">
      <c r="A21" s="38"/>
      <c r="B21" s="57" t="str">
        <f>'Trial Balance'!D51</f>
        <v>Office &amp; Postage</v>
      </c>
      <c r="C21" s="58">
        <f>'Trial Balance'!E51</f>
        <v>134860.37</v>
      </c>
      <c r="D21" s="169"/>
      <c r="E21" s="169"/>
      <c r="F21" s="169"/>
      <c r="G21" s="169"/>
      <c r="H21" s="169"/>
      <c r="I21" s="169"/>
      <c r="J21" s="169">
        <v>0.25</v>
      </c>
      <c r="K21" s="169"/>
      <c r="L21" s="169"/>
      <c r="M21" s="169">
        <f>1-SUM(D21:L21)</f>
        <v>0.75</v>
      </c>
      <c r="N21" s="169"/>
      <c r="O21" s="169"/>
      <c r="P21" s="169"/>
      <c r="Q21" s="170">
        <f t="shared" si="0"/>
        <v>1</v>
      </c>
      <c r="T21" s="3" t="s">
        <v>38</v>
      </c>
      <c r="U21" s="148">
        <v>49005.988907721592</v>
      </c>
    </row>
    <row r="22" spans="1:22" x14ac:dyDescent="0.35">
      <c r="A22" s="38"/>
      <c r="B22" s="57" t="str">
        <f>'Trial Balance'!D52</f>
        <v>Advertising</v>
      </c>
      <c r="C22" s="58">
        <f>'Trial Balance'!E52</f>
        <v>25271.11</v>
      </c>
      <c r="D22" s="169"/>
      <c r="E22" s="169"/>
      <c r="F22" s="169"/>
      <c r="G22" s="169"/>
      <c r="H22" s="169"/>
      <c r="I22" s="169"/>
      <c r="J22" s="169"/>
      <c r="K22" s="169">
        <v>1</v>
      </c>
      <c r="L22" s="169"/>
      <c r="M22" s="169"/>
      <c r="N22" s="169"/>
      <c r="O22" s="169"/>
      <c r="P22" s="169"/>
      <c r="Q22" s="170">
        <f t="shared" si="0"/>
        <v>1</v>
      </c>
      <c r="T22" s="3" t="s">
        <v>39</v>
      </c>
      <c r="U22" s="148">
        <v>17185.538144050024</v>
      </c>
    </row>
    <row r="23" spans="1:22" x14ac:dyDescent="0.35">
      <c r="A23" s="38"/>
      <c r="B23" s="57" t="str">
        <f>'Trial Balance'!D53</f>
        <v>Automotive</v>
      </c>
      <c r="C23" s="58">
        <f>'Trial Balance'!E53</f>
        <v>147778.01999999999</v>
      </c>
      <c r="D23" s="169"/>
      <c r="E23" s="169"/>
      <c r="F23" s="169">
        <f>61.8%*(1-N23)/1</f>
        <v>0.43399428656575589</v>
      </c>
      <c r="G23" s="169"/>
      <c r="H23" s="169">
        <f>38.2%*(1-N23)/1</f>
        <v>0.26826184056329894</v>
      </c>
      <c r="I23" s="169"/>
      <c r="J23" s="169"/>
      <c r="K23" s="169"/>
      <c r="L23" s="169"/>
      <c r="M23" s="169"/>
      <c r="N23" s="169">
        <f>44000/C23</f>
        <v>0.29774387287094523</v>
      </c>
      <c r="O23" s="169"/>
      <c r="P23" s="169"/>
      <c r="Q23" s="170">
        <f t="shared" si="0"/>
        <v>1</v>
      </c>
      <c r="T23" s="3" t="s">
        <v>40</v>
      </c>
      <c r="U23" s="148">
        <v>20891.190235402126</v>
      </c>
    </row>
    <row r="24" spans="1:22" x14ac:dyDescent="0.35">
      <c r="A24" s="38"/>
      <c r="B24" s="57" t="str">
        <f>'Trial Balance'!D54</f>
        <v>Dues &amp; Fees</v>
      </c>
      <c r="C24" s="58">
        <f>'Trial Balance'!E54</f>
        <v>26770.62</v>
      </c>
      <c r="D24" s="169"/>
      <c r="E24" s="169"/>
      <c r="F24" s="169"/>
      <c r="G24" s="169"/>
      <c r="H24" s="169"/>
      <c r="I24" s="169"/>
      <c r="J24" s="169"/>
      <c r="K24" s="169"/>
      <c r="L24" s="169"/>
      <c r="M24" s="169">
        <v>1</v>
      </c>
      <c r="N24" s="169"/>
      <c r="O24" s="169"/>
      <c r="P24" s="169"/>
      <c r="Q24" s="170">
        <f t="shared" si="0"/>
        <v>1</v>
      </c>
      <c r="T24" s="3" t="s">
        <v>41</v>
      </c>
      <c r="U24" s="148">
        <v>10581.765678350135</v>
      </c>
    </row>
    <row r="25" spans="1:22" x14ac:dyDescent="0.35">
      <c r="A25" s="38"/>
      <c r="B25" s="57" t="str">
        <f>'Trial Balance'!D55</f>
        <v>Travel &amp; Entertainment</v>
      </c>
      <c r="C25" s="58">
        <f>'Trial Balance'!E55</f>
        <v>24386.51</v>
      </c>
      <c r="D25" s="169"/>
      <c r="E25" s="169"/>
      <c r="F25" s="169"/>
      <c r="G25" s="169"/>
      <c r="H25" s="169"/>
      <c r="I25" s="169"/>
      <c r="J25" s="169"/>
      <c r="K25" s="169"/>
      <c r="L25" s="169"/>
      <c r="M25" s="169">
        <v>1</v>
      </c>
      <c r="N25" s="169"/>
      <c r="O25" s="169"/>
      <c r="P25" s="169"/>
      <c r="Q25" s="170">
        <f t="shared" si="0"/>
        <v>1</v>
      </c>
      <c r="T25" s="3" t="s">
        <v>42</v>
      </c>
      <c r="U25" s="148">
        <v>7975.497731225556</v>
      </c>
    </row>
    <row r="26" spans="1:22" ht="15" thickBot="1" x14ac:dyDescent="0.4">
      <c r="A26" s="38"/>
      <c r="B26" s="57" t="str">
        <f>'Trial Balance'!D56</f>
        <v>Training</v>
      </c>
      <c r="C26" s="58">
        <f>'Trial Balance'!E56</f>
        <v>19684.27</v>
      </c>
      <c r="D26" s="169"/>
      <c r="E26" s="169"/>
      <c r="F26" s="169"/>
      <c r="G26" s="169"/>
      <c r="H26" s="169"/>
      <c r="I26" s="169"/>
      <c r="J26" s="169"/>
      <c r="K26" s="169"/>
      <c r="L26" s="169"/>
      <c r="M26" s="169">
        <v>1</v>
      </c>
      <c r="N26" s="169"/>
      <c r="O26" s="169"/>
      <c r="P26" s="169"/>
      <c r="Q26" s="170">
        <f t="shared" si="0"/>
        <v>1</v>
      </c>
      <c r="T26" s="4" t="s">
        <v>43</v>
      </c>
      <c r="U26" s="149">
        <v>2748.1774969197768</v>
      </c>
    </row>
    <row r="27" spans="1:22" x14ac:dyDescent="0.35">
      <c r="A27" s="38"/>
      <c r="B27" s="57" t="str">
        <f>'Trial Balance'!D57</f>
        <v>Insurance</v>
      </c>
      <c r="C27" s="58">
        <f>'Trial Balance'!E57</f>
        <v>42684</v>
      </c>
      <c r="D27" s="169"/>
      <c r="E27" s="169"/>
      <c r="F27" s="169">
        <v>2.1086534629783394E-4</v>
      </c>
      <c r="G27" s="169"/>
      <c r="H27" s="169">
        <v>1.4573798360620671E-4</v>
      </c>
      <c r="I27" s="169">
        <v>2.5883317324185683E-6</v>
      </c>
      <c r="J27" s="169">
        <v>1.9831057858654557E-5</v>
      </c>
      <c r="K27" s="169">
        <v>8.9085814238864333E-6</v>
      </c>
      <c r="L27" s="169">
        <v>2.1530308082563909E-6</v>
      </c>
      <c r="M27" s="169">
        <v>0.99960991566827262</v>
      </c>
      <c r="N27" s="169"/>
      <c r="O27" s="169"/>
      <c r="P27" s="169"/>
      <c r="Q27" s="170">
        <f t="shared" si="0"/>
        <v>0.99999999999999989</v>
      </c>
    </row>
    <row r="28" spans="1:22" ht="15" thickBot="1" x14ac:dyDescent="0.4">
      <c r="A28" s="38"/>
      <c r="B28" s="57" t="str">
        <f>'Trial Balance'!D58</f>
        <v>Donations</v>
      </c>
      <c r="C28" s="58">
        <f>'Trial Balance'!E58</f>
        <v>1021</v>
      </c>
      <c r="D28" s="169"/>
      <c r="E28" s="169"/>
      <c r="F28" s="169"/>
      <c r="G28" s="169"/>
      <c r="H28" s="169"/>
      <c r="I28" s="169"/>
      <c r="J28" s="169"/>
      <c r="K28" s="169"/>
      <c r="L28" s="169"/>
      <c r="M28" s="169">
        <v>1</v>
      </c>
      <c r="N28" s="169"/>
      <c r="O28" s="169"/>
      <c r="P28" s="169"/>
      <c r="Q28" s="170">
        <f t="shared" si="0"/>
        <v>1</v>
      </c>
    </row>
    <row r="29" spans="1:22" x14ac:dyDescent="0.35">
      <c r="A29" s="38"/>
      <c r="B29" s="57" t="str">
        <f>'Trial Balance'!D59</f>
        <v>Municipal and Other Taxes</v>
      </c>
      <c r="C29" s="58">
        <f>'Trial Balance'!E59</f>
        <v>0</v>
      </c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70">
        <f t="shared" si="0"/>
        <v>0</v>
      </c>
      <c r="T29" s="376" t="s">
        <v>228</v>
      </c>
      <c r="U29" s="150">
        <v>2025</v>
      </c>
    </row>
    <row r="30" spans="1:22" x14ac:dyDescent="0.35">
      <c r="A30" s="38"/>
      <c r="B30" s="57" t="str">
        <f>'Trial Balance'!D60</f>
        <v>Corporate Shared Services</v>
      </c>
      <c r="C30" s="58">
        <f>'Trial Balance'!E60</f>
        <v>580202.73</v>
      </c>
      <c r="D30" s="169"/>
      <c r="E30" s="169"/>
      <c r="F30" s="169"/>
      <c r="G30" s="169"/>
      <c r="H30" s="169"/>
      <c r="I30" s="169"/>
      <c r="J30" s="169"/>
      <c r="K30" s="169"/>
      <c r="L30" s="169"/>
      <c r="M30" s="169">
        <v>1</v>
      </c>
      <c r="N30" s="169"/>
      <c r="O30" s="169"/>
      <c r="P30" s="169"/>
      <c r="Q30" s="170">
        <f t="shared" si="0"/>
        <v>1</v>
      </c>
      <c r="T30" s="377"/>
      <c r="U30" s="151" t="s">
        <v>229</v>
      </c>
    </row>
    <row r="31" spans="1:22" ht="15" thickBot="1" x14ac:dyDescent="0.4">
      <c r="A31" s="38"/>
      <c r="B31" s="57" t="str">
        <f>'Trial Balance'!D61</f>
        <v>Finance Costs</v>
      </c>
      <c r="C31" s="58">
        <f>'Trial Balance'!E61</f>
        <v>14746.3</v>
      </c>
      <c r="D31" s="169"/>
      <c r="E31" s="169"/>
      <c r="F31" s="169"/>
      <c r="G31" s="169"/>
      <c r="H31" s="169"/>
      <c r="I31" s="169"/>
      <c r="J31" s="169"/>
      <c r="K31" s="169"/>
      <c r="L31" s="169"/>
      <c r="M31" s="169">
        <v>1</v>
      </c>
      <c r="N31" s="169"/>
      <c r="O31" s="169"/>
      <c r="P31" s="169"/>
      <c r="Q31" s="170">
        <f t="shared" si="0"/>
        <v>1</v>
      </c>
      <c r="T31" s="378"/>
      <c r="U31" s="152" t="s">
        <v>230</v>
      </c>
    </row>
    <row r="32" spans="1:22" x14ac:dyDescent="0.35">
      <c r="A32" s="38"/>
      <c r="B32" s="57" t="str">
        <f>'Trial Balance'!D62</f>
        <v>Bank Fees</v>
      </c>
      <c r="C32" s="58">
        <f>'Trial Balance'!E62</f>
        <v>0</v>
      </c>
      <c r="D32" s="169"/>
      <c r="E32" s="169"/>
      <c r="F32" s="169"/>
      <c r="G32" s="169"/>
      <c r="H32" s="169"/>
      <c r="I32" s="169"/>
      <c r="J32" s="169"/>
      <c r="K32" s="169"/>
      <c r="L32" s="169"/>
      <c r="M32" s="169">
        <v>1</v>
      </c>
      <c r="N32" s="169"/>
      <c r="O32" s="169"/>
      <c r="P32" s="169"/>
      <c r="Q32" s="170">
        <f t="shared" si="0"/>
        <v>1</v>
      </c>
      <c r="T32" s="153" t="s">
        <v>231</v>
      </c>
      <c r="U32" s="154">
        <v>220748</v>
      </c>
    </row>
    <row r="33" spans="1:21" x14ac:dyDescent="0.35">
      <c r="A33" s="38"/>
      <c r="B33" s="57" t="str">
        <f>'Trial Balance'!D63</f>
        <v>Bad Debts</v>
      </c>
      <c r="C33" s="58">
        <f>'Trial Balance'!E63</f>
        <v>97066.32</v>
      </c>
      <c r="D33" s="169"/>
      <c r="E33" s="169"/>
      <c r="F33" s="169"/>
      <c r="G33" s="169"/>
      <c r="H33" s="169"/>
      <c r="I33" s="169"/>
      <c r="J33" s="169"/>
      <c r="K33" s="169"/>
      <c r="L33" s="169">
        <v>1</v>
      </c>
      <c r="M33" s="169"/>
      <c r="N33" s="169"/>
      <c r="O33" s="169"/>
      <c r="P33" s="169"/>
      <c r="Q33" s="170">
        <f t="shared" si="0"/>
        <v>1</v>
      </c>
      <c r="T33" s="153" t="s">
        <v>232</v>
      </c>
      <c r="U33" s="154">
        <v>115556</v>
      </c>
    </row>
    <row r="34" spans="1:21" x14ac:dyDescent="0.35">
      <c r="A34" s="38"/>
      <c r="B34" s="57" t="str">
        <f>'Trial Balance'!D64</f>
        <v>Other</v>
      </c>
      <c r="C34" s="58">
        <f>'Trial Balance'!E64</f>
        <v>0</v>
      </c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70">
        <f t="shared" si="0"/>
        <v>0</v>
      </c>
      <c r="T34" s="153" t="s">
        <v>233</v>
      </c>
      <c r="U34" s="154">
        <v>66610</v>
      </c>
    </row>
    <row r="35" spans="1:21" x14ac:dyDescent="0.35">
      <c r="A35" s="38"/>
      <c r="B35" s="57" t="str">
        <f>'Trial Balance'!D65</f>
        <v>IGPC O&amp;M</v>
      </c>
      <c r="C35" s="58">
        <f>'Trial Balance'!E65</f>
        <v>60000</v>
      </c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>
        <v>1</v>
      </c>
      <c r="O35" s="169"/>
      <c r="P35" s="169"/>
      <c r="Q35" s="170">
        <f t="shared" si="0"/>
        <v>1</v>
      </c>
      <c r="T35" s="153" t="s">
        <v>234</v>
      </c>
      <c r="U35" s="154">
        <v>49070</v>
      </c>
    </row>
    <row r="36" spans="1:21" x14ac:dyDescent="0.35">
      <c r="A36" s="38"/>
      <c r="B36" s="57" t="str">
        <f>'Trial Balance'!D66</f>
        <v>LEAP</v>
      </c>
      <c r="C36" s="58">
        <f>'Trial Balance'!E66</f>
        <v>10055</v>
      </c>
      <c r="D36" s="169"/>
      <c r="E36" s="169"/>
      <c r="F36" s="169"/>
      <c r="G36" s="169"/>
      <c r="H36" s="169"/>
      <c r="I36" s="169"/>
      <c r="J36" s="169"/>
      <c r="K36" s="169"/>
      <c r="L36" s="169"/>
      <c r="M36" s="169">
        <v>0</v>
      </c>
      <c r="N36" s="169"/>
      <c r="O36" s="169">
        <v>1</v>
      </c>
      <c r="P36" s="169"/>
      <c r="Q36" s="170">
        <f t="shared" si="0"/>
        <v>1</v>
      </c>
      <c r="T36" s="153" t="s">
        <v>235</v>
      </c>
      <c r="U36" s="154">
        <v>30839</v>
      </c>
    </row>
    <row r="37" spans="1:21" x14ac:dyDescent="0.35">
      <c r="A37" s="38"/>
      <c r="B37" s="57" t="str">
        <f>'Trial Balance'!D67</f>
        <v>Disallowed Cost</v>
      </c>
      <c r="C37" s="58">
        <f>'Trial Balance'!E67</f>
        <v>-180000</v>
      </c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>
        <v>1</v>
      </c>
      <c r="P37" s="169"/>
      <c r="Q37" s="170">
        <f t="shared" si="0"/>
        <v>1</v>
      </c>
      <c r="T37" s="153" t="s">
        <v>236</v>
      </c>
      <c r="U37" s="154">
        <v>21381</v>
      </c>
    </row>
    <row r="38" spans="1:21" ht="15" thickBot="1" x14ac:dyDescent="0.4">
      <c r="A38" s="38"/>
      <c r="B38" s="171" t="str">
        <f>'Trial Balance'!D68</f>
        <v>Property Taxes</v>
      </c>
      <c r="C38" s="172">
        <f>'Trial Balance'!E68</f>
        <v>705564</v>
      </c>
      <c r="D38" s="173"/>
      <c r="E38" s="173"/>
      <c r="F38" s="173"/>
      <c r="G38" s="173">
        <v>0.70381168164068997</v>
      </c>
      <c r="H38" s="173">
        <v>0.14278994179046062</v>
      </c>
      <c r="I38" s="173">
        <v>9.1448293404738598E-4</v>
      </c>
      <c r="J38" s="173">
        <v>7.0065068355439032E-3</v>
      </c>
      <c r="K38" s="173">
        <v>3.1474890087227307E-3</v>
      </c>
      <c r="L38" s="173">
        <v>7.6068685708572043E-4</v>
      </c>
      <c r="M38" s="173">
        <v>6.9251531341829658E-3</v>
      </c>
      <c r="N38" s="173">
        <f>95000/705564</f>
        <v>0.13464405780340266</v>
      </c>
      <c r="O38" s="173"/>
      <c r="P38" s="173"/>
      <c r="Q38" s="174">
        <f>SUM(D38:P38)</f>
        <v>1.000000000004136</v>
      </c>
      <c r="T38" s="153" t="s">
        <v>237</v>
      </c>
      <c r="U38" s="154">
        <v>21299</v>
      </c>
    </row>
    <row r="39" spans="1:21" x14ac:dyDescent="0.35">
      <c r="F39" s="253">
        <f>('Capital Functionlization'!H55+'Capital Functionlization'!I55)/('Capital Functionlization'!H55+'Capital Functionlization'!I55+'Capital Functionlization'!J55)</f>
        <v>0.6884136120335913</v>
      </c>
      <c r="G39" s="253"/>
      <c r="H39" s="253">
        <f>'Capital Functionlization'!J55/('Capital Functionlization'!H55+'Capital Functionlization'!I55+'Capital Functionlization'!J55)</f>
        <v>0.3115863879664087</v>
      </c>
      <c r="T39" s="153" t="s">
        <v>238</v>
      </c>
      <c r="U39" s="154">
        <v>21696</v>
      </c>
    </row>
    <row r="40" spans="1:21" ht="15" thickBot="1" x14ac:dyDescent="0.4">
      <c r="T40" s="156" t="s">
        <v>239</v>
      </c>
      <c r="U40" s="157">
        <v>33003</v>
      </c>
    </row>
    <row r="41" spans="1:21" ht="15" thickBot="1" x14ac:dyDescent="0.4">
      <c r="T41" s="158" t="s">
        <v>240</v>
      </c>
      <c r="U41" s="159">
        <v>580203</v>
      </c>
    </row>
    <row r="42" spans="1:21" x14ac:dyDescent="0.35">
      <c r="A42" s="244"/>
      <c r="B42" s="245"/>
      <c r="C42" s="245"/>
      <c r="D42" s="245"/>
      <c r="E42" s="245"/>
      <c r="F42" s="245"/>
      <c r="G42" s="245"/>
      <c r="H42" s="245"/>
      <c r="I42" s="245"/>
      <c r="J42" s="248"/>
      <c r="K42" s="245"/>
      <c r="L42" s="245"/>
      <c r="M42" s="245"/>
      <c r="N42" s="245"/>
      <c r="O42" s="249"/>
    </row>
    <row r="43" spans="1:21" x14ac:dyDescent="0.35">
      <c r="A43" s="246"/>
      <c r="B43" s="247"/>
      <c r="C43" s="247" t="s">
        <v>50</v>
      </c>
      <c r="D43" s="247" t="str">
        <f t="shared" ref="D43:I43" si="1">D9</f>
        <v>Gas Supply</v>
      </c>
      <c r="E43" s="247" t="str">
        <f t="shared" si="1"/>
        <v>Measurement</v>
      </c>
      <c r="F43" s="247" t="str">
        <f t="shared" si="1"/>
        <v>Mains</v>
      </c>
      <c r="G43" s="247" t="str">
        <f t="shared" si="1"/>
        <v>Mains xR6</v>
      </c>
      <c r="H43" s="247" t="str">
        <f t="shared" si="1"/>
        <v>Services</v>
      </c>
      <c r="I43" s="247" t="str">
        <f t="shared" si="1"/>
        <v>Meters</v>
      </c>
      <c r="J43" s="247" t="str">
        <f>J8</f>
        <v>Billing/ Accounting</v>
      </c>
      <c r="K43" s="247" t="str">
        <f>K9</f>
        <v>Promotion</v>
      </c>
      <c r="L43" s="247" t="str">
        <f>L9</f>
        <v>Collection</v>
      </c>
      <c r="M43" s="247" t="str">
        <f>M9</f>
        <v xml:space="preserve">A&amp;G  </v>
      </c>
      <c r="N43" s="247" t="str">
        <f>N7</f>
        <v>Direct Assignment to IGPC</v>
      </c>
      <c r="O43" s="250" t="str">
        <f>O8</f>
        <v>Other/Direct</v>
      </c>
    </row>
    <row r="44" spans="1:21" x14ac:dyDescent="0.35">
      <c r="A44" s="254">
        <v>1</v>
      </c>
      <c r="B44" s="64" t="str">
        <f t="shared" ref="B44:C72" si="2">B10</f>
        <v>Employee Salaries</v>
      </c>
      <c r="C44" s="175">
        <f t="shared" si="2"/>
        <v>1811707.0689999999</v>
      </c>
      <c r="D44" s="175">
        <f t="shared" ref="D44:O44" si="3">$C44*D10</f>
        <v>0</v>
      </c>
      <c r="E44" s="175">
        <f t="shared" si="3"/>
        <v>36386.958768670025</v>
      </c>
      <c r="F44" s="175">
        <f t="shared" si="3"/>
        <v>353581.48015101458</v>
      </c>
      <c r="G44" s="175">
        <f t="shared" si="3"/>
        <v>0</v>
      </c>
      <c r="H44" s="175">
        <f t="shared" si="3"/>
        <v>155937.11128503544</v>
      </c>
      <c r="I44" s="175">
        <f t="shared" si="3"/>
        <v>474821.60107595898</v>
      </c>
      <c r="J44" s="175">
        <f t="shared" si="3"/>
        <v>374685.2676036281</v>
      </c>
      <c r="K44" s="175">
        <f t="shared" si="3"/>
        <v>0</v>
      </c>
      <c r="L44" s="175">
        <f t="shared" si="3"/>
        <v>0</v>
      </c>
      <c r="M44" s="175">
        <f t="shared" si="3"/>
        <v>416294.65011569281</v>
      </c>
      <c r="N44" s="175">
        <f t="shared" si="3"/>
        <v>0</v>
      </c>
      <c r="O44" s="176">
        <f t="shared" si="3"/>
        <v>0</v>
      </c>
      <c r="P44" s="2"/>
      <c r="Q44" s="2"/>
    </row>
    <row r="45" spans="1:21" x14ac:dyDescent="0.35">
      <c r="A45" s="254">
        <f>A44+1</f>
        <v>2</v>
      </c>
      <c r="B45" s="64" t="str">
        <f t="shared" si="2"/>
        <v>Employee Benefits</v>
      </c>
      <c r="C45" s="175">
        <f t="shared" si="2"/>
        <v>445202.15</v>
      </c>
      <c r="D45" s="175">
        <f t="shared" ref="D45:O45" si="4">$C45*D11</f>
        <v>0</v>
      </c>
      <c r="E45" s="175">
        <f t="shared" si="4"/>
        <v>8941.5957761399277</v>
      </c>
      <c r="F45" s="175">
        <f t="shared" si="4"/>
        <v>86887.796519059688</v>
      </c>
      <c r="G45" s="175">
        <f t="shared" si="4"/>
        <v>0</v>
      </c>
      <c r="H45" s="175">
        <f t="shared" si="4"/>
        <v>38319.405160353243</v>
      </c>
      <c r="I45" s="175">
        <f t="shared" si="4"/>
        <v>116680.89244810429</v>
      </c>
      <c r="J45" s="175">
        <f t="shared" si="4"/>
        <v>92073.76267650949</v>
      </c>
      <c r="K45" s="175">
        <f t="shared" si="4"/>
        <v>0</v>
      </c>
      <c r="L45" s="175">
        <f t="shared" si="4"/>
        <v>0</v>
      </c>
      <c r="M45" s="175">
        <f t="shared" si="4"/>
        <v>102298.69741983339</v>
      </c>
      <c r="N45" s="175">
        <f t="shared" si="4"/>
        <v>0</v>
      </c>
      <c r="O45" s="176">
        <f t="shared" si="4"/>
        <v>0</v>
      </c>
      <c r="P45" s="2"/>
      <c r="Q45" s="2"/>
    </row>
    <row r="46" spans="1:21" x14ac:dyDescent="0.35">
      <c r="A46" s="254">
        <f t="shared" ref="A46:A72" si="5">A45+1</f>
        <v>3</v>
      </c>
      <c r="B46" s="64" t="str">
        <f t="shared" si="2"/>
        <v>Capital Recoveries</v>
      </c>
      <c r="C46" s="175">
        <f t="shared" si="2"/>
        <v>-419295.527</v>
      </c>
      <c r="D46" s="175">
        <f t="shared" ref="D46:O46" si="6">$C46*D12</f>
        <v>0</v>
      </c>
      <c r="E46" s="175">
        <f t="shared" si="6"/>
        <v>0</v>
      </c>
      <c r="F46" s="175">
        <f t="shared" si="6"/>
        <v>0</v>
      </c>
      <c r="G46" s="175">
        <f t="shared" si="6"/>
        <v>0</v>
      </c>
      <c r="H46" s="175">
        <f t="shared" si="6"/>
        <v>0</v>
      </c>
      <c r="I46" s="175">
        <f t="shared" si="6"/>
        <v>0</v>
      </c>
      <c r="J46" s="175">
        <f t="shared" si="6"/>
        <v>0</v>
      </c>
      <c r="K46" s="175">
        <f t="shared" si="6"/>
        <v>0</v>
      </c>
      <c r="L46" s="175">
        <f t="shared" si="6"/>
        <v>0</v>
      </c>
      <c r="M46" s="175">
        <f t="shared" si="6"/>
        <v>-419295.527</v>
      </c>
      <c r="N46" s="175">
        <f t="shared" si="6"/>
        <v>0</v>
      </c>
      <c r="O46" s="176">
        <f t="shared" si="6"/>
        <v>0</v>
      </c>
      <c r="P46" s="2"/>
      <c r="Q46" s="2"/>
    </row>
    <row r="47" spans="1:21" x14ac:dyDescent="0.35">
      <c r="A47" s="254">
        <f t="shared" si="5"/>
        <v>4</v>
      </c>
      <c r="B47" s="64" t="str">
        <f t="shared" si="2"/>
        <v>Operating Recoveries &amp; Burden</v>
      </c>
      <c r="C47" s="175">
        <f t="shared" si="2"/>
        <v>-502054.13660067396</v>
      </c>
      <c r="D47" s="175">
        <f t="shared" ref="D47:O47" si="7">$C47*D13</f>
        <v>0</v>
      </c>
      <c r="E47" s="175">
        <f t="shared" si="7"/>
        <v>0</v>
      </c>
      <c r="F47" s="175">
        <f t="shared" si="7"/>
        <v>0</v>
      </c>
      <c r="G47" s="175">
        <f t="shared" si="7"/>
        <v>0</v>
      </c>
      <c r="H47" s="175">
        <f t="shared" si="7"/>
        <v>0</v>
      </c>
      <c r="I47" s="175">
        <f t="shared" si="7"/>
        <v>0</v>
      </c>
      <c r="J47" s="175">
        <f t="shared" si="7"/>
        <v>0</v>
      </c>
      <c r="K47" s="175">
        <f t="shared" si="7"/>
        <v>0</v>
      </c>
      <c r="L47" s="175">
        <f t="shared" si="7"/>
        <v>0</v>
      </c>
      <c r="M47" s="175">
        <f t="shared" si="7"/>
        <v>-502054.13660067396</v>
      </c>
      <c r="N47" s="175">
        <f t="shared" si="7"/>
        <v>0</v>
      </c>
      <c r="O47" s="176">
        <f t="shared" si="7"/>
        <v>0</v>
      </c>
      <c r="P47" s="2"/>
      <c r="Q47" s="2"/>
    </row>
    <row r="48" spans="1:21" x14ac:dyDescent="0.35">
      <c r="A48" s="254">
        <f t="shared" si="5"/>
        <v>5</v>
      </c>
      <c r="B48" s="64" t="str">
        <f t="shared" si="2"/>
        <v>Ontario Affiliate Services</v>
      </c>
      <c r="C48" s="175">
        <f t="shared" si="2"/>
        <v>1085178.45</v>
      </c>
      <c r="D48" s="175">
        <f t="shared" ref="D48:O48" si="8">$C48*D14</f>
        <v>102947.390568237</v>
      </c>
      <c r="E48" s="175">
        <f t="shared" si="8"/>
        <v>0</v>
      </c>
      <c r="F48" s="175">
        <f t="shared" si="8"/>
        <v>74416.261472815648</v>
      </c>
      <c r="G48" s="175">
        <f t="shared" si="8"/>
        <v>0</v>
      </c>
      <c r="H48" s="175">
        <f t="shared" si="8"/>
        <v>33681.922775732433</v>
      </c>
      <c r="I48" s="175">
        <f t="shared" si="8"/>
        <v>0</v>
      </c>
      <c r="J48" s="175">
        <f t="shared" si="8"/>
        <v>33579.729913721414</v>
      </c>
      <c r="K48" s="175">
        <f t="shared" si="8"/>
        <v>0</v>
      </c>
      <c r="L48" s="175">
        <f t="shared" si="8"/>
        <v>0</v>
      </c>
      <c r="M48" s="175">
        <f t="shared" si="8"/>
        <v>840553.14526949346</v>
      </c>
      <c r="N48" s="175">
        <f t="shared" si="8"/>
        <v>0</v>
      </c>
      <c r="O48" s="176">
        <f t="shared" si="8"/>
        <v>0</v>
      </c>
      <c r="P48" s="2"/>
      <c r="Q48" s="2"/>
    </row>
    <row r="49" spans="1:17" x14ac:dyDescent="0.35">
      <c r="A49" s="254">
        <f t="shared" si="5"/>
        <v>6</v>
      </c>
      <c r="B49" s="64" t="str">
        <f t="shared" si="2"/>
        <v>Contractors and Consultants</v>
      </c>
      <c r="C49" s="175">
        <f t="shared" si="2"/>
        <v>269701</v>
      </c>
      <c r="D49" s="175">
        <f t="shared" ref="D49:O49" si="9">$C49*D15</f>
        <v>0</v>
      </c>
      <c r="E49" s="175">
        <f t="shared" si="9"/>
        <v>0</v>
      </c>
      <c r="F49" s="175">
        <f t="shared" si="9"/>
        <v>59948.927953363345</v>
      </c>
      <c r="G49" s="175">
        <f t="shared" si="9"/>
        <v>0</v>
      </c>
      <c r="H49" s="175">
        <f t="shared" si="9"/>
        <v>15269.599072478861</v>
      </c>
      <c r="I49" s="175">
        <f t="shared" si="9"/>
        <v>128873.75967149757</v>
      </c>
      <c r="J49" s="175">
        <f t="shared" si="9"/>
        <v>10581.765678350135</v>
      </c>
      <c r="K49" s="175">
        <f t="shared" si="9"/>
        <v>2748.1774969197768</v>
      </c>
      <c r="L49" s="175">
        <f t="shared" si="9"/>
        <v>0</v>
      </c>
      <c r="M49" s="175">
        <f t="shared" si="9"/>
        <v>52278.770127390286</v>
      </c>
      <c r="N49" s="175">
        <f t="shared" si="9"/>
        <v>0</v>
      </c>
      <c r="O49" s="176">
        <f t="shared" si="9"/>
        <v>0</v>
      </c>
      <c r="P49" s="2"/>
      <c r="Q49" s="2"/>
    </row>
    <row r="50" spans="1:17" x14ac:dyDescent="0.35">
      <c r="A50" s="254">
        <f t="shared" si="5"/>
        <v>7</v>
      </c>
      <c r="B50" s="64" t="str">
        <f t="shared" si="2"/>
        <v>Regulatory</v>
      </c>
      <c r="C50" s="175">
        <f t="shared" si="2"/>
        <v>139000</v>
      </c>
      <c r="D50" s="175">
        <f t="shared" ref="D50:O50" si="10">$C50*D16</f>
        <v>0</v>
      </c>
      <c r="E50" s="175">
        <f t="shared" si="10"/>
        <v>0</v>
      </c>
      <c r="F50" s="175">
        <f t="shared" si="10"/>
        <v>0</v>
      </c>
      <c r="G50" s="175">
        <f t="shared" si="10"/>
        <v>0</v>
      </c>
      <c r="H50" s="175">
        <f t="shared" si="10"/>
        <v>0</v>
      </c>
      <c r="I50" s="175">
        <f t="shared" si="10"/>
        <v>0</v>
      </c>
      <c r="J50" s="175">
        <f t="shared" si="10"/>
        <v>0</v>
      </c>
      <c r="K50" s="175">
        <f t="shared" si="10"/>
        <v>0</v>
      </c>
      <c r="L50" s="175">
        <f t="shared" si="10"/>
        <v>0</v>
      </c>
      <c r="M50" s="175">
        <f t="shared" si="10"/>
        <v>139000</v>
      </c>
      <c r="N50" s="175">
        <f t="shared" si="10"/>
        <v>0</v>
      </c>
      <c r="O50" s="176">
        <f t="shared" si="10"/>
        <v>0</v>
      </c>
      <c r="P50" s="2"/>
      <c r="Q50" s="2"/>
    </row>
    <row r="51" spans="1:17" x14ac:dyDescent="0.35">
      <c r="A51" s="254">
        <f t="shared" si="5"/>
        <v>8</v>
      </c>
      <c r="B51" s="64" t="str">
        <f t="shared" si="2"/>
        <v>Legal</v>
      </c>
      <c r="C51" s="175">
        <f t="shared" si="2"/>
        <v>35735</v>
      </c>
      <c r="D51" s="175">
        <f t="shared" ref="D51:O51" si="11">$C51*D17</f>
        <v>0</v>
      </c>
      <c r="E51" s="175">
        <f t="shared" si="11"/>
        <v>0</v>
      </c>
      <c r="F51" s="175">
        <f t="shared" si="11"/>
        <v>0</v>
      </c>
      <c r="G51" s="175">
        <f t="shared" si="11"/>
        <v>0</v>
      </c>
      <c r="H51" s="175">
        <f t="shared" si="11"/>
        <v>0</v>
      </c>
      <c r="I51" s="175">
        <f t="shared" si="11"/>
        <v>0</v>
      </c>
      <c r="J51" s="175">
        <f t="shared" si="11"/>
        <v>0</v>
      </c>
      <c r="K51" s="175">
        <f t="shared" si="11"/>
        <v>0</v>
      </c>
      <c r="L51" s="175">
        <f t="shared" si="11"/>
        <v>0</v>
      </c>
      <c r="M51" s="175">
        <f t="shared" si="11"/>
        <v>35735</v>
      </c>
      <c r="N51" s="175">
        <f t="shared" si="11"/>
        <v>0</v>
      </c>
      <c r="O51" s="176">
        <f t="shared" si="11"/>
        <v>0</v>
      </c>
      <c r="P51" s="2"/>
      <c r="Q51" s="2"/>
    </row>
    <row r="52" spans="1:17" x14ac:dyDescent="0.35">
      <c r="A52" s="254">
        <f t="shared" si="5"/>
        <v>9</v>
      </c>
      <c r="B52" s="64" t="str">
        <f t="shared" si="2"/>
        <v>Audit Fees</v>
      </c>
      <c r="C52" s="175">
        <f t="shared" si="2"/>
        <v>28161.439999999999</v>
      </c>
      <c r="D52" s="175">
        <f t="shared" ref="D52:O52" si="12">$C52*D18</f>
        <v>0</v>
      </c>
      <c r="E52" s="175">
        <f t="shared" si="12"/>
        <v>0</v>
      </c>
      <c r="F52" s="175">
        <f t="shared" si="12"/>
        <v>0</v>
      </c>
      <c r="G52" s="175">
        <f t="shared" si="12"/>
        <v>0</v>
      </c>
      <c r="H52" s="175">
        <f t="shared" si="12"/>
        <v>0</v>
      </c>
      <c r="I52" s="175">
        <f t="shared" si="12"/>
        <v>0</v>
      </c>
      <c r="J52" s="175">
        <f t="shared" si="12"/>
        <v>0</v>
      </c>
      <c r="K52" s="175">
        <f t="shared" si="12"/>
        <v>0</v>
      </c>
      <c r="L52" s="175">
        <f t="shared" si="12"/>
        <v>0</v>
      </c>
      <c r="M52" s="175">
        <f t="shared" si="12"/>
        <v>28161.439999999999</v>
      </c>
      <c r="N52" s="175">
        <f t="shared" si="12"/>
        <v>0</v>
      </c>
      <c r="O52" s="176">
        <f t="shared" si="12"/>
        <v>0</v>
      </c>
      <c r="P52" s="2"/>
      <c r="Q52" s="2"/>
    </row>
    <row r="53" spans="1:17" x14ac:dyDescent="0.35">
      <c r="A53" s="254">
        <f t="shared" si="5"/>
        <v>10</v>
      </c>
      <c r="B53" s="64" t="str">
        <f t="shared" si="2"/>
        <v>Equipment, Rent &amp; Utilities</v>
      </c>
      <c r="C53" s="175">
        <f t="shared" si="2"/>
        <v>123247.89</v>
      </c>
      <c r="D53" s="175">
        <f t="shared" ref="D53:O53" si="13">$C53*D19</f>
        <v>0</v>
      </c>
      <c r="E53" s="175">
        <f t="shared" si="13"/>
        <v>673.39829075709656</v>
      </c>
      <c r="F53" s="175">
        <f t="shared" si="13"/>
        <v>18342.424872616852</v>
      </c>
      <c r="G53" s="175">
        <f t="shared" si="13"/>
        <v>0</v>
      </c>
      <c r="H53" s="175">
        <f t="shared" si="13"/>
        <v>16035.99285292969</v>
      </c>
      <c r="I53" s="175">
        <f t="shared" si="13"/>
        <v>11988.978324643927</v>
      </c>
      <c r="J53" s="175">
        <f t="shared" si="13"/>
        <v>24584.81783330351</v>
      </c>
      <c r="K53" s="175">
        <f t="shared" si="13"/>
        <v>9723.3229465697623</v>
      </c>
      <c r="L53" s="175">
        <f t="shared" si="13"/>
        <v>5420.312827534367</v>
      </c>
      <c r="M53" s="175">
        <f t="shared" si="13"/>
        <v>36478.642051644805</v>
      </c>
      <c r="N53" s="175">
        <f t="shared" si="13"/>
        <v>0</v>
      </c>
      <c r="O53" s="176">
        <f t="shared" si="13"/>
        <v>0</v>
      </c>
      <c r="P53" s="2"/>
      <c r="Q53" s="2"/>
    </row>
    <row r="54" spans="1:17" x14ac:dyDescent="0.35">
      <c r="A54" s="254">
        <f t="shared" si="5"/>
        <v>11</v>
      </c>
      <c r="B54" s="64" t="str">
        <f t="shared" si="2"/>
        <v>Telecom &amp; IT Costs</v>
      </c>
      <c r="C54" s="175">
        <f t="shared" si="2"/>
        <v>120848.82</v>
      </c>
      <c r="D54" s="175">
        <f t="shared" ref="D54:O54" si="14">$C54*D20</f>
        <v>0</v>
      </c>
      <c r="E54" s="175">
        <f t="shared" si="14"/>
        <v>0</v>
      </c>
      <c r="F54" s="175">
        <f t="shared" si="14"/>
        <v>0</v>
      </c>
      <c r="G54" s="175">
        <f t="shared" si="14"/>
        <v>0</v>
      </c>
      <c r="H54" s="175">
        <f t="shared" si="14"/>
        <v>0</v>
      </c>
      <c r="I54" s="175">
        <f t="shared" si="14"/>
        <v>0</v>
      </c>
      <c r="J54" s="175">
        <f t="shared" si="14"/>
        <v>0</v>
      </c>
      <c r="K54" s="175">
        <f t="shared" si="14"/>
        <v>0</v>
      </c>
      <c r="L54" s="175">
        <f t="shared" si="14"/>
        <v>0</v>
      </c>
      <c r="M54" s="175">
        <f t="shared" si="14"/>
        <v>120848.82</v>
      </c>
      <c r="N54" s="175">
        <f t="shared" si="14"/>
        <v>0</v>
      </c>
      <c r="O54" s="176">
        <f t="shared" si="14"/>
        <v>0</v>
      </c>
      <c r="P54" s="2"/>
      <c r="Q54" s="2"/>
    </row>
    <row r="55" spans="1:17" x14ac:dyDescent="0.35">
      <c r="A55" s="254">
        <f t="shared" si="5"/>
        <v>12</v>
      </c>
      <c r="B55" s="64" t="str">
        <f t="shared" si="2"/>
        <v>Office &amp; Postage</v>
      </c>
      <c r="C55" s="175">
        <f t="shared" si="2"/>
        <v>134860.37</v>
      </c>
      <c r="D55" s="175">
        <f t="shared" ref="D55:O55" si="15">$C55*D21</f>
        <v>0</v>
      </c>
      <c r="E55" s="175">
        <f t="shared" si="15"/>
        <v>0</v>
      </c>
      <c r="F55" s="175">
        <f t="shared" si="15"/>
        <v>0</v>
      </c>
      <c r="G55" s="175">
        <f t="shared" si="15"/>
        <v>0</v>
      </c>
      <c r="H55" s="175">
        <f t="shared" si="15"/>
        <v>0</v>
      </c>
      <c r="I55" s="175">
        <f t="shared" si="15"/>
        <v>0</v>
      </c>
      <c r="J55" s="175">
        <f t="shared" si="15"/>
        <v>33715.092499999999</v>
      </c>
      <c r="K55" s="175">
        <f t="shared" si="15"/>
        <v>0</v>
      </c>
      <c r="L55" s="175">
        <f t="shared" si="15"/>
        <v>0</v>
      </c>
      <c r="M55" s="175">
        <f t="shared" si="15"/>
        <v>101145.2775</v>
      </c>
      <c r="N55" s="175">
        <f t="shared" si="15"/>
        <v>0</v>
      </c>
      <c r="O55" s="176">
        <f t="shared" si="15"/>
        <v>0</v>
      </c>
      <c r="P55" s="2"/>
      <c r="Q55" s="2"/>
    </row>
    <row r="56" spans="1:17" x14ac:dyDescent="0.35">
      <c r="A56" s="254">
        <f t="shared" si="5"/>
        <v>13</v>
      </c>
      <c r="B56" s="64" t="str">
        <f t="shared" si="2"/>
        <v>Advertising</v>
      </c>
      <c r="C56" s="175">
        <f t="shared" si="2"/>
        <v>25271.11</v>
      </c>
      <c r="D56" s="175">
        <f t="shared" ref="D56:O56" si="16">$C56*D22</f>
        <v>0</v>
      </c>
      <c r="E56" s="175">
        <f t="shared" si="16"/>
        <v>0</v>
      </c>
      <c r="F56" s="175">
        <f t="shared" si="16"/>
        <v>0</v>
      </c>
      <c r="G56" s="175">
        <f t="shared" si="16"/>
        <v>0</v>
      </c>
      <c r="H56" s="175">
        <f t="shared" si="16"/>
        <v>0</v>
      </c>
      <c r="I56" s="175">
        <f t="shared" si="16"/>
        <v>0</v>
      </c>
      <c r="J56" s="175">
        <f t="shared" si="16"/>
        <v>0</v>
      </c>
      <c r="K56" s="175">
        <f t="shared" si="16"/>
        <v>25271.11</v>
      </c>
      <c r="L56" s="175">
        <f t="shared" si="16"/>
        <v>0</v>
      </c>
      <c r="M56" s="175">
        <f t="shared" si="16"/>
        <v>0</v>
      </c>
      <c r="N56" s="175">
        <f t="shared" si="16"/>
        <v>0</v>
      </c>
      <c r="O56" s="176">
        <f t="shared" si="16"/>
        <v>0</v>
      </c>
      <c r="P56" s="2"/>
      <c r="Q56" s="2"/>
    </row>
    <row r="57" spans="1:17" x14ac:dyDescent="0.35">
      <c r="A57" s="254">
        <f t="shared" si="5"/>
        <v>14</v>
      </c>
      <c r="B57" s="64" t="str">
        <f t="shared" si="2"/>
        <v>Automotive</v>
      </c>
      <c r="C57" s="175">
        <f t="shared" si="2"/>
        <v>147778.01999999999</v>
      </c>
      <c r="D57" s="175">
        <f t="shared" ref="D57:O57" si="17">$C57*D23</f>
        <v>0</v>
      </c>
      <c r="E57" s="175">
        <f t="shared" si="17"/>
        <v>0</v>
      </c>
      <c r="F57" s="175">
        <f t="shared" si="17"/>
        <v>64134.816360000004</v>
      </c>
      <c r="G57" s="175">
        <f t="shared" si="17"/>
        <v>0</v>
      </c>
      <c r="H57" s="175">
        <f t="shared" si="17"/>
        <v>39643.20364</v>
      </c>
      <c r="I57" s="175">
        <f t="shared" si="17"/>
        <v>0</v>
      </c>
      <c r="J57" s="175">
        <f t="shared" si="17"/>
        <v>0</v>
      </c>
      <c r="K57" s="175">
        <f t="shared" si="17"/>
        <v>0</v>
      </c>
      <c r="L57" s="175">
        <f t="shared" si="17"/>
        <v>0</v>
      </c>
      <c r="M57" s="175">
        <f t="shared" si="17"/>
        <v>0</v>
      </c>
      <c r="N57" s="175">
        <f t="shared" si="17"/>
        <v>44000</v>
      </c>
      <c r="O57" s="176">
        <f t="shared" si="17"/>
        <v>0</v>
      </c>
      <c r="P57" s="2"/>
      <c r="Q57" s="2"/>
    </row>
    <row r="58" spans="1:17" x14ac:dyDescent="0.35">
      <c r="A58" s="254">
        <f t="shared" si="5"/>
        <v>15</v>
      </c>
      <c r="B58" s="64" t="str">
        <f t="shared" si="2"/>
        <v>Dues &amp; Fees</v>
      </c>
      <c r="C58" s="175">
        <f t="shared" si="2"/>
        <v>26770.62</v>
      </c>
      <c r="D58" s="175">
        <f t="shared" ref="D58:O58" si="18">$C58*D24</f>
        <v>0</v>
      </c>
      <c r="E58" s="175">
        <f t="shared" si="18"/>
        <v>0</v>
      </c>
      <c r="F58" s="175">
        <f t="shared" si="18"/>
        <v>0</v>
      </c>
      <c r="G58" s="175">
        <f t="shared" si="18"/>
        <v>0</v>
      </c>
      <c r="H58" s="175">
        <f t="shared" si="18"/>
        <v>0</v>
      </c>
      <c r="I58" s="175">
        <f t="shared" si="18"/>
        <v>0</v>
      </c>
      <c r="J58" s="175">
        <f t="shared" si="18"/>
        <v>0</v>
      </c>
      <c r="K58" s="175">
        <f t="shared" si="18"/>
        <v>0</v>
      </c>
      <c r="L58" s="175">
        <f t="shared" si="18"/>
        <v>0</v>
      </c>
      <c r="M58" s="175">
        <f t="shared" si="18"/>
        <v>26770.62</v>
      </c>
      <c r="N58" s="175">
        <f t="shared" si="18"/>
        <v>0</v>
      </c>
      <c r="O58" s="176">
        <f t="shared" si="18"/>
        <v>0</v>
      </c>
      <c r="P58" s="2"/>
      <c r="Q58" s="2"/>
    </row>
    <row r="59" spans="1:17" x14ac:dyDescent="0.35">
      <c r="A59" s="254">
        <f t="shared" si="5"/>
        <v>16</v>
      </c>
      <c r="B59" s="64" t="str">
        <f t="shared" si="2"/>
        <v>Travel &amp; Entertainment</v>
      </c>
      <c r="C59" s="175">
        <f t="shared" si="2"/>
        <v>24386.51</v>
      </c>
      <c r="D59" s="175">
        <f t="shared" ref="D59:O59" si="19">$C59*D25</f>
        <v>0</v>
      </c>
      <c r="E59" s="175">
        <f t="shared" si="19"/>
        <v>0</v>
      </c>
      <c r="F59" s="175">
        <f t="shared" si="19"/>
        <v>0</v>
      </c>
      <c r="G59" s="175">
        <f t="shared" si="19"/>
        <v>0</v>
      </c>
      <c r="H59" s="175">
        <f t="shared" si="19"/>
        <v>0</v>
      </c>
      <c r="I59" s="175">
        <f t="shared" si="19"/>
        <v>0</v>
      </c>
      <c r="J59" s="175">
        <f t="shared" si="19"/>
        <v>0</v>
      </c>
      <c r="K59" s="175">
        <f t="shared" si="19"/>
        <v>0</v>
      </c>
      <c r="L59" s="175">
        <f t="shared" si="19"/>
        <v>0</v>
      </c>
      <c r="M59" s="175">
        <f t="shared" si="19"/>
        <v>24386.51</v>
      </c>
      <c r="N59" s="175">
        <f t="shared" si="19"/>
        <v>0</v>
      </c>
      <c r="O59" s="176">
        <f t="shared" si="19"/>
        <v>0</v>
      </c>
      <c r="P59" s="2"/>
      <c r="Q59" s="2"/>
    </row>
    <row r="60" spans="1:17" x14ac:dyDescent="0.35">
      <c r="A60" s="254">
        <f t="shared" si="5"/>
        <v>17</v>
      </c>
      <c r="B60" s="64" t="str">
        <f t="shared" si="2"/>
        <v>Training</v>
      </c>
      <c r="C60" s="175">
        <f t="shared" si="2"/>
        <v>19684.27</v>
      </c>
      <c r="D60" s="175">
        <f t="shared" ref="D60:O60" si="20">$C60*D26</f>
        <v>0</v>
      </c>
      <c r="E60" s="175">
        <f t="shared" si="20"/>
        <v>0</v>
      </c>
      <c r="F60" s="175">
        <f t="shared" si="20"/>
        <v>0</v>
      </c>
      <c r="G60" s="175">
        <f t="shared" si="20"/>
        <v>0</v>
      </c>
      <c r="H60" s="175">
        <f t="shared" si="20"/>
        <v>0</v>
      </c>
      <c r="I60" s="175">
        <f t="shared" si="20"/>
        <v>0</v>
      </c>
      <c r="J60" s="175">
        <f t="shared" si="20"/>
        <v>0</v>
      </c>
      <c r="K60" s="175">
        <f t="shared" si="20"/>
        <v>0</v>
      </c>
      <c r="L60" s="175">
        <f t="shared" si="20"/>
        <v>0</v>
      </c>
      <c r="M60" s="175">
        <f t="shared" si="20"/>
        <v>19684.27</v>
      </c>
      <c r="N60" s="175">
        <f t="shared" si="20"/>
        <v>0</v>
      </c>
      <c r="O60" s="176">
        <f t="shared" si="20"/>
        <v>0</v>
      </c>
      <c r="P60" s="2"/>
      <c r="Q60" s="2"/>
    </row>
    <row r="61" spans="1:17" x14ac:dyDescent="0.35">
      <c r="A61" s="254">
        <f t="shared" si="5"/>
        <v>18</v>
      </c>
      <c r="B61" s="64" t="str">
        <f t="shared" si="2"/>
        <v>Insurance</v>
      </c>
      <c r="C61" s="175">
        <f t="shared" si="2"/>
        <v>42684</v>
      </c>
      <c r="D61" s="175">
        <f t="shared" ref="D61:O61" si="21">$C61*D27</f>
        <v>0</v>
      </c>
      <c r="E61" s="175">
        <f t="shared" si="21"/>
        <v>0</v>
      </c>
      <c r="F61" s="175">
        <f t="shared" si="21"/>
        <v>9.0005764413767437</v>
      </c>
      <c r="G61" s="175">
        <f t="shared" si="21"/>
        <v>0</v>
      </c>
      <c r="H61" s="175">
        <f t="shared" si="21"/>
        <v>6.2206800922473278</v>
      </c>
      <c r="I61" s="175">
        <f t="shared" si="21"/>
        <v>0.11048035166655416</v>
      </c>
      <c r="J61" s="175">
        <f t="shared" si="21"/>
        <v>0.84646887363881118</v>
      </c>
      <c r="K61" s="175">
        <f t="shared" si="21"/>
        <v>0.38025388949716854</v>
      </c>
      <c r="L61" s="175">
        <f t="shared" si="21"/>
        <v>9.1899967019615794E-2</v>
      </c>
      <c r="M61" s="175">
        <f t="shared" si="21"/>
        <v>42667.349640384549</v>
      </c>
      <c r="N61" s="175">
        <f t="shared" si="21"/>
        <v>0</v>
      </c>
      <c r="O61" s="176">
        <f t="shared" si="21"/>
        <v>0</v>
      </c>
      <c r="P61" s="2"/>
      <c r="Q61" s="2"/>
    </row>
    <row r="62" spans="1:17" x14ac:dyDescent="0.35">
      <c r="A62" s="254">
        <f t="shared" si="5"/>
        <v>19</v>
      </c>
      <c r="B62" s="64" t="str">
        <f t="shared" si="2"/>
        <v>Donations</v>
      </c>
      <c r="C62" s="175">
        <f t="shared" si="2"/>
        <v>1021</v>
      </c>
      <c r="D62" s="175">
        <f t="shared" ref="D62:O62" si="22">$C62*D28</f>
        <v>0</v>
      </c>
      <c r="E62" s="175">
        <f t="shared" si="22"/>
        <v>0</v>
      </c>
      <c r="F62" s="175">
        <f t="shared" si="22"/>
        <v>0</v>
      </c>
      <c r="G62" s="175">
        <f t="shared" si="22"/>
        <v>0</v>
      </c>
      <c r="H62" s="175">
        <f t="shared" si="22"/>
        <v>0</v>
      </c>
      <c r="I62" s="175">
        <f t="shared" si="22"/>
        <v>0</v>
      </c>
      <c r="J62" s="175">
        <f t="shared" si="22"/>
        <v>0</v>
      </c>
      <c r="K62" s="175">
        <f t="shared" si="22"/>
        <v>0</v>
      </c>
      <c r="L62" s="175">
        <f t="shared" si="22"/>
        <v>0</v>
      </c>
      <c r="M62" s="175">
        <f t="shared" si="22"/>
        <v>1021</v>
      </c>
      <c r="N62" s="175">
        <f t="shared" si="22"/>
        <v>0</v>
      </c>
      <c r="O62" s="176">
        <f t="shared" si="22"/>
        <v>0</v>
      </c>
      <c r="P62" s="2"/>
      <c r="Q62" s="2"/>
    </row>
    <row r="63" spans="1:17" x14ac:dyDescent="0.35">
      <c r="A63" s="254">
        <f t="shared" si="5"/>
        <v>20</v>
      </c>
      <c r="B63" s="64" t="str">
        <f t="shared" si="2"/>
        <v>Municipal and Other Taxes</v>
      </c>
      <c r="C63" s="175">
        <f t="shared" si="2"/>
        <v>0</v>
      </c>
      <c r="D63" s="175">
        <f t="shared" ref="D63:O63" si="23">$C63*D29</f>
        <v>0</v>
      </c>
      <c r="E63" s="175">
        <f t="shared" si="23"/>
        <v>0</v>
      </c>
      <c r="F63" s="175">
        <f t="shared" si="23"/>
        <v>0</v>
      </c>
      <c r="G63" s="175">
        <f t="shared" si="23"/>
        <v>0</v>
      </c>
      <c r="H63" s="175">
        <f t="shared" si="23"/>
        <v>0</v>
      </c>
      <c r="I63" s="175">
        <f t="shared" si="23"/>
        <v>0</v>
      </c>
      <c r="J63" s="175">
        <f t="shared" si="23"/>
        <v>0</v>
      </c>
      <c r="K63" s="175">
        <f t="shared" si="23"/>
        <v>0</v>
      </c>
      <c r="L63" s="175">
        <f t="shared" si="23"/>
        <v>0</v>
      </c>
      <c r="M63" s="175">
        <f t="shared" si="23"/>
        <v>0</v>
      </c>
      <c r="N63" s="175">
        <f t="shared" si="23"/>
        <v>0</v>
      </c>
      <c r="O63" s="176">
        <f t="shared" si="23"/>
        <v>0</v>
      </c>
      <c r="P63" s="2"/>
      <c r="Q63" s="2"/>
    </row>
    <row r="64" spans="1:17" x14ac:dyDescent="0.35">
      <c r="A64" s="254">
        <f t="shared" si="5"/>
        <v>21</v>
      </c>
      <c r="B64" s="64" t="str">
        <f t="shared" si="2"/>
        <v>Corporate Shared Services</v>
      </c>
      <c r="C64" s="175">
        <f t="shared" si="2"/>
        <v>580202.73</v>
      </c>
      <c r="D64" s="175">
        <f t="shared" ref="D64:O64" si="24">$C64*D30</f>
        <v>0</v>
      </c>
      <c r="E64" s="175">
        <f t="shared" si="24"/>
        <v>0</v>
      </c>
      <c r="F64" s="175">
        <f t="shared" si="24"/>
        <v>0</v>
      </c>
      <c r="G64" s="175">
        <f t="shared" si="24"/>
        <v>0</v>
      </c>
      <c r="H64" s="175">
        <f t="shared" si="24"/>
        <v>0</v>
      </c>
      <c r="I64" s="175">
        <f t="shared" si="24"/>
        <v>0</v>
      </c>
      <c r="J64" s="175">
        <f t="shared" si="24"/>
        <v>0</v>
      </c>
      <c r="K64" s="175">
        <f t="shared" si="24"/>
        <v>0</v>
      </c>
      <c r="L64" s="175">
        <f t="shared" si="24"/>
        <v>0</v>
      </c>
      <c r="M64" s="175">
        <f t="shared" si="24"/>
        <v>580202.73</v>
      </c>
      <c r="N64" s="175">
        <f t="shared" si="24"/>
        <v>0</v>
      </c>
      <c r="O64" s="176">
        <f t="shared" si="24"/>
        <v>0</v>
      </c>
      <c r="P64" s="2"/>
      <c r="Q64" s="2"/>
    </row>
    <row r="65" spans="1:17" x14ac:dyDescent="0.35">
      <c r="A65" s="254">
        <f t="shared" si="5"/>
        <v>22</v>
      </c>
      <c r="B65" s="64" t="str">
        <f t="shared" si="2"/>
        <v>Finance Costs</v>
      </c>
      <c r="C65" s="175">
        <f t="shared" si="2"/>
        <v>14746.3</v>
      </c>
      <c r="D65" s="175">
        <f t="shared" ref="D65:O65" si="25">$C65*D31</f>
        <v>0</v>
      </c>
      <c r="E65" s="175">
        <f t="shared" si="25"/>
        <v>0</v>
      </c>
      <c r="F65" s="175">
        <f t="shared" si="25"/>
        <v>0</v>
      </c>
      <c r="G65" s="175">
        <f t="shared" si="25"/>
        <v>0</v>
      </c>
      <c r="H65" s="175">
        <f t="shared" si="25"/>
        <v>0</v>
      </c>
      <c r="I65" s="175">
        <f t="shared" si="25"/>
        <v>0</v>
      </c>
      <c r="J65" s="175">
        <f t="shared" si="25"/>
        <v>0</v>
      </c>
      <c r="K65" s="175">
        <f t="shared" si="25"/>
        <v>0</v>
      </c>
      <c r="L65" s="175">
        <f t="shared" si="25"/>
        <v>0</v>
      </c>
      <c r="M65" s="175">
        <f t="shared" si="25"/>
        <v>14746.3</v>
      </c>
      <c r="N65" s="175">
        <f t="shared" si="25"/>
        <v>0</v>
      </c>
      <c r="O65" s="176">
        <f t="shared" si="25"/>
        <v>0</v>
      </c>
      <c r="P65" s="2"/>
      <c r="Q65" s="2"/>
    </row>
    <row r="66" spans="1:17" x14ac:dyDescent="0.35">
      <c r="A66" s="254">
        <f t="shared" si="5"/>
        <v>23</v>
      </c>
      <c r="B66" s="64" t="str">
        <f t="shared" si="2"/>
        <v>Bank Fees</v>
      </c>
      <c r="C66" s="175">
        <f t="shared" si="2"/>
        <v>0</v>
      </c>
      <c r="D66" s="175">
        <f t="shared" ref="D66:O66" si="26">$C66*D32</f>
        <v>0</v>
      </c>
      <c r="E66" s="175">
        <f t="shared" si="26"/>
        <v>0</v>
      </c>
      <c r="F66" s="175">
        <f t="shared" si="26"/>
        <v>0</v>
      </c>
      <c r="G66" s="175">
        <f t="shared" si="26"/>
        <v>0</v>
      </c>
      <c r="H66" s="175">
        <f t="shared" si="26"/>
        <v>0</v>
      </c>
      <c r="I66" s="175">
        <f t="shared" si="26"/>
        <v>0</v>
      </c>
      <c r="J66" s="175">
        <f t="shared" si="26"/>
        <v>0</v>
      </c>
      <c r="K66" s="175">
        <f t="shared" si="26"/>
        <v>0</v>
      </c>
      <c r="L66" s="175">
        <f t="shared" si="26"/>
        <v>0</v>
      </c>
      <c r="M66" s="175">
        <f t="shared" si="26"/>
        <v>0</v>
      </c>
      <c r="N66" s="175">
        <f t="shared" si="26"/>
        <v>0</v>
      </c>
      <c r="O66" s="176">
        <f t="shared" si="26"/>
        <v>0</v>
      </c>
      <c r="P66" s="2"/>
      <c r="Q66" s="2"/>
    </row>
    <row r="67" spans="1:17" x14ac:dyDescent="0.35">
      <c r="A67" s="254">
        <f t="shared" si="5"/>
        <v>24</v>
      </c>
      <c r="B67" s="64" t="str">
        <f t="shared" si="2"/>
        <v>Bad Debts</v>
      </c>
      <c r="C67" s="175">
        <f t="shared" si="2"/>
        <v>97066.32</v>
      </c>
      <c r="D67" s="175">
        <f t="shared" ref="D67:O67" si="27">$C67*D33</f>
        <v>0</v>
      </c>
      <c r="E67" s="175">
        <f t="shared" si="27"/>
        <v>0</v>
      </c>
      <c r="F67" s="175">
        <f t="shared" si="27"/>
        <v>0</v>
      </c>
      <c r="G67" s="175">
        <f t="shared" si="27"/>
        <v>0</v>
      </c>
      <c r="H67" s="175">
        <f t="shared" si="27"/>
        <v>0</v>
      </c>
      <c r="I67" s="175">
        <f t="shared" si="27"/>
        <v>0</v>
      </c>
      <c r="J67" s="175">
        <f t="shared" si="27"/>
        <v>0</v>
      </c>
      <c r="K67" s="175">
        <f t="shared" si="27"/>
        <v>0</v>
      </c>
      <c r="L67" s="175">
        <f t="shared" si="27"/>
        <v>97066.32</v>
      </c>
      <c r="M67" s="175">
        <f t="shared" si="27"/>
        <v>0</v>
      </c>
      <c r="N67" s="175">
        <f t="shared" si="27"/>
        <v>0</v>
      </c>
      <c r="O67" s="176">
        <f t="shared" si="27"/>
        <v>0</v>
      </c>
      <c r="P67" s="2"/>
      <c r="Q67" s="2"/>
    </row>
    <row r="68" spans="1:17" x14ac:dyDescent="0.35">
      <c r="A68" s="254">
        <f t="shared" si="5"/>
        <v>25</v>
      </c>
      <c r="B68" s="64" t="str">
        <f t="shared" si="2"/>
        <v>Other</v>
      </c>
      <c r="C68" s="175">
        <f t="shared" si="2"/>
        <v>0</v>
      </c>
      <c r="D68" s="175">
        <f t="shared" ref="D68:O68" si="28">$C68*D34</f>
        <v>0</v>
      </c>
      <c r="E68" s="175">
        <f t="shared" si="28"/>
        <v>0</v>
      </c>
      <c r="F68" s="175">
        <f t="shared" si="28"/>
        <v>0</v>
      </c>
      <c r="G68" s="175">
        <f t="shared" si="28"/>
        <v>0</v>
      </c>
      <c r="H68" s="175">
        <f t="shared" si="28"/>
        <v>0</v>
      </c>
      <c r="I68" s="175">
        <f t="shared" si="28"/>
        <v>0</v>
      </c>
      <c r="J68" s="175">
        <f t="shared" si="28"/>
        <v>0</v>
      </c>
      <c r="K68" s="175">
        <f t="shared" si="28"/>
        <v>0</v>
      </c>
      <c r="L68" s="175">
        <f t="shared" si="28"/>
        <v>0</v>
      </c>
      <c r="M68" s="175">
        <f t="shared" si="28"/>
        <v>0</v>
      </c>
      <c r="N68" s="175">
        <f t="shared" si="28"/>
        <v>0</v>
      </c>
      <c r="O68" s="176">
        <f t="shared" si="28"/>
        <v>0</v>
      </c>
      <c r="P68" s="2"/>
      <c r="Q68" s="2"/>
    </row>
    <row r="69" spans="1:17" x14ac:dyDescent="0.35">
      <c r="A69" s="254">
        <f t="shared" si="5"/>
        <v>26</v>
      </c>
      <c r="B69" s="64" t="str">
        <f t="shared" si="2"/>
        <v>IGPC O&amp;M</v>
      </c>
      <c r="C69" s="175">
        <f t="shared" si="2"/>
        <v>60000</v>
      </c>
      <c r="D69" s="175">
        <f t="shared" ref="D69:O69" si="29">$C69*D35</f>
        <v>0</v>
      </c>
      <c r="E69" s="175">
        <f t="shared" si="29"/>
        <v>0</v>
      </c>
      <c r="F69" s="175">
        <f t="shared" si="29"/>
        <v>0</v>
      </c>
      <c r="G69" s="175">
        <f t="shared" si="29"/>
        <v>0</v>
      </c>
      <c r="H69" s="175">
        <f t="shared" si="29"/>
        <v>0</v>
      </c>
      <c r="I69" s="175">
        <f t="shared" si="29"/>
        <v>0</v>
      </c>
      <c r="J69" s="175">
        <f t="shared" si="29"/>
        <v>0</v>
      </c>
      <c r="K69" s="175">
        <f t="shared" si="29"/>
        <v>0</v>
      </c>
      <c r="L69" s="175">
        <f t="shared" si="29"/>
        <v>0</v>
      </c>
      <c r="M69" s="175">
        <f t="shared" si="29"/>
        <v>0</v>
      </c>
      <c r="N69" s="175">
        <f t="shared" si="29"/>
        <v>60000</v>
      </c>
      <c r="O69" s="176">
        <f t="shared" si="29"/>
        <v>0</v>
      </c>
      <c r="P69" s="2"/>
      <c r="Q69" s="2"/>
    </row>
    <row r="70" spans="1:17" x14ac:dyDescent="0.35">
      <c r="A70" s="254">
        <f t="shared" si="5"/>
        <v>27</v>
      </c>
      <c r="B70" s="64" t="str">
        <f t="shared" si="2"/>
        <v>LEAP</v>
      </c>
      <c r="C70" s="175">
        <f t="shared" si="2"/>
        <v>10055</v>
      </c>
      <c r="D70" s="175">
        <f t="shared" ref="D70:O70" si="30">$C70*D36</f>
        <v>0</v>
      </c>
      <c r="E70" s="175">
        <f t="shared" si="30"/>
        <v>0</v>
      </c>
      <c r="F70" s="175">
        <f t="shared" si="30"/>
        <v>0</v>
      </c>
      <c r="G70" s="175">
        <f t="shared" si="30"/>
        <v>0</v>
      </c>
      <c r="H70" s="175">
        <f t="shared" si="30"/>
        <v>0</v>
      </c>
      <c r="I70" s="175">
        <f t="shared" si="30"/>
        <v>0</v>
      </c>
      <c r="J70" s="175">
        <f t="shared" si="30"/>
        <v>0</v>
      </c>
      <c r="K70" s="175">
        <f t="shared" si="30"/>
        <v>0</v>
      </c>
      <c r="L70" s="175">
        <f t="shared" si="30"/>
        <v>0</v>
      </c>
      <c r="M70" s="175">
        <f t="shared" si="30"/>
        <v>0</v>
      </c>
      <c r="N70" s="175">
        <f t="shared" si="30"/>
        <v>0</v>
      </c>
      <c r="O70" s="176">
        <f t="shared" si="30"/>
        <v>10055</v>
      </c>
      <c r="P70" s="2"/>
      <c r="Q70" s="2"/>
    </row>
    <row r="71" spans="1:17" x14ac:dyDescent="0.35">
      <c r="A71" s="254">
        <f t="shared" si="5"/>
        <v>28</v>
      </c>
      <c r="B71" s="64" t="str">
        <f t="shared" si="2"/>
        <v>Disallowed Cost</v>
      </c>
      <c r="C71" s="175">
        <f t="shared" si="2"/>
        <v>-180000</v>
      </c>
      <c r="D71" s="175">
        <f t="shared" ref="D71:O71" si="31">$C71*D37</f>
        <v>0</v>
      </c>
      <c r="E71" s="175">
        <f t="shared" si="31"/>
        <v>0</v>
      </c>
      <c r="F71" s="175">
        <f t="shared" si="31"/>
        <v>0</v>
      </c>
      <c r="G71" s="175">
        <f t="shared" si="31"/>
        <v>0</v>
      </c>
      <c r="H71" s="175">
        <f t="shared" si="31"/>
        <v>0</v>
      </c>
      <c r="I71" s="175">
        <f t="shared" si="31"/>
        <v>0</v>
      </c>
      <c r="J71" s="175">
        <f t="shared" si="31"/>
        <v>0</v>
      </c>
      <c r="K71" s="175">
        <f t="shared" si="31"/>
        <v>0</v>
      </c>
      <c r="L71" s="175">
        <f t="shared" si="31"/>
        <v>0</v>
      </c>
      <c r="M71" s="175">
        <f t="shared" si="31"/>
        <v>0</v>
      </c>
      <c r="N71" s="175">
        <f t="shared" si="31"/>
        <v>0</v>
      </c>
      <c r="O71" s="176">
        <f t="shared" si="31"/>
        <v>-180000</v>
      </c>
      <c r="P71" s="2"/>
      <c r="Q71" s="2"/>
    </row>
    <row r="72" spans="1:17" x14ac:dyDescent="0.35">
      <c r="A72" s="254">
        <f t="shared" si="5"/>
        <v>29</v>
      </c>
      <c r="B72" s="64" t="str">
        <f t="shared" si="2"/>
        <v>Property Taxes</v>
      </c>
      <c r="C72" s="175">
        <f t="shared" si="2"/>
        <v>705564</v>
      </c>
      <c r="D72" s="175">
        <f t="shared" ref="D72:O72" si="32">$C72*D38</f>
        <v>0</v>
      </c>
      <c r="E72" s="175">
        <f t="shared" si="32"/>
        <v>0</v>
      </c>
      <c r="F72" s="175">
        <f t="shared" si="32"/>
        <v>0</v>
      </c>
      <c r="G72" s="175">
        <f t="shared" si="32"/>
        <v>496584.18534513179</v>
      </c>
      <c r="H72" s="175">
        <f t="shared" si="32"/>
        <v>100747.44248944455</v>
      </c>
      <c r="I72" s="175">
        <f t="shared" si="32"/>
        <v>645.22623687820987</v>
      </c>
      <c r="J72" s="175">
        <f t="shared" si="32"/>
        <v>4943.5389889136986</v>
      </c>
      <c r="K72" s="175">
        <f t="shared" si="32"/>
        <v>2220.7549349504447</v>
      </c>
      <c r="L72" s="175">
        <f t="shared" si="32"/>
        <v>536.71326163282924</v>
      </c>
      <c r="M72" s="175">
        <f t="shared" si="32"/>
        <v>4886.1387459666703</v>
      </c>
      <c r="N72" s="175">
        <f t="shared" si="32"/>
        <v>95000</v>
      </c>
      <c r="O72" s="176">
        <f t="shared" si="32"/>
        <v>0</v>
      </c>
      <c r="P72" s="2"/>
      <c r="Q72" s="2"/>
    </row>
    <row r="73" spans="1:17" ht="15" thickBot="1" x14ac:dyDescent="0.4">
      <c r="A73" s="255">
        <f>A72+1</f>
        <v>30</v>
      </c>
      <c r="B73" s="251" t="s">
        <v>20</v>
      </c>
      <c r="C73" s="252">
        <f>SUM(C44:C72)</f>
        <v>4847522.4053993253</v>
      </c>
      <c r="D73" s="252">
        <f t="shared" ref="D73:N73" si="33">SUM(D44:D72)</f>
        <v>102947.390568237</v>
      </c>
      <c r="E73" s="252">
        <f t="shared" si="33"/>
        <v>46001.952835567048</v>
      </c>
      <c r="F73" s="252">
        <f t="shared" ref="F73:G73" si="34">SUM(F44:F72)</f>
        <v>657320.7079053116</v>
      </c>
      <c r="G73" s="252">
        <f t="shared" si="34"/>
        <v>496584.18534513179</v>
      </c>
      <c r="H73" s="252">
        <f t="shared" si="33"/>
        <v>399640.89795606647</v>
      </c>
      <c r="I73" s="252">
        <f t="shared" si="33"/>
        <v>733010.56823743461</v>
      </c>
      <c r="J73" s="252">
        <f t="shared" si="33"/>
        <v>574164.82166329992</v>
      </c>
      <c r="K73" s="252">
        <f t="shared" si="33"/>
        <v>39963.745632329483</v>
      </c>
      <c r="L73" s="252">
        <f t="shared" si="33"/>
        <v>103023.43798913423</v>
      </c>
      <c r="M73" s="252">
        <f t="shared" si="33"/>
        <v>1665809.6972697319</v>
      </c>
      <c r="N73" s="252">
        <f t="shared" si="33"/>
        <v>199000</v>
      </c>
      <c r="O73" s="177">
        <f t="shared" ref="O73" si="35">SUM(O44:O72)</f>
        <v>-169945</v>
      </c>
    </row>
  </sheetData>
  <mergeCells count="7">
    <mergeCell ref="N7:N9"/>
    <mergeCell ref="J7:M7"/>
    <mergeCell ref="T29:T31"/>
    <mergeCell ref="E6:G6"/>
    <mergeCell ref="E7:G7"/>
    <mergeCell ref="J8:J9"/>
    <mergeCell ref="H7:I7"/>
  </mergeCells>
  <pageMargins left="0.7" right="0.7" top="0.75" bottom="0.75" header="0.3" footer="0.3"/>
  <pageSetup scale="32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7" tint="0.79998168889431442"/>
    <pageSetUpPr fitToPage="1"/>
  </sheetPr>
  <dimension ref="B1:D54"/>
  <sheetViews>
    <sheetView showGridLines="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D8" sqref="D8"/>
    </sheetView>
  </sheetViews>
  <sheetFormatPr defaultColWidth="9" defaultRowHeight="14.5" x14ac:dyDescent="0.35"/>
  <cols>
    <col min="1" max="1" width="0" hidden="1" customWidth="1"/>
    <col min="2" max="2" width="13.08984375" customWidth="1"/>
    <col min="3" max="3" width="26.453125" customWidth="1"/>
    <col min="4" max="4" width="14.08984375" style="78" customWidth="1"/>
  </cols>
  <sheetData>
    <row r="1" spans="2:4" x14ac:dyDescent="0.35">
      <c r="B1" s="7" t="s">
        <v>266</v>
      </c>
    </row>
    <row r="2" spans="2:4" x14ac:dyDescent="0.35">
      <c r="B2" s="7" t="s">
        <v>265</v>
      </c>
    </row>
    <row r="3" spans="2:4" x14ac:dyDescent="0.35">
      <c r="B3" s="7" t="s">
        <v>267</v>
      </c>
    </row>
    <row r="4" spans="2:4" ht="15" thickBot="1" x14ac:dyDescent="0.4">
      <c r="B4" s="7" t="str">
        <f ca="1">MID(CELL("filename",B1),FIND("]",CELL("filename",B1))+1,255)</f>
        <v>Functionalized Trial Balance</v>
      </c>
    </row>
    <row r="5" spans="2:4" ht="15" thickBot="1" x14ac:dyDescent="0.4">
      <c r="B5" s="180" t="s">
        <v>55</v>
      </c>
      <c r="C5" s="181" t="s">
        <v>54</v>
      </c>
      <c r="D5" s="182" t="s">
        <v>56</v>
      </c>
    </row>
    <row r="6" spans="2:4" x14ac:dyDescent="0.35">
      <c r="B6" s="383" t="s">
        <v>51</v>
      </c>
      <c r="C6" s="36" t="str">
        <f>'Capital Functionlization'!F8</f>
        <v>Gas Supply</v>
      </c>
      <c r="D6" s="178">
        <f>'Capital Functionlization'!F55</f>
        <v>0</v>
      </c>
    </row>
    <row r="7" spans="2:4" x14ac:dyDescent="0.35">
      <c r="B7" s="384"/>
      <c r="C7" t="str">
        <f>'Capital Functionlization'!G8</f>
        <v>Measurement</v>
      </c>
      <c r="D7" s="39">
        <f>'Capital Functionlization'!G55</f>
        <v>1366118.8049959841</v>
      </c>
    </row>
    <row r="8" spans="2:4" x14ac:dyDescent="0.35">
      <c r="B8" s="384"/>
      <c r="C8" t="str">
        <f>'Capital Functionlization'!H8</f>
        <v>Mains</v>
      </c>
      <c r="D8" s="39">
        <f>'Capital Functionlization'!H55</f>
        <v>300333.97162865684</v>
      </c>
    </row>
    <row r="9" spans="2:4" x14ac:dyDescent="0.35">
      <c r="B9" s="384"/>
      <c r="C9" t="str">
        <f>'Capital Functionlization'!I8</f>
        <v>Mains x R6</v>
      </c>
      <c r="D9" s="39">
        <f>'Capital Functionlization'!I55</f>
        <v>10629966.976569345</v>
      </c>
    </row>
    <row r="10" spans="2:4" x14ac:dyDescent="0.35">
      <c r="B10" s="384"/>
      <c r="C10" t="str">
        <f>'Capital Functionlization'!J8</f>
        <v>Services</v>
      </c>
      <c r="D10" s="39">
        <f>'Capital Functionlization'!J55</f>
        <v>4947219.1314959703</v>
      </c>
    </row>
    <row r="11" spans="2:4" x14ac:dyDescent="0.35">
      <c r="B11" s="384"/>
      <c r="C11" t="str">
        <f>'Capital Functionlization'!K8</f>
        <v>Meters</v>
      </c>
      <c r="D11" s="39">
        <f>'Capital Functionlization'!K55</f>
        <v>222379.53272628007</v>
      </c>
    </row>
    <row r="12" spans="2:4" x14ac:dyDescent="0.35">
      <c r="B12" s="384"/>
      <c r="C12" t="s">
        <v>131</v>
      </c>
      <c r="D12" s="39">
        <f>'Capital Functionlization'!Q46</f>
        <v>1984821.0875446172</v>
      </c>
    </row>
    <row r="13" spans="2:4" x14ac:dyDescent="0.35">
      <c r="B13" s="384"/>
      <c r="C13" t="s">
        <v>129</v>
      </c>
      <c r="D13" s="39">
        <f>'Capital Functionlization'!Q44</f>
        <v>978729.99028487084</v>
      </c>
    </row>
    <row r="14" spans="2:4" x14ac:dyDescent="0.35">
      <c r="B14" s="384"/>
      <c r="C14" t="str">
        <f>'Capital Functionlization'!L8</f>
        <v>Billing/ Accounting</v>
      </c>
      <c r="D14" s="39">
        <f>'Capital Functionlization'!L55</f>
        <v>125729.06581614442</v>
      </c>
    </row>
    <row r="15" spans="2:4" x14ac:dyDescent="0.35">
      <c r="B15" s="384"/>
      <c r="C15" t="str">
        <f>'Capital Functionlization'!M8</f>
        <v>Promotion</v>
      </c>
      <c r="D15" s="39">
        <f>'Capital Functionlization'!M55</f>
        <v>47426.116634037753</v>
      </c>
    </row>
    <row r="16" spans="2:4" x14ac:dyDescent="0.35">
      <c r="B16" s="384"/>
      <c r="C16" t="str">
        <f>'Capital Functionlization'!N8</f>
        <v>Bad Debt/Collection</v>
      </c>
      <c r="D16" s="39">
        <f>'Capital Functionlization'!N55</f>
        <v>27703.937485975315</v>
      </c>
    </row>
    <row r="17" spans="2:4" x14ac:dyDescent="0.35">
      <c r="B17" s="384"/>
      <c r="C17" t="str">
        <f>'Capital Functionlization'!O8</f>
        <v xml:space="preserve">A&amp;G  </v>
      </c>
      <c r="D17" s="39">
        <f>'Capital Functionlization'!O55</f>
        <v>736029.67950754799</v>
      </c>
    </row>
    <row r="18" spans="2:4" ht="15" thickBot="1" x14ac:dyDescent="0.4">
      <c r="B18" s="384"/>
      <c r="C18" t="str">
        <f>'Capital Functionlization'!P7</f>
        <v>Direct Assignment to IGPC</v>
      </c>
      <c r="D18" s="39">
        <f>'Capital Functionlization'!P55</f>
        <v>3454483.96568745</v>
      </c>
    </row>
    <row r="19" spans="2:4" x14ac:dyDescent="0.35">
      <c r="B19" s="385" t="s">
        <v>0</v>
      </c>
      <c r="C19" s="36" t="str">
        <f t="shared" ref="C19:C26" si="0">C6</f>
        <v>Gas Supply</v>
      </c>
      <c r="D19" s="178">
        <f>'Capital Functionlization'!F81</f>
        <v>0</v>
      </c>
    </row>
    <row r="20" spans="2:4" x14ac:dyDescent="0.35">
      <c r="B20" s="386"/>
      <c r="C20" t="str">
        <f t="shared" si="0"/>
        <v>Measurement</v>
      </c>
      <c r="D20" s="39">
        <f>'Capital Functionlization'!G81</f>
        <v>56934.597419794765</v>
      </c>
    </row>
    <row r="21" spans="2:4" x14ac:dyDescent="0.35">
      <c r="B21" s="386"/>
      <c r="C21" t="str">
        <f t="shared" si="0"/>
        <v>Mains</v>
      </c>
      <c r="D21" s="39">
        <f>'Capital Functionlization'!H81</f>
        <v>51535.594601708282</v>
      </c>
    </row>
    <row r="22" spans="2:4" x14ac:dyDescent="0.35">
      <c r="B22" s="386" t="s">
        <v>47</v>
      </c>
      <c r="C22" t="str">
        <f t="shared" si="0"/>
        <v>Mains x R6</v>
      </c>
      <c r="D22" s="39">
        <f>'Capital Functionlization'!I81</f>
        <v>351784.78209950833</v>
      </c>
    </row>
    <row r="23" spans="2:4" x14ac:dyDescent="0.35">
      <c r="B23" s="386"/>
      <c r="C23" t="str">
        <f t="shared" si="0"/>
        <v>Services</v>
      </c>
      <c r="D23" s="39">
        <f>'Capital Functionlization'!J81</f>
        <v>189371.79018955951</v>
      </c>
    </row>
    <row r="24" spans="2:4" x14ac:dyDescent="0.35">
      <c r="B24" s="386"/>
      <c r="C24" t="str">
        <f t="shared" si="0"/>
        <v>Meters</v>
      </c>
      <c r="D24" s="39">
        <f>'Capital Functionlization'!K81</f>
        <v>22684.013751989689</v>
      </c>
    </row>
    <row r="25" spans="2:4" x14ac:dyDescent="0.35">
      <c r="B25" s="386"/>
      <c r="C25" t="str">
        <f t="shared" si="0"/>
        <v>Residential Meters</v>
      </c>
      <c r="D25" s="39">
        <f>'Capital Functionlization'!Q72</f>
        <v>293692.54285961087</v>
      </c>
    </row>
    <row r="26" spans="2:4" x14ac:dyDescent="0.35">
      <c r="B26" s="386"/>
      <c r="C26" t="str">
        <f t="shared" si="0"/>
        <v>Commercial Meters</v>
      </c>
      <c r="D26" s="39">
        <f>'Capital Functionlization'!Q70</f>
        <v>89746.799810085897</v>
      </c>
    </row>
    <row r="27" spans="2:4" x14ac:dyDescent="0.35">
      <c r="B27" s="386"/>
      <c r="C27" t="str">
        <f t="shared" ref="C27:C31" si="1">C14</f>
        <v>Billing/ Accounting</v>
      </c>
      <c r="D27" s="39">
        <f>'Capital Functionlization'!L81</f>
        <v>9276.1526486681614</v>
      </c>
    </row>
    <row r="28" spans="2:4" x14ac:dyDescent="0.35">
      <c r="B28" s="386"/>
      <c r="C28" t="str">
        <f t="shared" si="1"/>
        <v>Promotion</v>
      </c>
      <c r="D28" s="39">
        <f>'Capital Functionlization'!M81</f>
        <v>3159.6953092409649</v>
      </c>
    </row>
    <row r="29" spans="2:4" x14ac:dyDescent="0.35">
      <c r="B29" s="386"/>
      <c r="C29" t="str">
        <f t="shared" si="1"/>
        <v>Bad Debt/Collection</v>
      </c>
      <c r="D29" s="39">
        <f>'Capital Functionlization'!N81</f>
        <v>2349.3020289086944</v>
      </c>
    </row>
    <row r="30" spans="2:4" x14ac:dyDescent="0.35">
      <c r="B30" s="386"/>
      <c r="C30" t="str">
        <f>C17</f>
        <v xml:space="preserve">A&amp;G  </v>
      </c>
      <c r="D30" s="39">
        <f>'Capital Functionlization'!O81</f>
        <v>105421.99388255716</v>
      </c>
    </row>
    <row r="31" spans="2:4" ht="15" thickBot="1" x14ac:dyDescent="0.4">
      <c r="B31" s="387"/>
      <c r="C31" t="str">
        <f t="shared" si="1"/>
        <v>Direct Assignment to IGPC</v>
      </c>
      <c r="D31" s="179">
        <f>'Capital Functionlization'!P81</f>
        <v>126749.90959116473</v>
      </c>
    </row>
    <row r="32" spans="2:4" x14ac:dyDescent="0.35">
      <c r="B32" s="383" t="s">
        <v>50</v>
      </c>
      <c r="C32" s="36" t="str">
        <f>C19</f>
        <v>Gas Supply</v>
      </c>
      <c r="D32" s="178">
        <f>'OM&amp;A Functionalization'!D73</f>
        <v>102947.390568237</v>
      </c>
    </row>
    <row r="33" spans="2:4" x14ac:dyDescent="0.35">
      <c r="B33" s="384"/>
      <c r="C33" t="str">
        <f>C20</f>
        <v>Measurement</v>
      </c>
      <c r="D33" s="39">
        <f>'OM&amp;A Functionalization'!E73</f>
        <v>46001.952835567048</v>
      </c>
    </row>
    <row r="34" spans="2:4" x14ac:dyDescent="0.35">
      <c r="B34" s="384"/>
      <c r="C34" t="str">
        <f>C21</f>
        <v>Mains</v>
      </c>
      <c r="D34" s="39">
        <f>'OM&amp;A Functionalization'!F73</f>
        <v>657320.7079053116</v>
      </c>
    </row>
    <row r="35" spans="2:4" x14ac:dyDescent="0.35">
      <c r="B35" s="384"/>
      <c r="C35" t="str">
        <f>C22</f>
        <v>Mains x R6</v>
      </c>
      <c r="D35" s="39">
        <f>'OM&amp;A Functionalization'!G73</f>
        <v>496584.18534513179</v>
      </c>
    </row>
    <row r="36" spans="2:4" x14ac:dyDescent="0.35">
      <c r="B36" s="384"/>
      <c r="C36" t="str">
        <f>C23</f>
        <v>Services</v>
      </c>
      <c r="D36" s="39">
        <f>'OM&amp;A Functionalization'!H73</f>
        <v>399640.89795606647</v>
      </c>
    </row>
    <row r="37" spans="2:4" x14ac:dyDescent="0.35">
      <c r="B37" s="384"/>
      <c r="C37" t="str">
        <f t="shared" ref="C37" si="2">C24</f>
        <v>Meters</v>
      </c>
      <c r="D37" s="39">
        <f>'OM&amp;A Functionalization'!I73</f>
        <v>733010.56823743461</v>
      </c>
    </row>
    <row r="38" spans="2:4" x14ac:dyDescent="0.35">
      <c r="B38" s="384"/>
      <c r="C38" t="str">
        <f t="shared" ref="C38:C42" si="3">C27</f>
        <v>Billing/ Accounting</v>
      </c>
      <c r="D38" s="39">
        <f>'OM&amp;A Functionalization'!J73</f>
        <v>574164.82166329992</v>
      </c>
    </row>
    <row r="39" spans="2:4" x14ac:dyDescent="0.35">
      <c r="B39" s="384"/>
      <c r="C39" t="str">
        <f t="shared" si="3"/>
        <v>Promotion</v>
      </c>
      <c r="D39" s="39">
        <f>'OM&amp;A Functionalization'!K73</f>
        <v>39963.745632329483</v>
      </c>
    </row>
    <row r="40" spans="2:4" x14ac:dyDescent="0.35">
      <c r="B40" s="384"/>
      <c r="C40" t="str">
        <f t="shared" si="3"/>
        <v>Bad Debt/Collection</v>
      </c>
      <c r="D40" s="39">
        <f>'OM&amp;A Functionalization'!L73</f>
        <v>103023.43798913423</v>
      </c>
    </row>
    <row r="41" spans="2:4" x14ac:dyDescent="0.35">
      <c r="B41" s="384"/>
      <c r="C41" t="str">
        <f t="shared" si="3"/>
        <v xml:space="preserve">A&amp;G  </v>
      </c>
      <c r="D41" s="39">
        <f>'OM&amp;A Functionalization'!M73</f>
        <v>1665809.6972697319</v>
      </c>
    </row>
    <row r="42" spans="2:4" x14ac:dyDescent="0.35">
      <c r="B42" s="384"/>
      <c r="C42" t="str">
        <f t="shared" si="3"/>
        <v>Direct Assignment to IGPC</v>
      </c>
      <c r="D42" s="39">
        <f>'OM&amp;A Functionalization'!N73</f>
        <v>199000</v>
      </c>
    </row>
    <row r="43" spans="2:4" ht="15" thickBot="1" x14ac:dyDescent="0.4">
      <c r="B43" s="388"/>
      <c r="C43" s="155" t="str">
        <f>'OM&amp;A Functionalization'!O9</f>
        <v>Assignment</v>
      </c>
      <c r="D43" s="179">
        <f>'OM&amp;A Functionalization'!O73</f>
        <v>-169945</v>
      </c>
    </row>
    <row r="44" spans="2:4" x14ac:dyDescent="0.35">
      <c r="B44" s="386" t="s">
        <v>53</v>
      </c>
      <c r="C44" t="str">
        <f>'Trial Balance'!D5</f>
        <v>Return on Deemed Equity</v>
      </c>
      <c r="D44" s="39">
        <f>'Trial Balance'!E5</f>
        <v>957596.24</v>
      </c>
    </row>
    <row r="45" spans="2:4" x14ac:dyDescent="0.35">
      <c r="B45" s="386"/>
      <c r="C45" t="str">
        <f>'Trial Balance'!D6</f>
        <v>Income Taxes (Grossed up)</v>
      </c>
      <c r="D45" s="39">
        <f>'Trial Balance'!E6</f>
        <v>11366.307104064032</v>
      </c>
    </row>
    <row r="46" spans="2:4" ht="15" thickBot="1" x14ac:dyDescent="0.4">
      <c r="B46" s="387"/>
      <c r="C46" s="155" t="str">
        <f>'Trial Balance'!D7</f>
        <v>Deemed Interest Expense</v>
      </c>
      <c r="D46" s="179">
        <f>'Trial Balance'!E7</f>
        <v>613545.19999999995</v>
      </c>
    </row>
    <row r="47" spans="2:4" x14ac:dyDescent="0.35">
      <c r="B47" s="385" t="s">
        <v>52</v>
      </c>
      <c r="C47" s="36" t="str">
        <f>'Trial Balance'!D70</f>
        <v>Late Payment Charge               </v>
      </c>
      <c r="D47" s="178">
        <f>'Trial Balance'!E70</f>
        <v>-36939.999999995998</v>
      </c>
    </row>
    <row r="48" spans="2:4" x14ac:dyDescent="0.35">
      <c r="B48" s="386"/>
      <c r="C48" t="str">
        <f>'Trial Balance'!D71</f>
        <v>Collection &amp; NSF Fees             </v>
      </c>
      <c r="D48" s="39">
        <f>'Trial Balance'!E71</f>
        <v>-2976</v>
      </c>
    </row>
    <row r="49" spans="2:4" x14ac:dyDescent="0.35">
      <c r="B49" s="386"/>
      <c r="C49" t="str">
        <f>'Trial Balance'!D72</f>
        <v>Connection Fees                   </v>
      </c>
      <c r="D49" s="39">
        <f>'Trial Balance'!E72</f>
        <v>-37332</v>
      </c>
    </row>
    <row r="50" spans="2:4" x14ac:dyDescent="0.35">
      <c r="B50" s="386"/>
      <c r="C50" t="str">
        <f>'Trial Balance'!D73</f>
        <v>Bank Interest</v>
      </c>
      <c r="D50" s="39">
        <f>'Trial Balance'!E73</f>
        <v>0</v>
      </c>
    </row>
    <row r="51" spans="2:4" ht="15" thickBot="1" x14ac:dyDescent="0.4">
      <c r="B51" s="387"/>
      <c r="C51" s="155" t="str">
        <f>'Trial Balance'!D74</f>
        <v>Miscellaneous Revenue             </v>
      </c>
      <c r="D51" s="179">
        <f>'Trial Balance'!E74</f>
        <v>-31140</v>
      </c>
    </row>
    <row r="52" spans="2:4" x14ac:dyDescent="0.35">
      <c r="B52" s="5"/>
    </row>
    <row r="53" spans="2:4" x14ac:dyDescent="0.35">
      <c r="B53" s="5"/>
    </row>
    <row r="54" spans="2:4" x14ac:dyDescent="0.35">
      <c r="B54" s="5"/>
    </row>
  </sheetData>
  <sheetProtection sheet="1" objects="1" scenarios="1"/>
  <mergeCells count="5">
    <mergeCell ref="B6:B18"/>
    <mergeCell ref="B19:B31"/>
    <mergeCell ref="B47:B51"/>
    <mergeCell ref="B44:B46"/>
    <mergeCell ref="B32:B43"/>
  </mergeCells>
  <pageMargins left="0.7" right="0.7" top="0.75" bottom="0.75" header="0.3" footer="0.3"/>
  <pageSetup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R63"/>
  <sheetViews>
    <sheetView showGridLines="0" workbookViewId="0">
      <pane xSplit="3" ySplit="5" topLeftCell="D38" activePane="bottomRight" state="frozen"/>
      <selection pane="topRight" activeCell="D1" sqref="D1"/>
      <selection pane="bottomLeft" activeCell="A3" sqref="A3"/>
      <selection pane="bottomRight" activeCell="H28" sqref="H28"/>
    </sheetView>
  </sheetViews>
  <sheetFormatPr defaultColWidth="9" defaultRowHeight="14.5" x14ac:dyDescent="0.35"/>
  <cols>
    <col min="1" max="1" width="12.90625" style="184" customWidth="1"/>
    <col min="2" max="2" width="23.6328125" style="184" customWidth="1"/>
    <col min="3" max="3" width="18.36328125" style="185" customWidth="1"/>
    <col min="4" max="4" width="11.08984375" style="184" bestFit="1" customWidth="1"/>
    <col min="5" max="5" width="12.7265625" style="184" bestFit="1" customWidth="1"/>
    <col min="6" max="6" width="12.7265625" style="184" customWidth="1"/>
    <col min="7" max="8" width="12.7265625" style="184" bestFit="1" customWidth="1"/>
    <col min="9" max="10" width="12.7265625" style="184" customWidth="1"/>
    <col min="11" max="11" width="11.08984375" style="184" bestFit="1" customWidth="1"/>
    <col min="12" max="12" width="12.7265625" style="184" bestFit="1" customWidth="1"/>
    <col min="13" max="13" width="12.7265625" style="184" customWidth="1"/>
    <col min="14" max="14" width="11.08984375" style="184" bestFit="1" customWidth="1"/>
    <col min="15" max="16" width="12.7265625" style="184" bestFit="1" customWidth="1"/>
    <col min="17" max="17" width="12.7265625" style="184" customWidth="1"/>
    <col min="18" max="16384" width="9" style="184"/>
  </cols>
  <sheetData>
    <row r="1" spans="1:18" x14ac:dyDescent="0.35">
      <c r="A1" s="183" t="s">
        <v>266</v>
      </c>
    </row>
    <row r="2" spans="1:18" x14ac:dyDescent="0.35">
      <c r="A2" s="183" t="s">
        <v>265</v>
      </c>
    </row>
    <row r="3" spans="1:18" x14ac:dyDescent="0.35">
      <c r="A3" s="183" t="s">
        <v>267</v>
      </c>
    </row>
    <row r="4" spans="1:18" ht="15" thickBot="1" x14ac:dyDescent="0.4">
      <c r="A4" s="183" t="str">
        <f ca="1">MID(CELL("filename",A1),FIND("]",CELL("filename",A1))+1,255)</f>
        <v>Classification</v>
      </c>
    </row>
    <row r="5" spans="1:18" ht="43.5" x14ac:dyDescent="0.35">
      <c r="A5" s="266"/>
      <c r="B5" s="99"/>
      <c r="C5" s="256" t="s">
        <v>143</v>
      </c>
      <c r="D5" s="55" t="s">
        <v>75</v>
      </c>
      <c r="E5" s="55" t="s">
        <v>76</v>
      </c>
      <c r="F5" s="55" t="s">
        <v>152</v>
      </c>
      <c r="G5" s="55" t="s">
        <v>77</v>
      </c>
      <c r="H5" s="55" t="s">
        <v>78</v>
      </c>
      <c r="I5" s="55" t="s">
        <v>131</v>
      </c>
      <c r="J5" s="55" t="s">
        <v>129</v>
      </c>
      <c r="K5" s="55" t="s">
        <v>79</v>
      </c>
      <c r="L5" s="55" t="s">
        <v>80</v>
      </c>
      <c r="M5" s="55" t="s">
        <v>227</v>
      </c>
      <c r="N5" s="55" t="s">
        <v>81</v>
      </c>
      <c r="O5" s="55" t="s">
        <v>82</v>
      </c>
      <c r="P5" s="55" t="s">
        <v>26</v>
      </c>
      <c r="Q5" s="55" t="s">
        <v>125</v>
      </c>
      <c r="R5" s="257"/>
    </row>
    <row r="6" spans="1:18" x14ac:dyDescent="0.35">
      <c r="A6" s="267">
        <v>1</v>
      </c>
      <c r="B6" s="202" t="str">
        <f>'Functionalized Trial Balance'!C6</f>
        <v>Gas Supply</v>
      </c>
      <c r="C6" s="258"/>
      <c r="D6" s="259">
        <v>1</v>
      </c>
      <c r="E6" s="259"/>
      <c r="F6" s="259"/>
      <c r="G6" s="259"/>
      <c r="H6" s="259"/>
      <c r="I6" s="259"/>
      <c r="J6" s="259"/>
      <c r="K6" s="259"/>
      <c r="L6" s="260"/>
      <c r="M6" s="260"/>
      <c r="N6" s="259"/>
      <c r="O6" s="259"/>
      <c r="P6" s="259"/>
      <c r="Q6" s="259"/>
      <c r="R6" s="261">
        <f t="shared" ref="R6:R18" si="0">SUM(D6:Q6)</f>
        <v>1</v>
      </c>
    </row>
    <row r="7" spans="1:18" x14ac:dyDescent="0.35">
      <c r="A7" s="267">
        <f>A6+1</f>
        <v>2</v>
      </c>
      <c r="B7" s="202" t="str">
        <f>'Functionalized Trial Balance'!C7</f>
        <v>Measurement</v>
      </c>
      <c r="C7" s="258"/>
      <c r="D7" s="259">
        <v>0.5</v>
      </c>
      <c r="E7" s="259"/>
      <c r="F7" s="259">
        <v>0.5</v>
      </c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61">
        <f t="shared" si="0"/>
        <v>1</v>
      </c>
    </row>
    <row r="8" spans="1:18" x14ac:dyDescent="0.35">
      <c r="A8" s="267">
        <f t="shared" ref="A8:A19" si="1">A7+1</f>
        <v>3</v>
      </c>
      <c r="B8" s="202" t="str">
        <f>'Functionalized Trial Balance'!C8</f>
        <v>Mains</v>
      </c>
      <c r="C8" s="258"/>
      <c r="D8" s="259"/>
      <c r="E8" s="259">
        <v>0.6653</v>
      </c>
      <c r="F8" s="259"/>
      <c r="G8" s="259"/>
      <c r="H8" s="259"/>
      <c r="I8" s="259"/>
      <c r="J8" s="259"/>
      <c r="K8" s="259"/>
      <c r="L8" s="259">
        <v>0.3347</v>
      </c>
      <c r="M8" s="259"/>
      <c r="N8" s="259"/>
      <c r="O8" s="259"/>
      <c r="P8" s="259"/>
      <c r="Q8" s="259"/>
      <c r="R8" s="261">
        <f t="shared" si="0"/>
        <v>1</v>
      </c>
    </row>
    <row r="9" spans="1:18" x14ac:dyDescent="0.35">
      <c r="A9" s="267">
        <f t="shared" si="1"/>
        <v>4</v>
      </c>
      <c r="B9" s="202" t="str">
        <f>'Functionalized Trial Balance'!C9</f>
        <v>Mains x R6</v>
      </c>
      <c r="C9" s="258"/>
      <c r="D9" s="259"/>
      <c r="E9" s="259"/>
      <c r="F9" s="259">
        <f>E8</f>
        <v>0.6653</v>
      </c>
      <c r="G9" s="259"/>
      <c r="H9" s="259"/>
      <c r="I9" s="259"/>
      <c r="J9" s="259"/>
      <c r="K9" s="259"/>
      <c r="L9" s="259"/>
      <c r="M9" s="259">
        <f>L8</f>
        <v>0.3347</v>
      </c>
      <c r="N9" s="259"/>
      <c r="O9" s="259"/>
      <c r="P9" s="259"/>
      <c r="Q9" s="259"/>
      <c r="R9" s="261">
        <f t="shared" si="0"/>
        <v>1</v>
      </c>
    </row>
    <row r="10" spans="1:18" x14ac:dyDescent="0.35">
      <c r="A10" s="267">
        <f t="shared" si="1"/>
        <v>5</v>
      </c>
      <c r="B10" s="202" t="str">
        <f>'Functionalized Trial Balance'!C10</f>
        <v>Services</v>
      </c>
      <c r="C10" s="258"/>
      <c r="D10" s="259"/>
      <c r="E10" s="259"/>
      <c r="F10" s="259"/>
      <c r="G10" s="259">
        <v>1</v>
      </c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61">
        <f t="shared" si="0"/>
        <v>1</v>
      </c>
    </row>
    <row r="11" spans="1:18" x14ac:dyDescent="0.35">
      <c r="A11" s="267">
        <f t="shared" si="1"/>
        <v>6</v>
      </c>
      <c r="B11" s="202" t="str">
        <f>'Functionalized Trial Balance'!C11</f>
        <v>Meters</v>
      </c>
      <c r="C11" s="258"/>
      <c r="D11" s="259"/>
      <c r="E11" s="259"/>
      <c r="F11" s="259"/>
      <c r="G11" s="259"/>
      <c r="H11" s="259">
        <v>1</v>
      </c>
      <c r="I11" s="259"/>
      <c r="J11" s="259"/>
      <c r="K11" s="259"/>
      <c r="L11" s="259"/>
      <c r="M11" s="259"/>
      <c r="N11" s="259"/>
      <c r="O11" s="259"/>
      <c r="P11" s="259"/>
      <c r="Q11" s="259"/>
      <c r="R11" s="261">
        <f t="shared" si="0"/>
        <v>1</v>
      </c>
    </row>
    <row r="12" spans="1:18" x14ac:dyDescent="0.35">
      <c r="A12" s="267">
        <f t="shared" si="1"/>
        <v>7</v>
      </c>
      <c r="B12" s="202" t="str">
        <f>'Functionalized Trial Balance'!C12</f>
        <v>Residential Meters</v>
      </c>
      <c r="C12" s="258"/>
      <c r="D12" s="259"/>
      <c r="E12" s="259"/>
      <c r="F12" s="259"/>
      <c r="G12" s="259"/>
      <c r="H12" s="259"/>
      <c r="I12" s="259">
        <v>1</v>
      </c>
      <c r="J12" s="259"/>
      <c r="K12" s="259"/>
      <c r="L12" s="259"/>
      <c r="M12" s="259"/>
      <c r="N12" s="259"/>
      <c r="O12" s="259"/>
      <c r="P12" s="259"/>
      <c r="Q12" s="259"/>
      <c r="R12" s="261">
        <f t="shared" si="0"/>
        <v>1</v>
      </c>
    </row>
    <row r="13" spans="1:18" x14ac:dyDescent="0.35">
      <c r="A13" s="267">
        <f t="shared" si="1"/>
        <v>8</v>
      </c>
      <c r="B13" s="202" t="str">
        <f>'Functionalized Trial Balance'!C13</f>
        <v>Commercial Meters</v>
      </c>
      <c r="C13" s="258"/>
      <c r="D13" s="259"/>
      <c r="E13" s="259"/>
      <c r="F13" s="259"/>
      <c r="G13" s="259"/>
      <c r="H13" s="259"/>
      <c r="I13" s="259"/>
      <c r="J13" s="259">
        <v>1</v>
      </c>
      <c r="K13" s="259"/>
      <c r="L13" s="259"/>
      <c r="M13" s="259"/>
      <c r="N13" s="259"/>
      <c r="O13" s="259"/>
      <c r="P13" s="259"/>
      <c r="Q13" s="259"/>
      <c r="R13" s="261">
        <f t="shared" si="0"/>
        <v>1</v>
      </c>
    </row>
    <row r="14" spans="1:18" x14ac:dyDescent="0.35">
      <c r="A14" s="267">
        <f t="shared" si="1"/>
        <v>9</v>
      </c>
      <c r="B14" s="202" t="str">
        <f>'Functionalized Trial Balance'!C14</f>
        <v>Billing/ Accounting</v>
      </c>
      <c r="C14" s="258"/>
      <c r="D14" s="259"/>
      <c r="E14" s="259"/>
      <c r="F14" s="259"/>
      <c r="G14" s="259"/>
      <c r="H14" s="259"/>
      <c r="I14" s="259"/>
      <c r="J14" s="259"/>
      <c r="K14" s="259">
        <v>1</v>
      </c>
      <c r="L14" s="259"/>
      <c r="M14" s="259"/>
      <c r="N14" s="259"/>
      <c r="O14" s="259"/>
      <c r="P14" s="259"/>
      <c r="Q14" s="259"/>
      <c r="R14" s="261">
        <f t="shared" si="0"/>
        <v>1</v>
      </c>
    </row>
    <row r="15" spans="1:18" x14ac:dyDescent="0.35">
      <c r="A15" s="267">
        <f t="shared" si="1"/>
        <v>10</v>
      </c>
      <c r="B15" s="202" t="str">
        <f>'Functionalized Trial Balance'!C15</f>
        <v>Promotion</v>
      </c>
      <c r="C15" s="258"/>
      <c r="D15" s="259"/>
      <c r="E15" s="259"/>
      <c r="F15" s="259"/>
      <c r="G15" s="259"/>
      <c r="H15" s="259"/>
      <c r="I15" s="259"/>
      <c r="J15" s="259"/>
      <c r="K15" s="259"/>
      <c r="L15" s="259">
        <v>1</v>
      </c>
      <c r="M15" s="259"/>
      <c r="N15" s="259"/>
      <c r="O15" s="259"/>
      <c r="P15" s="259"/>
      <c r="Q15" s="259"/>
      <c r="R15" s="261">
        <f t="shared" si="0"/>
        <v>1</v>
      </c>
    </row>
    <row r="16" spans="1:18" x14ac:dyDescent="0.35">
      <c r="A16" s="267">
        <f t="shared" si="1"/>
        <v>11</v>
      </c>
      <c r="B16" s="202" t="str">
        <f>'Functionalized Trial Balance'!C16</f>
        <v>Bad Debt/Collection</v>
      </c>
      <c r="C16" s="258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>
        <v>1</v>
      </c>
      <c r="O16" s="259"/>
      <c r="P16" s="259"/>
      <c r="Q16" s="259"/>
      <c r="R16" s="261">
        <f t="shared" si="0"/>
        <v>1</v>
      </c>
    </row>
    <row r="17" spans="1:18" x14ac:dyDescent="0.35">
      <c r="A17" s="267">
        <f t="shared" si="1"/>
        <v>12</v>
      </c>
      <c r="B17" s="202" t="str">
        <f>'Functionalized Trial Balance'!C17</f>
        <v xml:space="preserve">A&amp;G  </v>
      </c>
      <c r="C17" s="258"/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>
        <v>1</v>
      </c>
      <c r="P17" s="259"/>
      <c r="Q17" s="259"/>
      <c r="R17" s="261">
        <f t="shared" si="0"/>
        <v>1</v>
      </c>
    </row>
    <row r="18" spans="1:18" x14ac:dyDescent="0.35">
      <c r="A18" s="267">
        <f t="shared" si="1"/>
        <v>13</v>
      </c>
      <c r="B18" s="202" t="str">
        <f>'Functionalized Trial Balance'!C18</f>
        <v>Direct Assignment to IGPC</v>
      </c>
      <c r="C18" s="258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>
        <v>1</v>
      </c>
      <c r="Q18" s="259"/>
      <c r="R18" s="261">
        <f t="shared" si="0"/>
        <v>1</v>
      </c>
    </row>
    <row r="19" spans="1:18" ht="15" thickBot="1" x14ac:dyDescent="0.4">
      <c r="A19" s="268">
        <f t="shared" si="1"/>
        <v>14</v>
      </c>
      <c r="B19" s="262" t="str">
        <f>'Functionalized Trial Balance'!C43</f>
        <v>Assignment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>
        <f>'OM&amp;A Functionalization'!O71/'OM&amp;A Functionalization'!O73</f>
        <v>1.0591662008296803</v>
      </c>
      <c r="P19" s="264"/>
      <c r="Q19" s="264">
        <f>'OM&amp;A Functionalization'!O70/'OM&amp;A Functionalization'!O73</f>
        <v>-5.9166200829680188E-2</v>
      </c>
      <c r="R19" s="265">
        <f>SUM(D19:Q19)</f>
        <v>1</v>
      </c>
    </row>
    <row r="20" spans="1:18" ht="15" thickBot="1" x14ac:dyDescent="0.4"/>
    <row r="21" spans="1:18" x14ac:dyDescent="0.35">
      <c r="A21" s="199"/>
      <c r="B21" s="200" t="str">
        <f>'Functionalized Trial Balance'!C6</f>
        <v>Gas Supply</v>
      </c>
      <c r="C21" s="211">
        <f>'Functionalized Trial Balance'!D6</f>
        <v>0</v>
      </c>
      <c r="D21" s="269">
        <f>$C21*D6</f>
        <v>0</v>
      </c>
      <c r="E21" s="269">
        <f t="shared" ref="E21:K21" si="2">$C21*E6</f>
        <v>0</v>
      </c>
      <c r="F21" s="269">
        <f t="shared" ref="F21" si="3">$C21*F6</f>
        <v>0</v>
      </c>
      <c r="G21" s="269">
        <f t="shared" si="2"/>
        <v>0</v>
      </c>
      <c r="H21" s="269">
        <f t="shared" si="2"/>
        <v>0</v>
      </c>
      <c r="I21" s="269">
        <f t="shared" ref="I21:J21" si="4">$C21*I6</f>
        <v>0</v>
      </c>
      <c r="J21" s="269">
        <f t="shared" si="4"/>
        <v>0</v>
      </c>
      <c r="K21" s="269">
        <f t="shared" si="2"/>
        <v>0</v>
      </c>
      <c r="L21" s="269">
        <f t="shared" ref="L21:P21" si="5">$C21*L6</f>
        <v>0</v>
      </c>
      <c r="M21" s="269">
        <f t="shared" si="5"/>
        <v>0</v>
      </c>
      <c r="N21" s="269">
        <f t="shared" si="5"/>
        <v>0</v>
      </c>
      <c r="O21" s="269">
        <f t="shared" si="5"/>
        <v>0</v>
      </c>
      <c r="P21" s="269">
        <f t="shared" si="5"/>
        <v>0</v>
      </c>
      <c r="Q21" s="270">
        <f t="shared" ref="Q21" si="6">$C21*Q6</f>
        <v>0</v>
      </c>
    </row>
    <row r="22" spans="1:18" x14ac:dyDescent="0.35">
      <c r="A22" s="201"/>
      <c r="B22" s="202" t="str">
        <f>'Functionalized Trial Balance'!C7</f>
        <v>Measurement</v>
      </c>
      <c r="C22" s="204">
        <f>'Functionalized Trial Balance'!D7</f>
        <v>1366118.8049959841</v>
      </c>
      <c r="D22" s="213">
        <f>$C22*D7</f>
        <v>683059.40249799204</v>
      </c>
      <c r="E22" s="213">
        <f>$C22*E7</f>
        <v>0</v>
      </c>
      <c r="F22" s="213">
        <f>$C22*F7</f>
        <v>683059.40249799204</v>
      </c>
      <c r="G22" s="213">
        <f>$C22*G7</f>
        <v>0</v>
      </c>
      <c r="H22" s="213">
        <f>$C22*H7</f>
        <v>0</v>
      </c>
      <c r="I22" s="213">
        <f t="shared" ref="I22:J22" si="7">$C22*I7</f>
        <v>0</v>
      </c>
      <c r="J22" s="213">
        <f t="shared" si="7"/>
        <v>0</v>
      </c>
      <c r="K22" s="213">
        <f>$C22*K7</f>
        <v>0</v>
      </c>
      <c r="L22" s="213">
        <f t="shared" ref="L22:P22" si="8">$C22*L7</f>
        <v>0</v>
      </c>
      <c r="M22" s="213">
        <f t="shared" si="8"/>
        <v>0</v>
      </c>
      <c r="N22" s="213">
        <f t="shared" si="8"/>
        <v>0</v>
      </c>
      <c r="O22" s="213">
        <f t="shared" si="8"/>
        <v>0</v>
      </c>
      <c r="P22" s="213">
        <f t="shared" si="8"/>
        <v>0</v>
      </c>
      <c r="Q22" s="214">
        <f>$C22*Q7</f>
        <v>0</v>
      </c>
    </row>
    <row r="23" spans="1:18" x14ac:dyDescent="0.35">
      <c r="A23" s="201"/>
      <c r="B23" s="202" t="str">
        <f>'Functionalized Trial Balance'!C8</f>
        <v>Mains</v>
      </c>
      <c r="C23" s="204">
        <f>'Functionalized Trial Balance'!D8</f>
        <v>300333.97162865684</v>
      </c>
      <c r="D23" s="213">
        <f t="shared" ref="D23:H23" si="9">$C23*D8</f>
        <v>0</v>
      </c>
      <c r="E23" s="213">
        <f t="shared" si="9"/>
        <v>199812.19132454539</v>
      </c>
      <c r="F23" s="213">
        <f t="shared" ref="F23" si="10">$C23*F8</f>
        <v>0</v>
      </c>
      <c r="G23" s="213">
        <f t="shared" si="9"/>
        <v>0</v>
      </c>
      <c r="H23" s="213">
        <f t="shared" si="9"/>
        <v>0</v>
      </c>
      <c r="I23" s="213">
        <f t="shared" ref="I23:J23" si="11">$C23*I8</f>
        <v>0</v>
      </c>
      <c r="J23" s="213">
        <f t="shared" si="11"/>
        <v>0</v>
      </c>
      <c r="K23" s="213">
        <f t="shared" ref="K23" si="12">$C23*K8</f>
        <v>0</v>
      </c>
      <c r="L23" s="213">
        <f t="shared" ref="L23:P23" si="13">$C23*L8</f>
        <v>100521.78030411144</v>
      </c>
      <c r="M23" s="213">
        <f t="shared" si="13"/>
        <v>0</v>
      </c>
      <c r="N23" s="213">
        <f t="shared" si="13"/>
        <v>0</v>
      </c>
      <c r="O23" s="213">
        <f t="shared" si="13"/>
        <v>0</v>
      </c>
      <c r="P23" s="213">
        <f t="shared" si="13"/>
        <v>0</v>
      </c>
      <c r="Q23" s="214">
        <f>$C23*Q8</f>
        <v>0</v>
      </c>
    </row>
    <row r="24" spans="1:18" x14ac:dyDescent="0.35">
      <c r="A24" s="201"/>
      <c r="B24" s="202" t="str">
        <f>'Functionalized Trial Balance'!C9</f>
        <v>Mains x R6</v>
      </c>
      <c r="C24" s="204">
        <f>'Functionalized Trial Balance'!D9</f>
        <v>10629966.976569345</v>
      </c>
      <c r="D24" s="213">
        <f t="shared" ref="D24:H24" si="14">$C24*D9</f>
        <v>0</v>
      </c>
      <c r="E24" s="213">
        <f t="shared" si="14"/>
        <v>0</v>
      </c>
      <c r="F24" s="213">
        <f t="shared" ref="F24" si="15">$C24*F9</f>
        <v>7072117.0295115858</v>
      </c>
      <c r="G24" s="213">
        <f t="shared" si="14"/>
        <v>0</v>
      </c>
      <c r="H24" s="213">
        <f t="shared" si="14"/>
        <v>0</v>
      </c>
      <c r="I24" s="213">
        <f t="shared" ref="I24:J24" si="16">$C24*I9</f>
        <v>0</v>
      </c>
      <c r="J24" s="213">
        <f t="shared" si="16"/>
        <v>0</v>
      </c>
      <c r="K24" s="213">
        <f t="shared" ref="K24" si="17">$C24*K9</f>
        <v>0</v>
      </c>
      <c r="L24" s="213">
        <f t="shared" ref="L24:P24" si="18">$C24*L9</f>
        <v>0</v>
      </c>
      <c r="M24" s="213">
        <f t="shared" si="18"/>
        <v>3557849.9470577599</v>
      </c>
      <c r="N24" s="213">
        <f t="shared" si="18"/>
        <v>0</v>
      </c>
      <c r="O24" s="213">
        <f t="shared" si="18"/>
        <v>0</v>
      </c>
      <c r="P24" s="213">
        <f t="shared" si="18"/>
        <v>0</v>
      </c>
      <c r="Q24" s="214">
        <f>$C24*Q9</f>
        <v>0</v>
      </c>
    </row>
    <row r="25" spans="1:18" x14ac:dyDescent="0.35">
      <c r="A25" s="201" t="s">
        <v>16</v>
      </c>
      <c r="B25" s="202" t="str">
        <f>'Functionalized Trial Balance'!C10</f>
        <v>Services</v>
      </c>
      <c r="C25" s="204">
        <f>'Functionalized Trial Balance'!D10</f>
        <v>4947219.1314959703</v>
      </c>
      <c r="D25" s="213">
        <f t="shared" ref="D25:H25" si="19">$C25*D10</f>
        <v>0</v>
      </c>
      <c r="E25" s="213">
        <f t="shared" si="19"/>
        <v>0</v>
      </c>
      <c r="F25" s="213">
        <f t="shared" ref="F25:Q33" si="20">$C25*F10</f>
        <v>0</v>
      </c>
      <c r="G25" s="213">
        <f t="shared" si="19"/>
        <v>4947219.1314959703</v>
      </c>
      <c r="H25" s="213">
        <f t="shared" si="19"/>
        <v>0</v>
      </c>
      <c r="I25" s="213">
        <f t="shared" ref="I25:J25" si="21">$C25*I10</f>
        <v>0</v>
      </c>
      <c r="J25" s="213">
        <f t="shared" si="21"/>
        <v>0</v>
      </c>
      <c r="K25" s="213">
        <f t="shared" ref="K25" si="22">$C25*K10</f>
        <v>0</v>
      </c>
      <c r="L25" s="213">
        <f t="shared" ref="L25:P25" si="23">$C25*L10</f>
        <v>0</v>
      </c>
      <c r="M25" s="213">
        <f t="shared" si="23"/>
        <v>0</v>
      </c>
      <c r="N25" s="213">
        <f t="shared" si="23"/>
        <v>0</v>
      </c>
      <c r="O25" s="213">
        <f t="shared" si="23"/>
        <v>0</v>
      </c>
      <c r="P25" s="213">
        <f t="shared" si="23"/>
        <v>0</v>
      </c>
      <c r="Q25" s="214">
        <f>$C25*Q10</f>
        <v>0</v>
      </c>
    </row>
    <row r="26" spans="1:18" x14ac:dyDescent="0.35">
      <c r="A26" s="201"/>
      <c r="B26" s="202" t="str">
        <f>'Functionalized Trial Balance'!C11</f>
        <v>Meters</v>
      </c>
      <c r="C26" s="204">
        <f>'Functionalized Trial Balance'!D11</f>
        <v>222379.53272628007</v>
      </c>
      <c r="D26" s="213">
        <f t="shared" ref="D26:E26" si="24">$C26*D11</f>
        <v>0</v>
      </c>
      <c r="E26" s="213">
        <f t="shared" si="24"/>
        <v>0</v>
      </c>
      <c r="F26" s="213">
        <f t="shared" si="20"/>
        <v>0</v>
      </c>
      <c r="G26" s="213">
        <f t="shared" si="20"/>
        <v>0</v>
      </c>
      <c r="H26" s="213">
        <f t="shared" si="20"/>
        <v>222379.53272628007</v>
      </c>
      <c r="I26" s="213">
        <f t="shared" si="20"/>
        <v>0</v>
      </c>
      <c r="J26" s="213">
        <f t="shared" si="20"/>
        <v>0</v>
      </c>
      <c r="K26" s="213">
        <f t="shared" si="20"/>
        <v>0</v>
      </c>
      <c r="L26" s="213">
        <f t="shared" si="20"/>
        <v>0</v>
      </c>
      <c r="M26" s="213">
        <f t="shared" si="20"/>
        <v>0</v>
      </c>
      <c r="N26" s="213">
        <f t="shared" si="20"/>
        <v>0</v>
      </c>
      <c r="O26" s="213">
        <f t="shared" si="20"/>
        <v>0</v>
      </c>
      <c r="P26" s="213">
        <f t="shared" si="20"/>
        <v>0</v>
      </c>
      <c r="Q26" s="214">
        <f t="shared" si="20"/>
        <v>0</v>
      </c>
    </row>
    <row r="27" spans="1:18" x14ac:dyDescent="0.35">
      <c r="A27" s="201"/>
      <c r="B27" s="202" t="str">
        <f>'Functionalized Trial Balance'!C12</f>
        <v>Residential Meters</v>
      </c>
      <c r="C27" s="204">
        <f>'Functionalized Trial Balance'!D12</f>
        <v>1984821.0875446172</v>
      </c>
      <c r="D27" s="213">
        <f t="shared" ref="D27:E27" si="25">$C27*D12</f>
        <v>0</v>
      </c>
      <c r="E27" s="213">
        <f t="shared" si="25"/>
        <v>0</v>
      </c>
      <c r="F27" s="213">
        <f t="shared" si="20"/>
        <v>0</v>
      </c>
      <c r="G27" s="213">
        <f t="shared" si="20"/>
        <v>0</v>
      </c>
      <c r="H27" s="213">
        <f t="shared" si="20"/>
        <v>0</v>
      </c>
      <c r="I27" s="213">
        <f t="shared" si="20"/>
        <v>1984821.0875446172</v>
      </c>
      <c r="J27" s="213">
        <f t="shared" si="20"/>
        <v>0</v>
      </c>
      <c r="K27" s="213">
        <f t="shared" si="20"/>
        <v>0</v>
      </c>
      <c r="L27" s="213">
        <f t="shared" si="20"/>
        <v>0</v>
      </c>
      <c r="M27" s="213">
        <f t="shared" si="20"/>
        <v>0</v>
      </c>
      <c r="N27" s="213">
        <f t="shared" si="20"/>
        <v>0</v>
      </c>
      <c r="O27" s="213">
        <f t="shared" si="20"/>
        <v>0</v>
      </c>
      <c r="P27" s="213">
        <f t="shared" si="20"/>
        <v>0</v>
      </c>
      <c r="Q27" s="214">
        <f t="shared" si="20"/>
        <v>0</v>
      </c>
    </row>
    <row r="28" spans="1:18" x14ac:dyDescent="0.35">
      <c r="A28" s="201"/>
      <c r="B28" s="202" t="str">
        <f>'Functionalized Trial Balance'!C13</f>
        <v>Commercial Meters</v>
      </c>
      <c r="C28" s="204">
        <f>'Functionalized Trial Balance'!D13</f>
        <v>978729.99028487084</v>
      </c>
      <c r="D28" s="213">
        <f t="shared" ref="D28:E28" si="26">$C28*D13</f>
        <v>0</v>
      </c>
      <c r="E28" s="213">
        <f t="shared" si="26"/>
        <v>0</v>
      </c>
      <c r="F28" s="213">
        <f t="shared" si="20"/>
        <v>0</v>
      </c>
      <c r="G28" s="213">
        <f t="shared" si="20"/>
        <v>0</v>
      </c>
      <c r="H28" s="213">
        <f t="shared" si="20"/>
        <v>0</v>
      </c>
      <c r="I28" s="213">
        <f t="shared" si="20"/>
        <v>0</v>
      </c>
      <c r="J28" s="213">
        <f t="shared" si="20"/>
        <v>978729.99028487084</v>
      </c>
      <c r="K28" s="213">
        <f t="shared" si="20"/>
        <v>0</v>
      </c>
      <c r="L28" s="213">
        <f t="shared" si="20"/>
        <v>0</v>
      </c>
      <c r="M28" s="213">
        <f t="shared" si="20"/>
        <v>0</v>
      </c>
      <c r="N28" s="213">
        <f t="shared" si="20"/>
        <v>0</v>
      </c>
      <c r="O28" s="213">
        <f t="shared" si="20"/>
        <v>0</v>
      </c>
      <c r="P28" s="213">
        <f t="shared" si="20"/>
        <v>0</v>
      </c>
      <c r="Q28" s="214">
        <f t="shared" si="20"/>
        <v>0</v>
      </c>
    </row>
    <row r="29" spans="1:18" x14ac:dyDescent="0.35">
      <c r="A29" s="201"/>
      <c r="B29" s="202" t="str">
        <f>'Functionalized Trial Balance'!C14</f>
        <v>Billing/ Accounting</v>
      </c>
      <c r="C29" s="204">
        <f>'Functionalized Trial Balance'!D14</f>
        <v>125729.06581614442</v>
      </c>
      <c r="D29" s="213">
        <f t="shared" ref="D29:E29" si="27">$C29*D14</f>
        <v>0</v>
      </c>
      <c r="E29" s="213">
        <f t="shared" si="27"/>
        <v>0</v>
      </c>
      <c r="F29" s="213">
        <f t="shared" si="20"/>
        <v>0</v>
      </c>
      <c r="G29" s="213">
        <f t="shared" si="20"/>
        <v>0</v>
      </c>
      <c r="H29" s="213">
        <f t="shared" si="20"/>
        <v>0</v>
      </c>
      <c r="I29" s="213">
        <f t="shared" si="20"/>
        <v>0</v>
      </c>
      <c r="J29" s="213">
        <f t="shared" si="20"/>
        <v>0</v>
      </c>
      <c r="K29" s="213">
        <f t="shared" si="20"/>
        <v>125729.06581614442</v>
      </c>
      <c r="L29" s="213">
        <f t="shared" si="20"/>
        <v>0</v>
      </c>
      <c r="M29" s="213">
        <f t="shared" si="20"/>
        <v>0</v>
      </c>
      <c r="N29" s="213">
        <f t="shared" si="20"/>
        <v>0</v>
      </c>
      <c r="O29" s="213">
        <f t="shared" si="20"/>
        <v>0</v>
      </c>
      <c r="P29" s="213">
        <f t="shared" si="20"/>
        <v>0</v>
      </c>
      <c r="Q29" s="214">
        <f t="shared" si="20"/>
        <v>0</v>
      </c>
    </row>
    <row r="30" spans="1:18" x14ac:dyDescent="0.35">
      <c r="A30" s="201"/>
      <c r="B30" s="202" t="str">
        <f>'Functionalized Trial Balance'!C15</f>
        <v>Promotion</v>
      </c>
      <c r="C30" s="204">
        <f>'Functionalized Trial Balance'!D15</f>
        <v>47426.116634037753</v>
      </c>
      <c r="D30" s="213">
        <f t="shared" ref="D30:E30" si="28">$C30*D15</f>
        <v>0</v>
      </c>
      <c r="E30" s="213">
        <f t="shared" si="28"/>
        <v>0</v>
      </c>
      <c r="F30" s="213">
        <f t="shared" si="20"/>
        <v>0</v>
      </c>
      <c r="G30" s="213">
        <f t="shared" si="20"/>
        <v>0</v>
      </c>
      <c r="H30" s="213">
        <f t="shared" si="20"/>
        <v>0</v>
      </c>
      <c r="I30" s="213">
        <f t="shared" si="20"/>
        <v>0</v>
      </c>
      <c r="J30" s="213">
        <f t="shared" si="20"/>
        <v>0</v>
      </c>
      <c r="K30" s="213">
        <f t="shared" si="20"/>
        <v>0</v>
      </c>
      <c r="L30" s="213">
        <f t="shared" si="20"/>
        <v>47426.116634037753</v>
      </c>
      <c r="M30" s="213">
        <f t="shared" si="20"/>
        <v>0</v>
      </c>
      <c r="N30" s="213">
        <f t="shared" si="20"/>
        <v>0</v>
      </c>
      <c r="O30" s="213">
        <f t="shared" si="20"/>
        <v>0</v>
      </c>
      <c r="P30" s="213">
        <f t="shared" si="20"/>
        <v>0</v>
      </c>
      <c r="Q30" s="214">
        <f t="shared" si="20"/>
        <v>0</v>
      </c>
    </row>
    <row r="31" spans="1:18" x14ac:dyDescent="0.35">
      <c r="A31" s="201"/>
      <c r="B31" s="202" t="str">
        <f>'Functionalized Trial Balance'!C16</f>
        <v>Bad Debt/Collection</v>
      </c>
      <c r="C31" s="204">
        <f>'Functionalized Trial Balance'!D16</f>
        <v>27703.937485975315</v>
      </c>
      <c r="D31" s="213">
        <f t="shared" ref="D31:E31" si="29">$C31*D16</f>
        <v>0</v>
      </c>
      <c r="E31" s="213">
        <f t="shared" si="29"/>
        <v>0</v>
      </c>
      <c r="F31" s="213">
        <f t="shared" si="20"/>
        <v>0</v>
      </c>
      <c r="G31" s="213">
        <f t="shared" si="20"/>
        <v>0</v>
      </c>
      <c r="H31" s="213">
        <f t="shared" si="20"/>
        <v>0</v>
      </c>
      <c r="I31" s="213">
        <f t="shared" si="20"/>
        <v>0</v>
      </c>
      <c r="J31" s="213">
        <f t="shared" si="20"/>
        <v>0</v>
      </c>
      <c r="K31" s="213">
        <f t="shared" si="20"/>
        <v>0</v>
      </c>
      <c r="L31" s="213">
        <f t="shared" si="20"/>
        <v>0</v>
      </c>
      <c r="M31" s="213">
        <f t="shared" si="20"/>
        <v>0</v>
      </c>
      <c r="N31" s="213">
        <f t="shared" si="20"/>
        <v>27703.937485975315</v>
      </c>
      <c r="O31" s="213">
        <f t="shared" si="20"/>
        <v>0</v>
      </c>
      <c r="P31" s="213">
        <f t="shared" si="20"/>
        <v>0</v>
      </c>
      <c r="Q31" s="214">
        <f t="shared" si="20"/>
        <v>0</v>
      </c>
    </row>
    <row r="32" spans="1:18" x14ac:dyDescent="0.35">
      <c r="A32" s="201"/>
      <c r="B32" s="202" t="str">
        <f>'Functionalized Trial Balance'!C17</f>
        <v xml:space="preserve">A&amp;G  </v>
      </c>
      <c r="C32" s="204">
        <f>'Functionalized Trial Balance'!D17</f>
        <v>736029.67950754799</v>
      </c>
      <c r="D32" s="213">
        <f t="shared" ref="D32:E32" si="30">$C32*D17</f>
        <v>0</v>
      </c>
      <c r="E32" s="213">
        <f t="shared" si="30"/>
        <v>0</v>
      </c>
      <c r="F32" s="213">
        <f t="shared" si="20"/>
        <v>0</v>
      </c>
      <c r="G32" s="213">
        <f t="shared" si="20"/>
        <v>0</v>
      </c>
      <c r="H32" s="213">
        <f t="shared" si="20"/>
        <v>0</v>
      </c>
      <c r="I32" s="213">
        <f t="shared" si="20"/>
        <v>0</v>
      </c>
      <c r="J32" s="213">
        <f t="shared" si="20"/>
        <v>0</v>
      </c>
      <c r="K32" s="213">
        <f t="shared" si="20"/>
        <v>0</v>
      </c>
      <c r="L32" s="213">
        <f t="shared" si="20"/>
        <v>0</v>
      </c>
      <c r="M32" s="213">
        <f t="shared" si="20"/>
        <v>0</v>
      </c>
      <c r="N32" s="213">
        <f t="shared" si="20"/>
        <v>0</v>
      </c>
      <c r="O32" s="213">
        <f t="shared" si="20"/>
        <v>736029.67950754799</v>
      </c>
      <c r="P32" s="213">
        <f t="shared" si="20"/>
        <v>0</v>
      </c>
      <c r="Q32" s="214">
        <f t="shared" si="20"/>
        <v>0</v>
      </c>
    </row>
    <row r="33" spans="1:17" x14ac:dyDescent="0.35">
      <c r="A33" s="201"/>
      <c r="B33" s="202" t="str">
        <f>'Functionalized Trial Balance'!C18</f>
        <v>Direct Assignment to IGPC</v>
      </c>
      <c r="C33" s="204">
        <f>'Functionalized Trial Balance'!D18</f>
        <v>3454483.96568745</v>
      </c>
      <c r="D33" s="213">
        <f t="shared" ref="D33:E33" si="31">$C33*D18</f>
        <v>0</v>
      </c>
      <c r="E33" s="213">
        <f t="shared" si="31"/>
        <v>0</v>
      </c>
      <c r="F33" s="213">
        <f t="shared" si="20"/>
        <v>0</v>
      </c>
      <c r="G33" s="213">
        <f t="shared" si="20"/>
        <v>0</v>
      </c>
      <c r="H33" s="213">
        <f t="shared" si="20"/>
        <v>0</v>
      </c>
      <c r="I33" s="213">
        <f t="shared" si="20"/>
        <v>0</v>
      </c>
      <c r="J33" s="213">
        <f t="shared" si="20"/>
        <v>0</v>
      </c>
      <c r="K33" s="213">
        <f t="shared" si="20"/>
        <v>0</v>
      </c>
      <c r="L33" s="213">
        <f t="shared" si="20"/>
        <v>0</v>
      </c>
      <c r="M33" s="213">
        <f t="shared" si="20"/>
        <v>0</v>
      </c>
      <c r="N33" s="213">
        <f t="shared" si="20"/>
        <v>0</v>
      </c>
      <c r="O33" s="213">
        <f t="shared" si="20"/>
        <v>0</v>
      </c>
      <c r="P33" s="213">
        <f t="shared" si="20"/>
        <v>3454483.96568745</v>
      </c>
      <c r="Q33" s="214">
        <f t="shared" si="20"/>
        <v>0</v>
      </c>
    </row>
    <row r="34" spans="1:17" ht="15" thickBot="1" x14ac:dyDescent="0.4">
      <c r="A34" s="206"/>
      <c r="B34" s="271" t="s">
        <v>20</v>
      </c>
      <c r="C34" s="272">
        <f>SUM(C21:C33)</f>
        <v>24820942.260376882</v>
      </c>
      <c r="D34" s="273">
        <f>SUM(D21:D33)</f>
        <v>683059.40249799204</v>
      </c>
      <c r="E34" s="273">
        <f t="shared" ref="E34:K34" si="32">SUM(E21:E33)</f>
        <v>199812.19132454539</v>
      </c>
      <c r="F34" s="273">
        <f t="shared" ref="F34" si="33">SUM(F21:F33)</f>
        <v>7755176.4320095778</v>
      </c>
      <c r="G34" s="273">
        <f t="shared" si="32"/>
        <v>4947219.1314959703</v>
      </c>
      <c r="H34" s="273">
        <f t="shared" si="32"/>
        <v>222379.53272628007</v>
      </c>
      <c r="I34" s="273">
        <f t="shared" ref="I34:J34" si="34">SUM(I21:I33)</f>
        <v>1984821.0875446172</v>
      </c>
      <c r="J34" s="273">
        <f t="shared" si="34"/>
        <v>978729.99028487084</v>
      </c>
      <c r="K34" s="273">
        <f t="shared" si="32"/>
        <v>125729.06581614442</v>
      </c>
      <c r="L34" s="273">
        <f t="shared" ref="L34:P34" si="35">SUM(L21:L33)</f>
        <v>147947.89693814918</v>
      </c>
      <c r="M34" s="273">
        <f t="shared" si="35"/>
        <v>3557849.9470577599</v>
      </c>
      <c r="N34" s="273">
        <f t="shared" si="35"/>
        <v>27703.937485975315</v>
      </c>
      <c r="O34" s="273">
        <f t="shared" si="35"/>
        <v>736029.67950754799</v>
      </c>
      <c r="P34" s="273">
        <f t="shared" si="35"/>
        <v>3454483.96568745</v>
      </c>
      <c r="Q34" s="209">
        <f t="shared" ref="Q34" si="36">SUM(Q21:Q33)</f>
        <v>0</v>
      </c>
    </row>
    <row r="35" spans="1:17" ht="15" thickBot="1" x14ac:dyDescent="0.4">
      <c r="C35" s="193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</row>
    <row r="36" spans="1:17" x14ac:dyDescent="0.35">
      <c r="A36" s="199"/>
      <c r="B36" s="200" t="str">
        <f>'Functionalized Trial Balance'!C19</f>
        <v>Gas Supply</v>
      </c>
      <c r="C36" s="211">
        <f>'Functionalized Trial Balance'!D19</f>
        <v>0</v>
      </c>
      <c r="D36" s="269">
        <f t="shared" ref="D36:O36" si="37">$C36*D6</f>
        <v>0</v>
      </c>
      <c r="E36" s="269">
        <f t="shared" si="37"/>
        <v>0</v>
      </c>
      <c r="F36" s="269">
        <f t="shared" si="37"/>
        <v>0</v>
      </c>
      <c r="G36" s="269">
        <f t="shared" si="37"/>
        <v>0</v>
      </c>
      <c r="H36" s="269">
        <f t="shared" si="37"/>
        <v>0</v>
      </c>
      <c r="I36" s="269">
        <f t="shared" si="37"/>
        <v>0</v>
      </c>
      <c r="J36" s="269">
        <f t="shared" si="37"/>
        <v>0</v>
      </c>
      <c r="K36" s="269">
        <f t="shared" si="37"/>
        <v>0</v>
      </c>
      <c r="L36" s="269">
        <f t="shared" si="37"/>
        <v>0</v>
      </c>
      <c r="M36" s="269">
        <f t="shared" si="37"/>
        <v>0</v>
      </c>
      <c r="N36" s="269">
        <f t="shared" si="37"/>
        <v>0</v>
      </c>
      <c r="O36" s="269">
        <f t="shared" si="37"/>
        <v>0</v>
      </c>
      <c r="P36" s="269">
        <f t="shared" ref="P36:Q36" si="38">$C36*P6</f>
        <v>0</v>
      </c>
      <c r="Q36" s="270">
        <f t="shared" si="38"/>
        <v>0</v>
      </c>
    </row>
    <row r="37" spans="1:17" x14ac:dyDescent="0.35">
      <c r="A37" s="201"/>
      <c r="B37" s="202" t="str">
        <f>'Functionalized Trial Balance'!C20</f>
        <v>Measurement</v>
      </c>
      <c r="C37" s="204">
        <f>'Functionalized Trial Balance'!D20</f>
        <v>56934.597419794765</v>
      </c>
      <c r="D37" s="213">
        <f t="shared" ref="D37:O37" si="39">$C37*D7</f>
        <v>28467.298709897383</v>
      </c>
      <c r="E37" s="213">
        <f t="shared" si="39"/>
        <v>0</v>
      </c>
      <c r="F37" s="213">
        <f t="shared" si="39"/>
        <v>28467.298709897383</v>
      </c>
      <c r="G37" s="213">
        <f t="shared" si="39"/>
        <v>0</v>
      </c>
      <c r="H37" s="213">
        <f t="shared" si="39"/>
        <v>0</v>
      </c>
      <c r="I37" s="213">
        <f t="shared" si="39"/>
        <v>0</v>
      </c>
      <c r="J37" s="213">
        <f t="shared" si="39"/>
        <v>0</v>
      </c>
      <c r="K37" s="213">
        <f t="shared" si="39"/>
        <v>0</v>
      </c>
      <c r="L37" s="213">
        <f t="shared" si="39"/>
        <v>0</v>
      </c>
      <c r="M37" s="213">
        <f t="shared" si="39"/>
        <v>0</v>
      </c>
      <c r="N37" s="213">
        <f t="shared" si="39"/>
        <v>0</v>
      </c>
      <c r="O37" s="213">
        <f t="shared" si="39"/>
        <v>0</v>
      </c>
      <c r="P37" s="213">
        <f t="shared" ref="P37:Q37" si="40">$C37*P7</f>
        <v>0</v>
      </c>
      <c r="Q37" s="214">
        <f t="shared" si="40"/>
        <v>0</v>
      </c>
    </row>
    <row r="38" spans="1:17" x14ac:dyDescent="0.35">
      <c r="A38" s="201"/>
      <c r="B38" s="202" t="str">
        <f>'Functionalized Trial Balance'!C21</f>
        <v>Mains</v>
      </c>
      <c r="C38" s="204">
        <f>'Functionalized Trial Balance'!D21</f>
        <v>51535.594601708282</v>
      </c>
      <c r="D38" s="213">
        <f t="shared" ref="D38:O38" si="41">$C38*D8</f>
        <v>0</v>
      </c>
      <c r="E38" s="213">
        <f t="shared" si="41"/>
        <v>34286.631088516522</v>
      </c>
      <c r="F38" s="213">
        <f t="shared" si="41"/>
        <v>0</v>
      </c>
      <c r="G38" s="213">
        <f t="shared" si="41"/>
        <v>0</v>
      </c>
      <c r="H38" s="213">
        <f t="shared" si="41"/>
        <v>0</v>
      </c>
      <c r="I38" s="213">
        <f t="shared" si="41"/>
        <v>0</v>
      </c>
      <c r="J38" s="213">
        <f t="shared" si="41"/>
        <v>0</v>
      </c>
      <c r="K38" s="213">
        <f t="shared" si="41"/>
        <v>0</v>
      </c>
      <c r="L38" s="213">
        <f t="shared" si="41"/>
        <v>17248.96351319176</v>
      </c>
      <c r="M38" s="213">
        <f t="shared" si="41"/>
        <v>0</v>
      </c>
      <c r="N38" s="213">
        <f t="shared" si="41"/>
        <v>0</v>
      </c>
      <c r="O38" s="213">
        <f t="shared" si="41"/>
        <v>0</v>
      </c>
      <c r="P38" s="213">
        <f t="shared" ref="P38:Q38" si="42">$C38*P8</f>
        <v>0</v>
      </c>
      <c r="Q38" s="214">
        <f t="shared" si="42"/>
        <v>0</v>
      </c>
    </row>
    <row r="39" spans="1:17" x14ac:dyDescent="0.35">
      <c r="A39" s="201"/>
      <c r="B39" s="202" t="str">
        <f>'Functionalized Trial Balance'!C22</f>
        <v>Mains x R6</v>
      </c>
      <c r="C39" s="204">
        <f>'Functionalized Trial Balance'!D22</f>
        <v>351784.78209950833</v>
      </c>
      <c r="D39" s="213">
        <f t="shared" ref="D39:O39" si="43">$C39*D9</f>
        <v>0</v>
      </c>
      <c r="E39" s="213">
        <f t="shared" si="43"/>
        <v>0</v>
      </c>
      <c r="F39" s="213">
        <f t="shared" si="43"/>
        <v>234042.41553080289</v>
      </c>
      <c r="G39" s="213">
        <f t="shared" si="43"/>
        <v>0</v>
      </c>
      <c r="H39" s="213">
        <f t="shared" si="43"/>
        <v>0</v>
      </c>
      <c r="I39" s="213">
        <f t="shared" si="43"/>
        <v>0</v>
      </c>
      <c r="J39" s="213">
        <f t="shared" si="43"/>
        <v>0</v>
      </c>
      <c r="K39" s="213">
        <f t="shared" si="43"/>
        <v>0</v>
      </c>
      <c r="L39" s="213">
        <f t="shared" si="43"/>
        <v>0</v>
      </c>
      <c r="M39" s="213">
        <f t="shared" si="43"/>
        <v>117742.36656870543</v>
      </c>
      <c r="N39" s="213">
        <f t="shared" si="43"/>
        <v>0</v>
      </c>
      <c r="O39" s="213">
        <f t="shared" si="43"/>
        <v>0</v>
      </c>
      <c r="P39" s="213">
        <f t="shared" ref="P39:Q39" si="44">$C39*P9</f>
        <v>0</v>
      </c>
      <c r="Q39" s="214">
        <f t="shared" si="44"/>
        <v>0</v>
      </c>
    </row>
    <row r="40" spans="1:17" x14ac:dyDescent="0.35">
      <c r="A40" s="201" t="s">
        <v>47</v>
      </c>
      <c r="B40" s="202" t="str">
        <f>'Functionalized Trial Balance'!C23</f>
        <v>Services</v>
      </c>
      <c r="C40" s="204">
        <f>'Functionalized Trial Balance'!D23</f>
        <v>189371.79018955951</v>
      </c>
      <c r="D40" s="213">
        <f t="shared" ref="D40:O40" si="45">$C40*D10</f>
        <v>0</v>
      </c>
      <c r="E40" s="213">
        <f t="shared" si="45"/>
        <v>0</v>
      </c>
      <c r="F40" s="213">
        <f t="shared" si="45"/>
        <v>0</v>
      </c>
      <c r="G40" s="213">
        <f t="shared" si="45"/>
        <v>189371.79018955951</v>
      </c>
      <c r="H40" s="213">
        <f t="shared" si="45"/>
        <v>0</v>
      </c>
      <c r="I40" s="213">
        <f t="shared" si="45"/>
        <v>0</v>
      </c>
      <c r="J40" s="213">
        <f t="shared" si="45"/>
        <v>0</v>
      </c>
      <c r="K40" s="213">
        <f t="shared" si="45"/>
        <v>0</v>
      </c>
      <c r="L40" s="213">
        <f t="shared" si="45"/>
        <v>0</v>
      </c>
      <c r="M40" s="213">
        <f t="shared" si="45"/>
        <v>0</v>
      </c>
      <c r="N40" s="213">
        <f t="shared" si="45"/>
        <v>0</v>
      </c>
      <c r="O40" s="213">
        <f t="shared" si="45"/>
        <v>0</v>
      </c>
      <c r="P40" s="213">
        <f t="shared" ref="P40:Q40" si="46">$C40*P10</f>
        <v>0</v>
      </c>
      <c r="Q40" s="214">
        <f t="shared" si="46"/>
        <v>0</v>
      </c>
    </row>
    <row r="41" spans="1:17" x14ac:dyDescent="0.35">
      <c r="A41" s="201"/>
      <c r="B41" s="202" t="str">
        <f>'Functionalized Trial Balance'!C24</f>
        <v>Meters</v>
      </c>
      <c r="C41" s="204">
        <f>'Functionalized Trial Balance'!D24</f>
        <v>22684.013751989689</v>
      </c>
      <c r="D41" s="213">
        <f t="shared" ref="D41:O41" si="47">$C41*D11</f>
        <v>0</v>
      </c>
      <c r="E41" s="213">
        <f t="shared" si="47"/>
        <v>0</v>
      </c>
      <c r="F41" s="213">
        <f t="shared" si="47"/>
        <v>0</v>
      </c>
      <c r="G41" s="213">
        <f t="shared" si="47"/>
        <v>0</v>
      </c>
      <c r="H41" s="213">
        <f t="shared" si="47"/>
        <v>22684.013751989689</v>
      </c>
      <c r="I41" s="213">
        <f t="shared" si="47"/>
        <v>0</v>
      </c>
      <c r="J41" s="213">
        <f t="shared" si="47"/>
        <v>0</v>
      </c>
      <c r="K41" s="213">
        <f t="shared" si="47"/>
        <v>0</v>
      </c>
      <c r="L41" s="213">
        <f t="shared" si="47"/>
        <v>0</v>
      </c>
      <c r="M41" s="213">
        <f t="shared" si="47"/>
        <v>0</v>
      </c>
      <c r="N41" s="213">
        <f t="shared" si="47"/>
        <v>0</v>
      </c>
      <c r="O41" s="213">
        <f t="shared" si="47"/>
        <v>0</v>
      </c>
      <c r="P41" s="213">
        <f t="shared" ref="P41:Q41" si="48">$C41*P11</f>
        <v>0</v>
      </c>
      <c r="Q41" s="214">
        <f t="shared" si="48"/>
        <v>0</v>
      </c>
    </row>
    <row r="42" spans="1:17" x14ac:dyDescent="0.35">
      <c r="A42" s="201"/>
      <c r="B42" s="202" t="str">
        <f>'Functionalized Trial Balance'!C25</f>
        <v>Residential Meters</v>
      </c>
      <c r="C42" s="204">
        <f>'Functionalized Trial Balance'!D25</f>
        <v>293692.54285961087</v>
      </c>
      <c r="D42" s="213">
        <f t="shared" ref="D42:O42" si="49">$C42*D12</f>
        <v>0</v>
      </c>
      <c r="E42" s="213">
        <f t="shared" si="49"/>
        <v>0</v>
      </c>
      <c r="F42" s="213">
        <f t="shared" si="49"/>
        <v>0</v>
      </c>
      <c r="G42" s="213">
        <f t="shared" si="49"/>
        <v>0</v>
      </c>
      <c r="H42" s="213">
        <f t="shared" si="49"/>
        <v>0</v>
      </c>
      <c r="I42" s="213">
        <f>$C42*I12</f>
        <v>293692.54285961087</v>
      </c>
      <c r="J42" s="213">
        <f t="shared" si="49"/>
        <v>0</v>
      </c>
      <c r="K42" s="213">
        <f t="shared" si="49"/>
        <v>0</v>
      </c>
      <c r="L42" s="213">
        <f t="shared" si="49"/>
        <v>0</v>
      </c>
      <c r="M42" s="213">
        <f t="shared" si="49"/>
        <v>0</v>
      </c>
      <c r="N42" s="213">
        <f t="shared" si="49"/>
        <v>0</v>
      </c>
      <c r="O42" s="213">
        <f t="shared" si="49"/>
        <v>0</v>
      </c>
      <c r="P42" s="213">
        <f t="shared" ref="P42:Q42" si="50">$C42*P12</f>
        <v>0</v>
      </c>
      <c r="Q42" s="214">
        <f t="shared" si="50"/>
        <v>0</v>
      </c>
    </row>
    <row r="43" spans="1:17" x14ac:dyDescent="0.35">
      <c r="A43" s="201"/>
      <c r="B43" s="202" t="str">
        <f>'Functionalized Trial Balance'!C26</f>
        <v>Commercial Meters</v>
      </c>
      <c r="C43" s="204">
        <f>'Functionalized Trial Balance'!D26</f>
        <v>89746.799810085897</v>
      </c>
      <c r="D43" s="213">
        <f t="shared" ref="D43:O43" si="51">$C43*D13</f>
        <v>0</v>
      </c>
      <c r="E43" s="213">
        <f t="shared" si="51"/>
        <v>0</v>
      </c>
      <c r="F43" s="213">
        <f t="shared" si="51"/>
        <v>0</v>
      </c>
      <c r="G43" s="213">
        <f t="shared" si="51"/>
        <v>0</v>
      </c>
      <c r="H43" s="213">
        <f t="shared" si="51"/>
        <v>0</v>
      </c>
      <c r="I43" s="213">
        <f t="shared" si="51"/>
        <v>0</v>
      </c>
      <c r="J43" s="213">
        <f t="shared" si="51"/>
        <v>89746.799810085897</v>
      </c>
      <c r="K43" s="213">
        <f t="shared" si="51"/>
        <v>0</v>
      </c>
      <c r="L43" s="213">
        <f t="shared" si="51"/>
        <v>0</v>
      </c>
      <c r="M43" s="213">
        <f t="shared" si="51"/>
        <v>0</v>
      </c>
      <c r="N43" s="213">
        <f t="shared" si="51"/>
        <v>0</v>
      </c>
      <c r="O43" s="213">
        <f t="shared" si="51"/>
        <v>0</v>
      </c>
      <c r="P43" s="213">
        <f t="shared" ref="P43:Q43" si="52">$C43*P13</f>
        <v>0</v>
      </c>
      <c r="Q43" s="214">
        <f t="shared" si="52"/>
        <v>0</v>
      </c>
    </row>
    <row r="44" spans="1:17" x14ac:dyDescent="0.35">
      <c r="A44" s="201"/>
      <c r="B44" s="202" t="str">
        <f>'Functionalized Trial Balance'!C27</f>
        <v>Billing/ Accounting</v>
      </c>
      <c r="C44" s="204">
        <f>'Functionalized Trial Balance'!D27</f>
        <v>9276.1526486681614</v>
      </c>
      <c r="D44" s="213">
        <f t="shared" ref="D44:O44" si="53">$C44*D14</f>
        <v>0</v>
      </c>
      <c r="E44" s="213">
        <f t="shared" si="53"/>
        <v>0</v>
      </c>
      <c r="F44" s="213">
        <f t="shared" si="53"/>
        <v>0</v>
      </c>
      <c r="G44" s="213">
        <f t="shared" si="53"/>
        <v>0</v>
      </c>
      <c r="H44" s="213">
        <f t="shared" si="53"/>
        <v>0</v>
      </c>
      <c r="I44" s="213">
        <f t="shared" si="53"/>
        <v>0</v>
      </c>
      <c r="J44" s="213">
        <f t="shared" si="53"/>
        <v>0</v>
      </c>
      <c r="K44" s="213">
        <f t="shared" si="53"/>
        <v>9276.1526486681614</v>
      </c>
      <c r="L44" s="213">
        <f t="shared" si="53"/>
        <v>0</v>
      </c>
      <c r="M44" s="213">
        <f t="shared" si="53"/>
        <v>0</v>
      </c>
      <c r="N44" s="213">
        <f t="shared" si="53"/>
        <v>0</v>
      </c>
      <c r="O44" s="213">
        <f t="shared" si="53"/>
        <v>0</v>
      </c>
      <c r="P44" s="213">
        <f t="shared" ref="P44:Q44" si="54">$C44*P14</f>
        <v>0</v>
      </c>
      <c r="Q44" s="214">
        <f t="shared" si="54"/>
        <v>0</v>
      </c>
    </row>
    <row r="45" spans="1:17" x14ac:dyDescent="0.35">
      <c r="A45" s="201"/>
      <c r="B45" s="202" t="str">
        <f>'Functionalized Trial Balance'!C28</f>
        <v>Promotion</v>
      </c>
      <c r="C45" s="204">
        <f>'Functionalized Trial Balance'!D28</f>
        <v>3159.6953092409649</v>
      </c>
      <c r="D45" s="213">
        <f t="shared" ref="D45:O45" si="55">$C45*D15</f>
        <v>0</v>
      </c>
      <c r="E45" s="213">
        <f t="shared" si="55"/>
        <v>0</v>
      </c>
      <c r="F45" s="213">
        <f t="shared" si="55"/>
        <v>0</v>
      </c>
      <c r="G45" s="213">
        <f t="shared" si="55"/>
        <v>0</v>
      </c>
      <c r="H45" s="213">
        <f t="shared" si="55"/>
        <v>0</v>
      </c>
      <c r="I45" s="213">
        <f t="shared" si="55"/>
        <v>0</v>
      </c>
      <c r="J45" s="213">
        <f t="shared" si="55"/>
        <v>0</v>
      </c>
      <c r="K45" s="213">
        <f t="shared" si="55"/>
        <v>0</v>
      </c>
      <c r="L45" s="213">
        <f t="shared" si="55"/>
        <v>3159.6953092409649</v>
      </c>
      <c r="M45" s="213">
        <f t="shared" si="55"/>
        <v>0</v>
      </c>
      <c r="N45" s="213">
        <f t="shared" si="55"/>
        <v>0</v>
      </c>
      <c r="O45" s="213">
        <f t="shared" si="55"/>
        <v>0</v>
      </c>
      <c r="P45" s="213">
        <f t="shared" ref="P45:Q45" si="56">$C45*P15</f>
        <v>0</v>
      </c>
      <c r="Q45" s="214">
        <f t="shared" si="56"/>
        <v>0</v>
      </c>
    </row>
    <row r="46" spans="1:17" x14ac:dyDescent="0.35">
      <c r="A46" s="201"/>
      <c r="B46" s="202" t="str">
        <f>'Functionalized Trial Balance'!C29</f>
        <v>Bad Debt/Collection</v>
      </c>
      <c r="C46" s="204">
        <f>'Functionalized Trial Balance'!D29</f>
        <v>2349.3020289086944</v>
      </c>
      <c r="D46" s="213">
        <f t="shared" ref="D46:O46" si="57">$C46*D16</f>
        <v>0</v>
      </c>
      <c r="E46" s="213">
        <f t="shared" si="57"/>
        <v>0</v>
      </c>
      <c r="F46" s="213">
        <f t="shared" si="57"/>
        <v>0</v>
      </c>
      <c r="G46" s="213">
        <f t="shared" si="57"/>
        <v>0</v>
      </c>
      <c r="H46" s="213">
        <f t="shared" si="57"/>
        <v>0</v>
      </c>
      <c r="I46" s="213">
        <f t="shared" si="57"/>
        <v>0</v>
      </c>
      <c r="J46" s="213">
        <f t="shared" si="57"/>
        <v>0</v>
      </c>
      <c r="K46" s="213">
        <f t="shared" si="57"/>
        <v>0</v>
      </c>
      <c r="L46" s="213">
        <f t="shared" si="57"/>
        <v>0</v>
      </c>
      <c r="M46" s="213">
        <f t="shared" si="57"/>
        <v>0</v>
      </c>
      <c r="N46" s="213">
        <f t="shared" si="57"/>
        <v>2349.3020289086944</v>
      </c>
      <c r="O46" s="213">
        <f t="shared" si="57"/>
        <v>0</v>
      </c>
      <c r="P46" s="213">
        <f t="shared" ref="P46:Q46" si="58">$C46*P16</f>
        <v>0</v>
      </c>
      <c r="Q46" s="214">
        <f t="shared" si="58"/>
        <v>0</v>
      </c>
    </row>
    <row r="47" spans="1:17" x14ac:dyDescent="0.35">
      <c r="A47" s="201"/>
      <c r="B47" s="202" t="str">
        <f>'Functionalized Trial Balance'!C30</f>
        <v xml:space="preserve">A&amp;G  </v>
      </c>
      <c r="C47" s="204">
        <f>'Functionalized Trial Balance'!D30</f>
        <v>105421.99388255716</v>
      </c>
      <c r="D47" s="213">
        <f t="shared" ref="D47:N48" si="59">$C47*D17</f>
        <v>0</v>
      </c>
      <c r="E47" s="213">
        <f t="shared" si="59"/>
        <v>0</v>
      </c>
      <c r="F47" s="213">
        <f t="shared" si="59"/>
        <v>0</v>
      </c>
      <c r="G47" s="213">
        <f t="shared" si="59"/>
        <v>0</v>
      </c>
      <c r="H47" s="213">
        <f t="shared" si="59"/>
        <v>0</v>
      </c>
      <c r="I47" s="213">
        <f t="shared" si="59"/>
        <v>0</v>
      </c>
      <c r="J47" s="213">
        <f t="shared" si="59"/>
        <v>0</v>
      </c>
      <c r="K47" s="213">
        <f t="shared" si="59"/>
        <v>0</v>
      </c>
      <c r="L47" s="213">
        <f t="shared" si="59"/>
        <v>0</v>
      </c>
      <c r="M47" s="213">
        <f t="shared" si="59"/>
        <v>0</v>
      </c>
      <c r="N47" s="213">
        <f t="shared" si="59"/>
        <v>0</v>
      </c>
      <c r="O47" s="213">
        <f>$C47*O17</f>
        <v>105421.99388255716</v>
      </c>
      <c r="P47" s="213">
        <f t="shared" ref="P47:Q47" si="60">$C47*P17</f>
        <v>0</v>
      </c>
      <c r="Q47" s="214">
        <f t="shared" si="60"/>
        <v>0</v>
      </c>
    </row>
    <row r="48" spans="1:17" x14ac:dyDescent="0.35">
      <c r="A48" s="201"/>
      <c r="B48" s="202" t="str">
        <f>'Functionalized Trial Balance'!C31</f>
        <v>Direct Assignment to IGPC</v>
      </c>
      <c r="C48" s="204">
        <f>'Functionalized Trial Balance'!D31</f>
        <v>126749.90959116473</v>
      </c>
      <c r="D48" s="213">
        <f t="shared" si="59"/>
        <v>0</v>
      </c>
      <c r="E48" s="213">
        <f t="shared" si="59"/>
        <v>0</v>
      </c>
      <c r="F48" s="213">
        <f t="shared" si="59"/>
        <v>0</v>
      </c>
      <c r="G48" s="213">
        <f t="shared" si="59"/>
        <v>0</v>
      </c>
      <c r="H48" s="213">
        <f t="shared" si="59"/>
        <v>0</v>
      </c>
      <c r="I48" s="213">
        <f t="shared" si="59"/>
        <v>0</v>
      </c>
      <c r="J48" s="213">
        <f t="shared" si="59"/>
        <v>0</v>
      </c>
      <c r="K48" s="213">
        <f t="shared" si="59"/>
        <v>0</v>
      </c>
      <c r="L48" s="213">
        <f t="shared" si="59"/>
        <v>0</v>
      </c>
      <c r="M48" s="213">
        <f t="shared" si="59"/>
        <v>0</v>
      </c>
      <c r="N48" s="213">
        <f t="shared" si="59"/>
        <v>0</v>
      </c>
      <c r="O48" s="213">
        <f>$C48*O18</f>
        <v>0</v>
      </c>
      <c r="P48" s="213">
        <f t="shared" ref="P48:Q48" si="61">$C48*P18</f>
        <v>126749.90959116473</v>
      </c>
      <c r="Q48" s="214">
        <f t="shared" si="61"/>
        <v>0</v>
      </c>
    </row>
    <row r="49" spans="1:17" ht="15" thickBot="1" x14ac:dyDescent="0.4">
      <c r="A49" s="206"/>
      <c r="B49" s="271" t="s">
        <v>20</v>
      </c>
      <c r="C49" s="272">
        <f>SUM(C36:C48)</f>
        <v>1302707.1741927972</v>
      </c>
      <c r="D49" s="273">
        <f>SUM(D36:D48)</f>
        <v>28467.298709897383</v>
      </c>
      <c r="E49" s="273">
        <f t="shared" ref="E49:P49" si="62">SUM(E36:E48)</f>
        <v>34286.631088516522</v>
      </c>
      <c r="F49" s="273">
        <f t="shared" si="62"/>
        <v>262509.71424070024</v>
      </c>
      <c r="G49" s="273">
        <f t="shared" si="62"/>
        <v>189371.79018955951</v>
      </c>
      <c r="H49" s="273">
        <f t="shared" si="62"/>
        <v>22684.013751989689</v>
      </c>
      <c r="I49" s="273">
        <f t="shared" si="62"/>
        <v>293692.54285961087</v>
      </c>
      <c r="J49" s="273">
        <f t="shared" si="62"/>
        <v>89746.799810085897</v>
      </c>
      <c r="K49" s="273">
        <f t="shared" si="62"/>
        <v>9276.1526486681614</v>
      </c>
      <c r="L49" s="273">
        <f t="shared" si="62"/>
        <v>20408.658822432724</v>
      </c>
      <c r="M49" s="273">
        <f t="shared" si="62"/>
        <v>117742.36656870543</v>
      </c>
      <c r="N49" s="273">
        <f t="shared" si="62"/>
        <v>2349.3020289086944</v>
      </c>
      <c r="O49" s="273">
        <f t="shared" si="62"/>
        <v>105421.99388255716</v>
      </c>
      <c r="P49" s="273">
        <f t="shared" si="62"/>
        <v>126749.90959116473</v>
      </c>
      <c r="Q49" s="209">
        <f t="shared" ref="Q49" si="63">SUM(Q36:Q48)</f>
        <v>0</v>
      </c>
    </row>
    <row r="50" spans="1:17" ht="15" thickBot="1" x14ac:dyDescent="0.4">
      <c r="C50" s="193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</row>
    <row r="51" spans="1:17" x14ac:dyDescent="0.35">
      <c r="A51" s="199"/>
      <c r="B51" s="200" t="str">
        <f>'Functionalized Trial Balance'!C32</f>
        <v>Gas Supply</v>
      </c>
      <c r="C51" s="211">
        <f>'Functionalized Trial Balance'!D32</f>
        <v>102947.390568237</v>
      </c>
      <c r="D51" s="269">
        <f>$C51*D6</f>
        <v>102947.390568237</v>
      </c>
      <c r="E51" s="269">
        <f t="shared" ref="E51:Q51" si="64">$C51*E6</f>
        <v>0</v>
      </c>
      <c r="F51" s="269">
        <f t="shared" si="64"/>
        <v>0</v>
      </c>
      <c r="G51" s="269">
        <f t="shared" si="64"/>
        <v>0</v>
      </c>
      <c r="H51" s="269">
        <f t="shared" si="64"/>
        <v>0</v>
      </c>
      <c r="I51" s="269">
        <f t="shared" si="64"/>
        <v>0</v>
      </c>
      <c r="J51" s="269">
        <f t="shared" si="64"/>
        <v>0</v>
      </c>
      <c r="K51" s="269">
        <f t="shared" si="64"/>
        <v>0</v>
      </c>
      <c r="L51" s="269">
        <f t="shared" si="64"/>
        <v>0</v>
      </c>
      <c r="M51" s="269">
        <f t="shared" si="64"/>
        <v>0</v>
      </c>
      <c r="N51" s="269">
        <f t="shared" si="64"/>
        <v>0</v>
      </c>
      <c r="O51" s="269">
        <f t="shared" si="64"/>
        <v>0</v>
      </c>
      <c r="P51" s="269">
        <f t="shared" si="64"/>
        <v>0</v>
      </c>
      <c r="Q51" s="270">
        <f t="shared" si="64"/>
        <v>0</v>
      </c>
    </row>
    <row r="52" spans="1:17" x14ac:dyDescent="0.35">
      <c r="A52" s="201"/>
      <c r="B52" s="202" t="str">
        <f>'Functionalized Trial Balance'!C33</f>
        <v>Measurement</v>
      </c>
      <c r="C52" s="204">
        <f>'Functionalized Trial Balance'!D33</f>
        <v>46001.952835567048</v>
      </c>
      <c r="D52" s="213">
        <f t="shared" ref="D52:Q52" si="65">$C52*D7</f>
        <v>23000.976417783524</v>
      </c>
      <c r="E52" s="213">
        <f t="shared" si="65"/>
        <v>0</v>
      </c>
      <c r="F52" s="213">
        <f t="shared" si="65"/>
        <v>23000.976417783524</v>
      </c>
      <c r="G52" s="213">
        <f t="shared" si="65"/>
        <v>0</v>
      </c>
      <c r="H52" s="213">
        <f t="shared" si="65"/>
        <v>0</v>
      </c>
      <c r="I52" s="213">
        <f t="shared" si="65"/>
        <v>0</v>
      </c>
      <c r="J52" s="213">
        <f t="shared" si="65"/>
        <v>0</v>
      </c>
      <c r="K52" s="213">
        <f t="shared" si="65"/>
        <v>0</v>
      </c>
      <c r="L52" s="213">
        <f t="shared" si="65"/>
        <v>0</v>
      </c>
      <c r="M52" s="213">
        <f t="shared" si="65"/>
        <v>0</v>
      </c>
      <c r="N52" s="213">
        <f t="shared" si="65"/>
        <v>0</v>
      </c>
      <c r="O52" s="213">
        <f t="shared" si="65"/>
        <v>0</v>
      </c>
      <c r="P52" s="213">
        <f t="shared" si="65"/>
        <v>0</v>
      </c>
      <c r="Q52" s="214">
        <f t="shared" si="65"/>
        <v>0</v>
      </c>
    </row>
    <row r="53" spans="1:17" x14ac:dyDescent="0.35">
      <c r="A53" s="201"/>
      <c r="B53" s="202" t="str">
        <f>'Functionalized Trial Balance'!C34</f>
        <v>Mains</v>
      </c>
      <c r="C53" s="204">
        <f>'Functionalized Trial Balance'!D34</f>
        <v>657320.7079053116</v>
      </c>
      <c r="D53" s="213">
        <f t="shared" ref="D53:Q53" si="66">$C53*D8</f>
        <v>0</v>
      </c>
      <c r="E53" s="213">
        <f t="shared" si="66"/>
        <v>437315.46696940379</v>
      </c>
      <c r="F53" s="213">
        <f t="shared" si="66"/>
        <v>0</v>
      </c>
      <c r="G53" s="213">
        <f t="shared" si="66"/>
        <v>0</v>
      </c>
      <c r="H53" s="213">
        <f t="shared" si="66"/>
        <v>0</v>
      </c>
      <c r="I53" s="213">
        <f t="shared" si="66"/>
        <v>0</v>
      </c>
      <c r="J53" s="213">
        <f t="shared" si="66"/>
        <v>0</v>
      </c>
      <c r="K53" s="213">
        <f t="shared" si="66"/>
        <v>0</v>
      </c>
      <c r="L53" s="213">
        <f t="shared" si="66"/>
        <v>220005.24093590779</v>
      </c>
      <c r="M53" s="213">
        <f t="shared" si="66"/>
        <v>0</v>
      </c>
      <c r="N53" s="213">
        <f t="shared" si="66"/>
        <v>0</v>
      </c>
      <c r="O53" s="213">
        <f t="shared" si="66"/>
        <v>0</v>
      </c>
      <c r="P53" s="213">
        <f t="shared" si="66"/>
        <v>0</v>
      </c>
      <c r="Q53" s="214">
        <f t="shared" si="66"/>
        <v>0</v>
      </c>
    </row>
    <row r="54" spans="1:17" x14ac:dyDescent="0.35">
      <c r="A54" s="201"/>
      <c r="B54" s="202" t="str">
        <f>'Functionalized Trial Balance'!C35</f>
        <v>Mains x R6</v>
      </c>
      <c r="C54" s="204">
        <f>'Functionalized Trial Balance'!D35</f>
        <v>496584.18534513179</v>
      </c>
      <c r="D54" s="213">
        <f t="shared" ref="D54:Q54" si="67">$C54*D9</f>
        <v>0</v>
      </c>
      <c r="E54" s="213">
        <f t="shared" si="67"/>
        <v>0</v>
      </c>
      <c r="F54" s="213">
        <f t="shared" si="67"/>
        <v>330377.45851011621</v>
      </c>
      <c r="G54" s="213">
        <f t="shared" si="67"/>
        <v>0</v>
      </c>
      <c r="H54" s="213">
        <f t="shared" si="67"/>
        <v>0</v>
      </c>
      <c r="I54" s="213">
        <f t="shared" si="67"/>
        <v>0</v>
      </c>
      <c r="J54" s="213">
        <f t="shared" si="67"/>
        <v>0</v>
      </c>
      <c r="K54" s="213">
        <f t="shared" si="67"/>
        <v>0</v>
      </c>
      <c r="L54" s="213">
        <f t="shared" si="67"/>
        <v>0</v>
      </c>
      <c r="M54" s="213">
        <f t="shared" si="67"/>
        <v>166206.72683501561</v>
      </c>
      <c r="N54" s="213">
        <f t="shared" si="67"/>
        <v>0</v>
      </c>
      <c r="O54" s="213">
        <f t="shared" si="67"/>
        <v>0</v>
      </c>
      <c r="P54" s="213">
        <f t="shared" si="67"/>
        <v>0</v>
      </c>
      <c r="Q54" s="214">
        <f t="shared" si="67"/>
        <v>0</v>
      </c>
    </row>
    <row r="55" spans="1:17" x14ac:dyDescent="0.35">
      <c r="A55" s="201"/>
      <c r="B55" s="202" t="str">
        <f>'Functionalized Trial Balance'!C36</f>
        <v>Services</v>
      </c>
      <c r="C55" s="204">
        <f>'Functionalized Trial Balance'!D36</f>
        <v>399640.89795606647</v>
      </c>
      <c r="D55" s="213">
        <f t="shared" ref="D55:Q55" si="68">$C55*D10</f>
        <v>0</v>
      </c>
      <c r="E55" s="213">
        <f t="shared" si="68"/>
        <v>0</v>
      </c>
      <c r="F55" s="213">
        <f t="shared" si="68"/>
        <v>0</v>
      </c>
      <c r="G55" s="213">
        <f t="shared" si="68"/>
        <v>399640.89795606647</v>
      </c>
      <c r="H55" s="213">
        <f t="shared" si="68"/>
        <v>0</v>
      </c>
      <c r="I55" s="213">
        <f t="shared" si="68"/>
        <v>0</v>
      </c>
      <c r="J55" s="213">
        <f t="shared" si="68"/>
        <v>0</v>
      </c>
      <c r="K55" s="213">
        <f t="shared" si="68"/>
        <v>0</v>
      </c>
      <c r="L55" s="213">
        <f t="shared" si="68"/>
        <v>0</v>
      </c>
      <c r="M55" s="213">
        <f t="shared" si="68"/>
        <v>0</v>
      </c>
      <c r="N55" s="213">
        <f t="shared" si="68"/>
        <v>0</v>
      </c>
      <c r="O55" s="213">
        <f t="shared" si="68"/>
        <v>0</v>
      </c>
      <c r="P55" s="213">
        <f t="shared" si="68"/>
        <v>0</v>
      </c>
      <c r="Q55" s="214">
        <f t="shared" si="68"/>
        <v>0</v>
      </c>
    </row>
    <row r="56" spans="1:17" x14ac:dyDescent="0.35">
      <c r="A56" s="201"/>
      <c r="B56" s="202" t="str">
        <f>'Functionalized Trial Balance'!C37</f>
        <v>Meters</v>
      </c>
      <c r="C56" s="204">
        <f>'Functionalized Trial Balance'!D37</f>
        <v>733010.56823743461</v>
      </c>
      <c r="D56" s="213">
        <f t="shared" ref="D56:Q56" si="69">$C56*D11</f>
        <v>0</v>
      </c>
      <c r="E56" s="213">
        <f t="shared" si="69"/>
        <v>0</v>
      </c>
      <c r="F56" s="213">
        <f t="shared" si="69"/>
        <v>0</v>
      </c>
      <c r="G56" s="213">
        <f t="shared" si="69"/>
        <v>0</v>
      </c>
      <c r="H56" s="213">
        <f t="shared" si="69"/>
        <v>733010.56823743461</v>
      </c>
      <c r="I56" s="213">
        <f t="shared" si="69"/>
        <v>0</v>
      </c>
      <c r="J56" s="213">
        <f t="shared" si="69"/>
        <v>0</v>
      </c>
      <c r="K56" s="213">
        <f t="shared" si="69"/>
        <v>0</v>
      </c>
      <c r="L56" s="213">
        <f t="shared" si="69"/>
        <v>0</v>
      </c>
      <c r="M56" s="213">
        <f t="shared" si="69"/>
        <v>0</v>
      </c>
      <c r="N56" s="213">
        <f t="shared" si="69"/>
        <v>0</v>
      </c>
      <c r="O56" s="213">
        <f t="shared" si="69"/>
        <v>0</v>
      </c>
      <c r="P56" s="213">
        <f t="shared" si="69"/>
        <v>0</v>
      </c>
      <c r="Q56" s="214">
        <f t="shared" si="69"/>
        <v>0</v>
      </c>
    </row>
    <row r="57" spans="1:17" x14ac:dyDescent="0.35">
      <c r="A57" s="201" t="s">
        <v>50</v>
      </c>
      <c r="B57" s="202" t="str">
        <f>'Functionalized Trial Balance'!C38</f>
        <v>Billing/ Accounting</v>
      </c>
      <c r="C57" s="204">
        <f>'Functionalized Trial Balance'!D38</f>
        <v>574164.82166329992</v>
      </c>
      <c r="D57" s="213">
        <f t="shared" ref="D57:Q57" si="70">$C57*D14</f>
        <v>0</v>
      </c>
      <c r="E57" s="213">
        <f t="shared" si="70"/>
        <v>0</v>
      </c>
      <c r="F57" s="213">
        <f t="shared" si="70"/>
        <v>0</v>
      </c>
      <c r="G57" s="213">
        <f t="shared" si="70"/>
        <v>0</v>
      </c>
      <c r="H57" s="213">
        <f t="shared" si="70"/>
        <v>0</v>
      </c>
      <c r="I57" s="213">
        <f t="shared" si="70"/>
        <v>0</v>
      </c>
      <c r="J57" s="213">
        <f t="shared" si="70"/>
        <v>0</v>
      </c>
      <c r="K57" s="213">
        <f t="shared" si="70"/>
        <v>574164.82166329992</v>
      </c>
      <c r="L57" s="213">
        <f t="shared" si="70"/>
        <v>0</v>
      </c>
      <c r="M57" s="213">
        <f t="shared" si="70"/>
        <v>0</v>
      </c>
      <c r="N57" s="213">
        <f t="shared" si="70"/>
        <v>0</v>
      </c>
      <c r="O57" s="213">
        <f t="shared" si="70"/>
        <v>0</v>
      </c>
      <c r="P57" s="213">
        <f t="shared" si="70"/>
        <v>0</v>
      </c>
      <c r="Q57" s="214">
        <f t="shared" si="70"/>
        <v>0</v>
      </c>
    </row>
    <row r="58" spans="1:17" x14ac:dyDescent="0.35">
      <c r="A58" s="201"/>
      <c r="B58" s="202" t="str">
        <f>'Functionalized Trial Balance'!C39</f>
        <v>Promotion</v>
      </c>
      <c r="C58" s="204">
        <f>'Functionalized Trial Balance'!D39</f>
        <v>39963.745632329483</v>
      </c>
      <c r="D58" s="213">
        <f t="shared" ref="D58:Q58" si="71">$C58*D15</f>
        <v>0</v>
      </c>
      <c r="E58" s="213">
        <f t="shared" si="71"/>
        <v>0</v>
      </c>
      <c r="F58" s="213">
        <f t="shared" si="71"/>
        <v>0</v>
      </c>
      <c r="G58" s="213">
        <f t="shared" si="71"/>
        <v>0</v>
      </c>
      <c r="H58" s="213">
        <f t="shared" si="71"/>
        <v>0</v>
      </c>
      <c r="I58" s="213">
        <f t="shared" si="71"/>
        <v>0</v>
      </c>
      <c r="J58" s="213">
        <f t="shared" si="71"/>
        <v>0</v>
      </c>
      <c r="K58" s="213">
        <f t="shared" si="71"/>
        <v>0</v>
      </c>
      <c r="L58" s="213">
        <f t="shared" si="71"/>
        <v>39963.745632329483</v>
      </c>
      <c r="M58" s="213">
        <f t="shared" si="71"/>
        <v>0</v>
      </c>
      <c r="N58" s="213">
        <f t="shared" si="71"/>
        <v>0</v>
      </c>
      <c r="O58" s="213">
        <f t="shared" si="71"/>
        <v>0</v>
      </c>
      <c r="P58" s="213">
        <f t="shared" si="71"/>
        <v>0</v>
      </c>
      <c r="Q58" s="214">
        <f t="shared" si="71"/>
        <v>0</v>
      </c>
    </row>
    <row r="59" spans="1:17" x14ac:dyDescent="0.35">
      <c r="A59" s="201"/>
      <c r="B59" s="202" t="str">
        <f>'Functionalized Trial Balance'!C40</f>
        <v>Bad Debt/Collection</v>
      </c>
      <c r="C59" s="204">
        <f>'Functionalized Trial Balance'!D40</f>
        <v>103023.43798913423</v>
      </c>
      <c r="D59" s="213">
        <f t="shared" ref="D59:Q59" si="72">$C59*D16</f>
        <v>0</v>
      </c>
      <c r="E59" s="213">
        <f t="shared" si="72"/>
        <v>0</v>
      </c>
      <c r="F59" s="213">
        <f t="shared" si="72"/>
        <v>0</v>
      </c>
      <c r="G59" s="213">
        <f t="shared" si="72"/>
        <v>0</v>
      </c>
      <c r="H59" s="213">
        <f t="shared" si="72"/>
        <v>0</v>
      </c>
      <c r="I59" s="213">
        <f t="shared" si="72"/>
        <v>0</v>
      </c>
      <c r="J59" s="213">
        <f t="shared" si="72"/>
        <v>0</v>
      </c>
      <c r="K59" s="213">
        <f t="shared" si="72"/>
        <v>0</v>
      </c>
      <c r="L59" s="213">
        <f t="shared" si="72"/>
        <v>0</v>
      </c>
      <c r="M59" s="213">
        <f t="shared" si="72"/>
        <v>0</v>
      </c>
      <c r="N59" s="213">
        <f t="shared" si="72"/>
        <v>103023.43798913423</v>
      </c>
      <c r="O59" s="213">
        <f t="shared" si="72"/>
        <v>0</v>
      </c>
      <c r="P59" s="213">
        <f t="shared" si="72"/>
        <v>0</v>
      </c>
      <c r="Q59" s="214">
        <f t="shared" si="72"/>
        <v>0</v>
      </c>
    </row>
    <row r="60" spans="1:17" x14ac:dyDescent="0.35">
      <c r="A60" s="201"/>
      <c r="B60" s="202" t="str">
        <f>'Functionalized Trial Balance'!C41</f>
        <v xml:space="preserve">A&amp;G  </v>
      </c>
      <c r="C60" s="204">
        <f>'Functionalized Trial Balance'!D41</f>
        <v>1665809.6972697319</v>
      </c>
      <c r="D60" s="213">
        <f>$C60*D17</f>
        <v>0</v>
      </c>
      <c r="E60" s="213">
        <f t="shared" ref="E60:Q60" si="73">$C60*E17</f>
        <v>0</v>
      </c>
      <c r="F60" s="213">
        <f t="shared" si="73"/>
        <v>0</v>
      </c>
      <c r="G60" s="213">
        <f t="shared" si="73"/>
        <v>0</v>
      </c>
      <c r="H60" s="213">
        <f t="shared" si="73"/>
        <v>0</v>
      </c>
      <c r="I60" s="213">
        <f t="shared" si="73"/>
        <v>0</v>
      </c>
      <c r="J60" s="213">
        <f t="shared" si="73"/>
        <v>0</v>
      </c>
      <c r="K60" s="213">
        <f t="shared" si="73"/>
        <v>0</v>
      </c>
      <c r="L60" s="213">
        <f t="shared" si="73"/>
        <v>0</v>
      </c>
      <c r="M60" s="213">
        <f t="shared" si="73"/>
        <v>0</v>
      </c>
      <c r="N60" s="213">
        <f t="shared" si="73"/>
        <v>0</v>
      </c>
      <c r="O60" s="213">
        <f t="shared" si="73"/>
        <v>1665809.6972697319</v>
      </c>
      <c r="P60" s="213">
        <f t="shared" si="73"/>
        <v>0</v>
      </c>
      <c r="Q60" s="214">
        <f t="shared" si="73"/>
        <v>0</v>
      </c>
    </row>
    <row r="61" spans="1:17" x14ac:dyDescent="0.35">
      <c r="A61" s="201"/>
      <c r="B61" s="202" t="str">
        <f>'Functionalized Trial Balance'!C42</f>
        <v>Direct Assignment to IGPC</v>
      </c>
      <c r="C61" s="204">
        <f>'Functionalized Trial Balance'!D42</f>
        <v>199000</v>
      </c>
      <c r="D61" s="213">
        <f>$C61*D18</f>
        <v>0</v>
      </c>
      <c r="E61" s="213">
        <f t="shared" ref="E61:Q61" si="74">$C61*E18</f>
        <v>0</v>
      </c>
      <c r="F61" s="213">
        <f t="shared" si="74"/>
        <v>0</v>
      </c>
      <c r="G61" s="213">
        <f t="shared" si="74"/>
        <v>0</v>
      </c>
      <c r="H61" s="213">
        <f t="shared" si="74"/>
        <v>0</v>
      </c>
      <c r="I61" s="213">
        <f t="shared" si="74"/>
        <v>0</v>
      </c>
      <c r="J61" s="213">
        <f t="shared" si="74"/>
        <v>0</v>
      </c>
      <c r="K61" s="213">
        <f t="shared" si="74"/>
        <v>0</v>
      </c>
      <c r="L61" s="213">
        <f t="shared" si="74"/>
        <v>0</v>
      </c>
      <c r="M61" s="213">
        <f t="shared" si="74"/>
        <v>0</v>
      </c>
      <c r="N61" s="213">
        <f t="shared" si="74"/>
        <v>0</v>
      </c>
      <c r="O61" s="213">
        <f t="shared" si="74"/>
        <v>0</v>
      </c>
      <c r="P61" s="213">
        <f t="shared" si="74"/>
        <v>199000</v>
      </c>
      <c r="Q61" s="214">
        <f t="shared" si="74"/>
        <v>0</v>
      </c>
    </row>
    <row r="62" spans="1:17" x14ac:dyDescent="0.35">
      <c r="A62" s="201"/>
      <c r="B62" s="202" t="str">
        <f>'Functionalized Trial Balance'!C43</f>
        <v>Assignment</v>
      </c>
      <c r="C62" s="204">
        <f>'Functionalized Trial Balance'!D43</f>
        <v>-169945</v>
      </c>
      <c r="D62" s="213">
        <f>$C62*D19</f>
        <v>0</v>
      </c>
      <c r="E62" s="213">
        <f t="shared" ref="E62:Q62" si="75">$C62*E19</f>
        <v>0</v>
      </c>
      <c r="F62" s="213">
        <f t="shared" si="75"/>
        <v>0</v>
      </c>
      <c r="G62" s="213">
        <f t="shared" si="75"/>
        <v>0</v>
      </c>
      <c r="H62" s="213">
        <f t="shared" si="75"/>
        <v>0</v>
      </c>
      <c r="I62" s="213">
        <f t="shared" si="75"/>
        <v>0</v>
      </c>
      <c r="J62" s="213">
        <f t="shared" si="75"/>
        <v>0</v>
      </c>
      <c r="K62" s="213">
        <f t="shared" si="75"/>
        <v>0</v>
      </c>
      <c r="L62" s="213">
        <f t="shared" si="75"/>
        <v>0</v>
      </c>
      <c r="M62" s="213">
        <f t="shared" si="75"/>
        <v>0</v>
      </c>
      <c r="N62" s="213">
        <f t="shared" si="75"/>
        <v>0</v>
      </c>
      <c r="O62" s="213">
        <f t="shared" si="75"/>
        <v>-180000</v>
      </c>
      <c r="P62" s="213">
        <f t="shared" si="75"/>
        <v>0</v>
      </c>
      <c r="Q62" s="214">
        <f t="shared" si="75"/>
        <v>10055</v>
      </c>
    </row>
    <row r="63" spans="1:17" ht="15" thickBot="1" x14ac:dyDescent="0.4">
      <c r="A63" s="206"/>
      <c r="B63" s="271" t="s">
        <v>20</v>
      </c>
      <c r="C63" s="273">
        <f t="shared" ref="C63:Q63" si="76">SUM(C51:C62)</f>
        <v>4847522.405402245</v>
      </c>
      <c r="D63" s="273">
        <f t="shared" si="76"/>
        <v>125948.36698602053</v>
      </c>
      <c r="E63" s="273">
        <f t="shared" si="76"/>
        <v>437315.46696940379</v>
      </c>
      <c r="F63" s="273">
        <f t="shared" si="76"/>
        <v>353378.43492789974</v>
      </c>
      <c r="G63" s="273">
        <f t="shared" si="76"/>
        <v>399640.89795606647</v>
      </c>
      <c r="H63" s="273">
        <f t="shared" si="76"/>
        <v>733010.56823743461</v>
      </c>
      <c r="I63" s="273">
        <f t="shared" si="76"/>
        <v>0</v>
      </c>
      <c r="J63" s="273">
        <f t="shared" si="76"/>
        <v>0</v>
      </c>
      <c r="K63" s="273">
        <f t="shared" si="76"/>
        <v>574164.82166329992</v>
      </c>
      <c r="L63" s="273">
        <f t="shared" si="76"/>
        <v>259968.98656823728</v>
      </c>
      <c r="M63" s="273">
        <f t="shared" si="76"/>
        <v>166206.72683501561</v>
      </c>
      <c r="N63" s="273">
        <f t="shared" si="76"/>
        <v>103023.43798913423</v>
      </c>
      <c r="O63" s="273">
        <f t="shared" si="76"/>
        <v>1485809.6972697319</v>
      </c>
      <c r="P63" s="273">
        <f t="shared" si="76"/>
        <v>199000</v>
      </c>
      <c r="Q63" s="209">
        <f t="shared" si="76"/>
        <v>10055</v>
      </c>
    </row>
  </sheetData>
  <pageMargins left="0.7" right="0.7" top="0.75" bottom="0.75" header="0.3" footer="0.3"/>
  <pageSetup scale="4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B1:U107"/>
  <sheetViews>
    <sheetView showGridLines="0" workbookViewId="0">
      <pane xSplit="5" ySplit="5" topLeftCell="F6" activePane="bottomRight" state="frozen"/>
      <selection pane="topRight" activeCell="F1" sqref="F1"/>
      <selection pane="bottomLeft" activeCell="A3" sqref="A3"/>
      <selection pane="bottomRight" activeCell="V70" sqref="V70"/>
    </sheetView>
  </sheetViews>
  <sheetFormatPr defaultColWidth="9" defaultRowHeight="14.5" x14ac:dyDescent="0.35"/>
  <cols>
    <col min="1" max="1" width="0" style="184" hidden="1" customWidth="1"/>
    <col min="2" max="2" width="13.26953125" style="184" customWidth="1"/>
    <col min="3" max="3" width="26.7265625" style="184" customWidth="1"/>
    <col min="4" max="4" width="14.08984375" style="184" bestFit="1" customWidth="1"/>
    <col min="5" max="5" width="11.08984375" style="184" bestFit="1" customWidth="1"/>
    <col min="6" max="6" width="12.26953125" style="184" customWidth="1"/>
    <col min="7" max="7" width="11.7265625" style="184" customWidth="1"/>
    <col min="8" max="8" width="11" style="184" customWidth="1"/>
    <col min="9" max="9" width="11.08984375" style="184" customWidth="1"/>
    <col min="10" max="12" width="11.08984375" style="184" bestFit="1" customWidth="1"/>
    <col min="13" max="13" width="12.7265625" style="184" bestFit="1" customWidth="1"/>
    <col min="14" max="14" width="9" style="184"/>
    <col min="15" max="15" width="11.1796875" style="184" bestFit="1" customWidth="1"/>
    <col min="16" max="19" width="5.08984375" style="184" hidden="1" customWidth="1"/>
    <col min="20" max="20" width="13.7265625" style="184" hidden="1" customWidth="1"/>
    <col min="21" max="21" width="11.1796875" style="184" hidden="1" customWidth="1"/>
    <col min="22" max="16384" width="9" style="184"/>
  </cols>
  <sheetData>
    <row r="1" spans="2:17" x14ac:dyDescent="0.35">
      <c r="B1" s="183" t="s">
        <v>266</v>
      </c>
    </row>
    <row r="2" spans="2:17" x14ac:dyDescent="0.35">
      <c r="B2" s="183" t="s">
        <v>265</v>
      </c>
    </row>
    <row r="3" spans="2:17" x14ac:dyDescent="0.35">
      <c r="B3" s="183" t="s">
        <v>267</v>
      </c>
    </row>
    <row r="4" spans="2:17" ht="15" thickBot="1" x14ac:dyDescent="0.4">
      <c r="B4" s="183" t="str">
        <f ca="1">MID(CELL("filename",B1),FIND("]",CELL("filename",B1))+1,255)</f>
        <v>Allocation</v>
      </c>
    </row>
    <row r="5" spans="2:17" ht="35.15" customHeight="1" thickBot="1" x14ac:dyDescent="0.4">
      <c r="B5" s="274"/>
      <c r="C5" s="275"/>
      <c r="D5" s="276" t="s">
        <v>95</v>
      </c>
      <c r="E5" s="276" t="s">
        <v>20</v>
      </c>
      <c r="F5" s="277" t="str">
        <f>Allocators!D5</f>
        <v>R1 Residential</v>
      </c>
      <c r="G5" s="277" t="str">
        <f>Allocators!E5</f>
        <v>R1 Commercial</v>
      </c>
      <c r="H5" s="277" t="str">
        <f>Allocators!F5</f>
        <v>R1 Industrial</v>
      </c>
      <c r="I5" s="277" t="str">
        <f>Allocators!G5</f>
        <v>R2 Seasonal</v>
      </c>
      <c r="J5" s="277" t="str">
        <f>Allocators!H5</f>
        <v>R3</v>
      </c>
      <c r="K5" s="277" t="str">
        <f>Allocators!I5</f>
        <v>R4</v>
      </c>
      <c r="L5" s="277" t="str">
        <f>Allocators!J5</f>
        <v>R5</v>
      </c>
      <c r="M5" s="278" t="str">
        <f>Allocators!K5</f>
        <v>R6</v>
      </c>
    </row>
    <row r="6" spans="2:17" x14ac:dyDescent="0.35">
      <c r="B6" s="201"/>
      <c r="C6" s="202" t="str">
        <f ca="1">OFFSET(Classification!$D$5,0,ROW()-ROW($C$6))</f>
        <v>Delivery Commodity</v>
      </c>
      <c r="D6" s="203" t="s">
        <v>139</v>
      </c>
      <c r="E6" s="204">
        <f ca="1">OFFSET(Classification!$D$34,0,ROW()-ROW($E$6))</f>
        <v>683059.40249799204</v>
      </c>
      <c r="F6" s="204">
        <f ca="1">INDEX(Allocators!$B$5:$L$31,MATCH(Allocation!$D6,Allocators!$C$5:$C$31,0),MATCH(Allocation!F$5,Allocators!$B$5:$L$5,0))*$E6</f>
        <v>399575.43154223391</v>
      </c>
      <c r="G6" s="204">
        <f ca="1">INDEX(Allocators!$B$5:$L$31,MATCH(Allocation!$D6,Allocators!$C$5:$C$31,0),MATCH(Allocation!G$5,Allocators!$B$5:$L$5,0))*$E6</f>
        <v>126165.46940380881</v>
      </c>
      <c r="H6" s="204">
        <f ca="1">INDEX(Allocators!$B$5:$L$31,MATCH(Allocation!$D6,Allocators!$C$5:$C$31,0),MATCH(Allocation!H$5,Allocators!$B$5:$L$5,0))*$E6</f>
        <v>39141.974562588381</v>
      </c>
      <c r="I6" s="204">
        <f ca="1">INDEX(Allocators!$B$5:$L$31,MATCH(Allocation!$D6,Allocators!$C$5:$C$31,0),MATCH(Allocation!I$5,Allocators!$B$5:$L$5,0))*$E6</f>
        <v>2693.8659981993674</v>
      </c>
      <c r="J6" s="204">
        <f ca="1">INDEX(Allocators!$B$5:$L$31,MATCH(Allocation!$D6,Allocators!$C$5:$C$31,0),MATCH(Allocation!J$5,Allocators!$B$5:$L$5,0))*$E6</f>
        <v>115482.66099116158</v>
      </c>
      <c r="K6" s="204">
        <f ca="1">INDEX(Allocators!$B$5:$L$31,MATCH(Allocation!$D6,Allocators!$C$5:$C$31,0),MATCH(Allocation!K$5,Allocators!$B$5:$L$5,0))*$E6</f>
        <v>0</v>
      </c>
      <c r="L6" s="204">
        <f ca="1">INDEX(Allocators!$B$5:$L$31,MATCH(Allocation!$D6,Allocators!$C$5:$C$31,0),MATCH(Allocation!L$5,Allocators!$B$5:$L$5,0))*$E6</f>
        <v>0</v>
      </c>
      <c r="M6" s="205">
        <f ca="1">INDEX(Allocators!$B$5:$L$31,MATCH(Allocation!$D6,Allocators!$C$5:$C$31,0),MATCH(Allocation!M$5,Allocators!$B$5:$L$5,0))*$E6</f>
        <v>0</v>
      </c>
      <c r="Q6" s="191"/>
    </row>
    <row r="7" spans="2:17" x14ac:dyDescent="0.35">
      <c r="B7" s="201"/>
      <c r="C7" s="202" t="str">
        <f ca="1">OFFSET(Classification!$D$5,0,ROW()-ROW($C$6))</f>
        <v>Delivery Demand</v>
      </c>
      <c r="D7" s="203" t="s">
        <v>92</v>
      </c>
      <c r="E7" s="204">
        <f ca="1">OFFSET(Classification!$D$34,0,ROW()-ROW($E$6))</f>
        <v>199812.19132454539</v>
      </c>
      <c r="F7" s="204">
        <f ca="1">INDEX(Allocators!$B$5:$L$31,MATCH(Allocation!$D7,Allocators!$C$5:$C$31,0),MATCH(Allocation!F$5,Allocators!$B$5:$L$5,0))*$E7</f>
        <v>63025.50726372419</v>
      </c>
      <c r="G7" s="204">
        <f ca="1">INDEX(Allocators!$B$5:$L$31,MATCH(Allocation!$D7,Allocators!$C$5:$C$31,0),MATCH(Allocation!G$5,Allocators!$B$5:$L$5,0))*$E7</f>
        <v>19981.229348032983</v>
      </c>
      <c r="H7" s="204">
        <f ca="1">INDEX(Allocators!$B$5:$L$31,MATCH(Allocation!$D7,Allocators!$C$5:$C$31,0),MATCH(Allocation!H$5,Allocators!$B$5:$L$5,0))*$E7</f>
        <v>6396.893342802382</v>
      </c>
      <c r="I7" s="204">
        <f ca="1">INDEX(Allocators!$B$5:$L$31,MATCH(Allocation!$D7,Allocators!$C$5:$C$31,0),MATCH(Allocation!I$5,Allocators!$B$5:$L$5,0))*$E7</f>
        <v>3721.0309389143385</v>
      </c>
      <c r="J7" s="204">
        <f ca="1">INDEX(Allocators!$B$5:$L$31,MATCH(Allocation!$D7,Allocators!$C$5:$C$31,0),MATCH(Allocation!J$5,Allocators!$B$5:$L$5,0))*$E7</f>
        <v>18036.990988838941</v>
      </c>
      <c r="K7" s="204">
        <f ca="1">INDEX(Allocators!$B$5:$L$31,MATCH(Allocation!$D7,Allocators!$C$5:$C$31,0),MATCH(Allocation!K$5,Allocators!$B$5:$L$5,0))*$E7</f>
        <v>20964.026366679645</v>
      </c>
      <c r="L7" s="204">
        <f ca="1">INDEX(Allocators!$B$5:$L$31,MATCH(Allocation!$D7,Allocators!$C$5:$C$31,0),MATCH(Allocation!L$5,Allocators!$B$5:$L$5,0))*$E7</f>
        <v>2518.0170480438042</v>
      </c>
      <c r="M7" s="205">
        <f ca="1">INDEX(Allocators!$B$5:$L$31,MATCH(Allocation!$D7,Allocators!$C$5:$C$31,0),MATCH(Allocation!M$5,Allocators!$B$5:$L$5,0))*$E7</f>
        <v>65168.496027509122</v>
      </c>
      <c r="Q7" s="191"/>
    </row>
    <row r="8" spans="2:17" x14ac:dyDescent="0.35">
      <c r="B8" s="201"/>
      <c r="C8" s="202" t="str">
        <f ca="1">OFFSET(Classification!$D$5,0,ROW()-ROW($C$6))</f>
        <v>Delivery Demand excl. R6</v>
      </c>
      <c r="D8" s="203" t="s">
        <v>141</v>
      </c>
      <c r="E8" s="204">
        <f ca="1">OFFSET(Classification!$D$34,0,ROW()-ROW($E$6))</f>
        <v>7755176.4320095778</v>
      </c>
      <c r="F8" s="204">
        <f ca="1">INDEX(Allocators!$B$5:$L$31,MATCH(Allocation!$D8,Allocators!$C$5:$C$31,0),MATCH(Allocation!F$5,Allocators!$B$5:$L$5,0))*$E8</f>
        <v>3630128.5958380932</v>
      </c>
      <c r="G8" s="204">
        <f ca="1">INDEX(Allocators!$B$5:$L$31,MATCH(Allocation!$D8,Allocators!$C$5:$C$31,0),MATCH(Allocation!G$5,Allocators!$B$5:$L$5,0))*$E8</f>
        <v>1150874.2283149026</v>
      </c>
      <c r="H8" s="204">
        <f ca="1">INDEX(Allocators!$B$5:$L$31,MATCH(Allocation!$D8,Allocators!$C$5:$C$31,0),MATCH(Allocation!H$5,Allocators!$B$5:$L$5,0))*$E8</f>
        <v>368446.78379286861</v>
      </c>
      <c r="I8" s="204">
        <f ca="1">INDEX(Allocators!$B$5:$L$31,MATCH(Allocation!$D8,Allocators!$C$5:$C$31,0),MATCH(Allocation!I$5,Allocators!$B$5:$L$5,0))*$E8</f>
        <v>214323.07971483713</v>
      </c>
      <c r="J8" s="204">
        <f ca="1">INDEX(Allocators!$B$5:$L$31,MATCH(Allocation!$D8,Allocators!$C$5:$C$31,0),MATCH(Allocation!J$5,Allocators!$B$5:$L$5,0))*$E8</f>
        <v>1038890.4368112056</v>
      </c>
      <c r="K8" s="204">
        <f ca="1">INDEX(Allocators!$B$5:$L$31,MATCH(Allocation!$D8,Allocators!$C$5:$C$31,0),MATCH(Allocation!K$5,Allocators!$B$5:$L$5,0))*$E8</f>
        <v>1207481.1437716091</v>
      </c>
      <c r="L8" s="204">
        <f ca="1">INDEX(Allocators!$B$5:$L$31,MATCH(Allocation!$D8,Allocators!$C$5:$C$31,0),MATCH(Allocation!L$5,Allocators!$B$5:$L$5,0))*$E8</f>
        <v>145032.16376606291</v>
      </c>
      <c r="M8" s="205">
        <f ca="1">INDEX(Allocators!$B$5:$L$31,MATCH(Allocation!$D8,Allocators!$C$5:$C$31,0),MATCH(Allocation!M$5,Allocators!$B$5:$L$5,0))*$E8</f>
        <v>0</v>
      </c>
      <c r="Q8" s="191"/>
    </row>
    <row r="9" spans="2:17" x14ac:dyDescent="0.35">
      <c r="B9" s="201" t="s">
        <v>51</v>
      </c>
      <c r="C9" s="202" t="str">
        <f ca="1">OFFSET(Classification!$D$5,0,ROW()-ROW($C$6))</f>
        <v>Weighted Customer Services</v>
      </c>
      <c r="D9" s="203" t="s">
        <v>218</v>
      </c>
      <c r="E9" s="204">
        <f ca="1">OFFSET(Classification!$D$34,0,ROW()-ROW($E$6))</f>
        <v>4947219.1314959703</v>
      </c>
      <c r="F9" s="204">
        <f ca="1">INDEX(Allocators!$B$5:$L$31,MATCH(Allocation!$D9,Allocators!$C$5:$C$31,0),MATCH(Allocation!F$5,Allocators!$B$5:$L$5,0))*$E9</f>
        <v>4251858.3408351205</v>
      </c>
      <c r="G9" s="204">
        <f ca="1">INDEX(Allocators!$B$5:$L$31,MATCH(Allocation!$D9,Allocators!$C$5:$C$31,0),MATCH(Allocation!G$5,Allocators!$B$5:$L$5,0))*$E9</f>
        <v>459451.99764149066</v>
      </c>
      <c r="H9" s="204">
        <f ca="1">INDEX(Allocators!$B$5:$L$31,MATCH(Allocation!$D9,Allocators!$C$5:$C$31,0),MATCH(Allocation!H$5,Allocators!$B$5:$L$5,0))*$E9</f>
        <v>87090.847602139402</v>
      </c>
      <c r="I9" s="204">
        <f ca="1">INDEX(Allocators!$B$5:$L$31,MATCH(Allocation!$D9,Allocators!$C$5:$C$31,0),MATCH(Allocation!I$5,Allocators!$B$5:$L$5,0))*$E9</f>
        <v>68582.954971294996</v>
      </c>
      <c r="J9" s="204">
        <f ca="1">INDEX(Allocators!$B$5:$L$31,MATCH(Allocation!$D9,Allocators!$C$5:$C$31,0),MATCH(Allocation!J$5,Allocators!$B$5:$L$5,0))*$E9</f>
        <v>7182.5985038290219</v>
      </c>
      <c r="K9" s="204">
        <f ca="1">INDEX(Allocators!$B$5:$L$31,MATCH(Allocation!$D9,Allocators!$C$5:$C$31,0),MATCH(Allocation!K$5,Allocators!$B$5:$L$5,0))*$E9</f>
        <v>65197.190242536584</v>
      </c>
      <c r="L9" s="204">
        <f ca="1">INDEX(Allocators!$B$5:$L$31,MATCH(Allocation!$D9,Allocators!$C$5:$C$31,0),MATCH(Allocation!L$5,Allocators!$B$5:$L$5,0))*$E9</f>
        <v>7855.2016995593713</v>
      </c>
      <c r="M9" s="205">
        <f ca="1">INDEX(Allocators!$B$5:$L$31,MATCH(Allocation!$D9,Allocators!$C$5:$C$31,0),MATCH(Allocation!M$5,Allocators!$B$5:$L$5,0))*$E9</f>
        <v>0</v>
      </c>
      <c r="Q9" s="191"/>
    </row>
    <row r="10" spans="2:17" x14ac:dyDescent="0.35">
      <c r="B10" s="201"/>
      <c r="C10" s="202" t="str">
        <f ca="1">OFFSET(Classification!$D$5,0,ROW()-ROW($C$6))</f>
        <v>Weighted Customer Meters</v>
      </c>
      <c r="D10" s="203" t="s">
        <v>219</v>
      </c>
      <c r="E10" s="204">
        <f ca="1">OFFSET(Classification!$D$34,0,ROW()-ROW($E$6))</f>
        <v>222379.53272628007</v>
      </c>
      <c r="F10" s="204">
        <f ca="1">INDEX(Allocators!$B$5:$L$31,MATCH(Allocation!$D10,Allocators!$C$5:$C$31,0),MATCH(Allocation!F$5,Allocators!$B$5:$L$5,0))*$E10</f>
        <v>160312.3506415124</v>
      </c>
      <c r="G10" s="204">
        <f ca="1">INDEX(Allocators!$B$5:$L$31,MATCH(Allocation!$D10,Allocators!$C$5:$C$31,0),MATCH(Allocation!G$5,Allocators!$B$5:$L$5,0))*$E10</f>
        <v>38319.133713402749</v>
      </c>
      <c r="H10" s="204">
        <f ca="1">INDEX(Allocators!$B$5:$L$31,MATCH(Allocation!$D10,Allocators!$C$5:$C$31,0),MATCH(Allocation!H$5,Allocators!$B$5:$L$5,0))*$E10</f>
        <v>8064.6408085317571</v>
      </c>
      <c r="I10" s="204">
        <f ca="1">INDEX(Allocators!$B$5:$L$31,MATCH(Allocation!$D10,Allocators!$C$5:$C$31,0),MATCH(Allocation!I$5,Allocators!$B$5:$L$5,0))*$E10</f>
        <v>6507.5996455198856</v>
      </c>
      <c r="J10" s="204">
        <f ca="1">INDEX(Allocators!$B$5:$L$31,MATCH(Allocation!$D10,Allocators!$C$5:$C$31,0),MATCH(Allocation!J$5,Allocators!$B$5:$L$5,0))*$E10</f>
        <v>838.59171614340403</v>
      </c>
      <c r="K10" s="204">
        <f ca="1">INDEX(Allocators!$B$5:$L$31,MATCH(Allocation!$D10,Allocators!$C$5:$C$31,0),MATCH(Allocation!K$5,Allocators!$B$5:$L$5,0))*$E10</f>
        <v>7666.342828255124</v>
      </c>
      <c r="L10" s="204">
        <f ca="1">INDEX(Allocators!$B$5:$L$31,MATCH(Allocation!$D10,Allocators!$C$5:$C$31,0),MATCH(Allocation!L$5,Allocators!$B$5:$L$5,0))*$E10</f>
        <v>670.87337291472329</v>
      </c>
      <c r="M10" s="205">
        <f ca="1">INDEX(Allocators!$B$5:$L$31,MATCH(Allocation!$D10,Allocators!$C$5:$C$31,0),MATCH(Allocation!M$5,Allocators!$B$5:$L$5,0))*$E10</f>
        <v>0</v>
      </c>
      <c r="Q10" s="191"/>
    </row>
    <row r="11" spans="2:17" x14ac:dyDescent="0.35">
      <c r="B11" s="201"/>
      <c r="C11" s="202" t="str">
        <f ca="1">OFFSET(Classification!$D$5,0,ROW()-ROW($C$6))</f>
        <v>Residential Meters</v>
      </c>
      <c r="D11" s="203" t="s">
        <v>128</v>
      </c>
      <c r="E11" s="204">
        <f ca="1">OFFSET(Classification!$D$34,0,ROW()-ROW($E$6))</f>
        <v>1984821.0875446172</v>
      </c>
      <c r="F11" s="204">
        <f ca="1">INDEX(Allocators!$B$5:$L$31,MATCH(Allocation!$D11,Allocators!$C$5:$C$31,0),MATCH(Allocation!F$5,Allocators!$B$5:$L$5,0))*$E11</f>
        <v>1984821.0875446172</v>
      </c>
      <c r="G11" s="204">
        <f ca="1">INDEX(Allocators!$B$5:$L$31,MATCH(Allocation!$D11,Allocators!$C$5:$C$31,0),MATCH(Allocation!G$5,Allocators!$B$5:$L$5,0))*$E11</f>
        <v>0</v>
      </c>
      <c r="H11" s="204">
        <f ca="1">INDEX(Allocators!$B$5:$L$31,MATCH(Allocation!$D11,Allocators!$C$5:$C$31,0),MATCH(Allocation!H$5,Allocators!$B$5:$L$5,0))*$E11</f>
        <v>0</v>
      </c>
      <c r="I11" s="204">
        <f ca="1">INDEX(Allocators!$B$5:$L$31,MATCH(Allocation!$D11,Allocators!$C$5:$C$31,0),MATCH(Allocation!I$5,Allocators!$B$5:$L$5,0))*$E11</f>
        <v>0</v>
      </c>
      <c r="J11" s="204">
        <f ca="1">INDEX(Allocators!$B$5:$L$31,MATCH(Allocation!$D11,Allocators!$C$5:$C$31,0),MATCH(Allocation!J$5,Allocators!$B$5:$L$5,0))*$E11</f>
        <v>0</v>
      </c>
      <c r="K11" s="204">
        <f ca="1">INDEX(Allocators!$B$5:$L$31,MATCH(Allocation!$D11,Allocators!$C$5:$C$31,0),MATCH(Allocation!K$5,Allocators!$B$5:$L$5,0))*$E11</f>
        <v>0</v>
      </c>
      <c r="L11" s="204">
        <f ca="1">INDEX(Allocators!$B$5:$L$31,MATCH(Allocation!$D11,Allocators!$C$5:$C$31,0),MATCH(Allocation!L$5,Allocators!$B$5:$L$5,0))*$E11</f>
        <v>0</v>
      </c>
      <c r="M11" s="205">
        <f ca="1">INDEX(Allocators!$B$5:$L$31,MATCH(Allocation!$D11,Allocators!$C$5:$C$31,0),MATCH(Allocation!M$5,Allocators!$B$5:$L$5,0))*$E11</f>
        <v>0</v>
      </c>
      <c r="Q11" s="191"/>
    </row>
    <row r="12" spans="2:17" x14ac:dyDescent="0.35">
      <c r="B12" s="201"/>
      <c r="C12" s="202" t="str">
        <f ca="1">OFFSET(Classification!$D$5,0,ROW()-ROW($C$6))</f>
        <v>Commercial Meters</v>
      </c>
      <c r="D12" s="203" t="s">
        <v>130</v>
      </c>
      <c r="E12" s="204">
        <f ca="1">OFFSET(Classification!$D$34,0,ROW()-ROW($E$6))</f>
        <v>978729.99028487084</v>
      </c>
      <c r="F12" s="204">
        <f ca="1">INDEX(Allocators!$B$5:$L$31,MATCH(Allocation!$D12,Allocators!$C$5:$C$31,0),MATCH(Allocation!F$5,Allocators!$B$5:$L$5,0))*$E12</f>
        <v>0</v>
      </c>
      <c r="G12" s="204">
        <f ca="1">INDEX(Allocators!$B$5:$L$31,MATCH(Allocation!$D12,Allocators!$C$5:$C$31,0),MATCH(Allocation!G$5,Allocators!$B$5:$L$5,0))*$E12</f>
        <v>604249.84842750721</v>
      </c>
      <c r="H12" s="204">
        <f ca="1">INDEX(Allocators!$B$5:$L$31,MATCH(Allocation!$D12,Allocators!$C$5:$C$31,0),MATCH(Allocation!H$5,Allocators!$B$5:$L$5,0))*$E12</f>
        <v>127170.35887669794</v>
      </c>
      <c r="I12" s="204">
        <f ca="1">INDEX(Allocators!$B$5:$L$31,MATCH(Allocation!$D12,Allocators!$C$5:$C$31,0),MATCH(Allocation!I$5,Allocators!$B$5:$L$5,0))*$E12</f>
        <v>102617.56251699741</v>
      </c>
      <c r="J12" s="204">
        <f ca="1">INDEX(Allocators!$B$5:$L$31,MATCH(Allocation!$D12,Allocators!$C$5:$C$31,0),MATCH(Allocation!J$5,Allocators!$B$5:$L$5,0))*$E12</f>
        <v>13223.652736047678</v>
      </c>
      <c r="K12" s="204">
        <f ca="1">INDEX(Allocators!$B$5:$L$31,MATCH(Allocation!$D12,Allocators!$C$5:$C$31,0),MATCH(Allocation!K$5,Allocators!$B$5:$L$5,0))*$E12</f>
        <v>120889.64553878242</v>
      </c>
      <c r="L12" s="204">
        <f ca="1">INDEX(Allocators!$B$5:$L$31,MATCH(Allocation!$D12,Allocators!$C$5:$C$31,0),MATCH(Allocation!L$5,Allocators!$B$5:$L$5,0))*$E12</f>
        <v>10578.922188838142</v>
      </c>
      <c r="M12" s="205">
        <f ca="1">INDEX(Allocators!$B$5:$L$31,MATCH(Allocation!$D12,Allocators!$C$5:$C$31,0),MATCH(Allocation!M$5,Allocators!$B$5:$L$5,0))*$E12</f>
        <v>0</v>
      </c>
      <c r="Q12" s="191"/>
    </row>
    <row r="13" spans="2:17" x14ac:dyDescent="0.35">
      <c r="B13" s="201"/>
      <c r="C13" s="202" t="str">
        <f ca="1">OFFSET(Classification!$D$5,0,ROW()-ROW($C$6))</f>
        <v>Weighted Customer Billing</v>
      </c>
      <c r="D13" s="203" t="s">
        <v>89</v>
      </c>
      <c r="E13" s="204">
        <f ca="1">OFFSET(Classification!$D$34,0,ROW()-ROW($E$6))</f>
        <v>125729.06581614442</v>
      </c>
      <c r="F13" s="204">
        <f ca="1">INDEX(Allocators!$B$5:$L$31,MATCH(Allocation!$D13,Allocators!$C$5:$C$31,0),MATCH(Allocation!F$5,Allocators!$B$5:$L$5,0))*$E13</f>
        <v>115542.52291631341</v>
      </c>
      <c r="G13" s="204">
        <f ca="1">INDEX(Allocators!$B$5:$L$31,MATCH(Allocation!$D13,Allocators!$C$5:$C$31,0),MATCH(Allocation!G$5,Allocators!$B$5:$L$5,0))*$E13</f>
        <v>7117.3615076868773</v>
      </c>
      <c r="H13" s="204">
        <f ca="1">INDEX(Allocators!$B$5:$L$31,MATCH(Allocation!$D13,Allocators!$C$5:$C$31,0),MATCH(Allocation!H$5,Allocators!$B$5:$L$5,0))*$E13</f>
        <v>977.12929173328314</v>
      </c>
      <c r="I13" s="204">
        <f ca="1">INDEX(Allocators!$B$5:$L$31,MATCH(Allocation!$D13,Allocators!$C$5:$C$31,0),MATCH(Allocation!I$5,Allocators!$B$5:$L$5,0))*$E13</f>
        <v>627.84196919126089</v>
      </c>
      <c r="J13" s="204">
        <f ca="1">INDEX(Allocators!$B$5:$L$31,MATCH(Allocation!$D13,Allocators!$C$5:$C$31,0),MATCH(Allocation!J$5,Allocators!$B$5:$L$5,0))*$E13</f>
        <v>464.36796602326302</v>
      </c>
      <c r="K13" s="204">
        <f ca="1">INDEX(Allocators!$B$5:$L$31,MATCH(Allocation!$D13,Allocators!$C$5:$C$31,0),MATCH(Allocation!K$5,Allocators!$B$5:$L$5,0))*$E13</f>
        <v>518.08120013000462</v>
      </c>
      <c r="L13" s="204">
        <f ca="1">INDEX(Allocators!$B$5:$L$31,MATCH(Allocation!$D13,Allocators!$C$5:$C$31,0),MATCH(Allocation!L$5,Allocators!$B$5:$L$5,0))*$E13</f>
        <v>380.19087234014194</v>
      </c>
      <c r="M13" s="205">
        <f ca="1">INDEX(Allocators!$B$5:$L$31,MATCH(Allocation!$D13,Allocators!$C$5:$C$31,0),MATCH(Allocation!M$5,Allocators!$B$5:$L$5,0))*$E13</f>
        <v>101.5700927261841</v>
      </c>
      <c r="Q13" s="191"/>
    </row>
    <row r="14" spans="2:17" x14ac:dyDescent="0.35">
      <c r="B14" s="201"/>
      <c r="C14" s="202" t="str">
        <f ca="1">OFFSET(Classification!$D$5,0,ROW()-ROW($C$6))</f>
        <v>Unweighted Customer</v>
      </c>
      <c r="D14" s="203" t="s">
        <v>90</v>
      </c>
      <c r="E14" s="204">
        <f ca="1">OFFSET(Classification!$D$34,0,ROW()-ROW($E$6))</f>
        <v>147947.89693814918</v>
      </c>
      <c r="F14" s="204">
        <f ca="1">INDEX(Allocators!$B$5:$L$31,MATCH(Allocation!$D14,Allocators!$C$5:$C$31,0),MATCH(Allocation!F$5,Allocators!$B$5:$L$5,0))*$E14</f>
        <v>136846.44682506932</v>
      </c>
      <c r="G14" s="204">
        <f ca="1">INDEX(Allocators!$B$5:$L$31,MATCH(Allocation!$D14,Allocators!$C$5:$C$31,0),MATCH(Allocation!G$5,Allocators!$B$5:$L$5,0))*$E14</f>
        <v>8429.6725440374703</v>
      </c>
      <c r="H14" s="204">
        <f ca="1">INDEX(Allocators!$B$5:$L$31,MATCH(Allocation!$D14,Allocators!$C$5:$C$31,0),MATCH(Allocation!H$5,Allocators!$B$5:$L$5,0))*$E14</f>
        <v>1157.294027232263</v>
      </c>
      <c r="I14" s="204">
        <f ca="1">INDEX(Allocators!$B$5:$L$31,MATCH(Allocation!$D14,Allocators!$C$5:$C$31,0),MATCH(Allocation!I$5,Allocators!$B$5:$L$5,0))*$E14</f>
        <v>714.37902915571783</v>
      </c>
      <c r="J14" s="204">
        <f ca="1">INDEX(Allocators!$B$5:$L$31,MATCH(Allocation!$D14,Allocators!$C$5:$C$31,0),MATCH(Allocation!J$5,Allocators!$B$5:$L$5,0))*$E14</f>
        <v>71.437902915571783</v>
      </c>
      <c r="K14" s="204">
        <f ca="1">INDEX(Allocators!$B$5:$L$31,MATCH(Allocation!$D14,Allocators!$C$5:$C$31,0),MATCH(Allocation!K$5,Allocators!$B$5:$L$5,0))*$E14</f>
        <v>657.22870682326038</v>
      </c>
      <c r="L14" s="204">
        <f ca="1">INDEX(Allocators!$B$5:$L$31,MATCH(Allocation!$D14,Allocators!$C$5:$C$31,0),MATCH(Allocation!L$5,Allocators!$B$5:$L$5,0))*$E14</f>
        <v>57.150322332457428</v>
      </c>
      <c r="M14" s="205">
        <f ca="1">INDEX(Allocators!$B$5:$L$31,MATCH(Allocation!$D14,Allocators!$C$5:$C$31,0),MATCH(Allocation!M$5,Allocators!$B$5:$L$5,0))*$E14</f>
        <v>14.287580583114357</v>
      </c>
      <c r="Q14" s="191"/>
    </row>
    <row r="15" spans="2:17" x14ac:dyDescent="0.35">
      <c r="B15" s="201"/>
      <c r="C15" s="202" t="str">
        <f ca="1">OFFSET(Classification!$D$5,0,ROW()-ROW($C$6))</f>
        <v>Unweighted Customer Excl. R6</v>
      </c>
      <c r="D15" s="203" t="s">
        <v>221</v>
      </c>
      <c r="E15" s="204">
        <f ca="1">OFFSET(Classification!$D$34,0,ROW()-ROW($E$6))</f>
        <v>3557849.9470577599</v>
      </c>
      <c r="F15" s="204">
        <f ca="1">INDEX(Allocators!$B$5:$L$31,MATCH(Allocation!$D15,Allocators!$C$5:$C$31,0),MATCH(Allocation!F$5,Allocators!$B$5:$L$5,0))*$E15</f>
        <v>3291200.1924781944</v>
      </c>
      <c r="G15" s="204">
        <f ca="1">INDEX(Allocators!$B$5:$L$31,MATCH(Allocation!$D15,Allocators!$C$5:$C$31,0),MATCH(Allocation!G$5,Allocators!$B$5:$L$5,0))*$E15</f>
        <v>202736.28247673152</v>
      </c>
      <c r="H15" s="204">
        <f ca="1">INDEX(Allocators!$B$5:$L$31,MATCH(Allocation!$D15,Allocators!$C$5:$C$31,0),MATCH(Allocation!H$5,Allocators!$B$5:$L$5,0))*$E15</f>
        <v>27833.28623833094</v>
      </c>
      <c r="I15" s="204">
        <f ca="1">INDEX(Allocators!$B$5:$L$31,MATCH(Allocation!$D15,Allocators!$C$5:$C$31,0),MATCH(Allocation!I$5,Allocators!$B$5:$L$5,0))*$E15</f>
        <v>17181.040887858606</v>
      </c>
      <c r="J15" s="204">
        <f ca="1">INDEX(Allocators!$B$5:$L$31,MATCH(Allocation!$D15,Allocators!$C$5:$C$31,0),MATCH(Allocation!J$5,Allocators!$B$5:$L$5,0))*$E15</f>
        <v>1718.1040887858603</v>
      </c>
      <c r="K15" s="204">
        <f ca="1">INDEX(Allocators!$B$5:$L$31,MATCH(Allocation!$D15,Allocators!$C$5:$C$31,0),MATCH(Allocation!K$5,Allocators!$B$5:$L$5,0))*$E15</f>
        <v>15806.557616829914</v>
      </c>
      <c r="L15" s="204">
        <f ca="1">INDEX(Allocators!$B$5:$L$31,MATCH(Allocation!$D15,Allocators!$C$5:$C$31,0),MATCH(Allocation!L$5,Allocators!$B$5:$L$5,0))*$E15</f>
        <v>1374.4832710286883</v>
      </c>
      <c r="M15" s="205">
        <f ca="1">INDEX(Allocators!$B$5:$L$31,MATCH(Allocation!$D15,Allocators!$C$5:$C$31,0),MATCH(Allocation!M$5,Allocators!$B$5:$L$5,0))*$E15</f>
        <v>0</v>
      </c>
      <c r="Q15" s="191"/>
    </row>
    <row r="16" spans="2:17" x14ac:dyDescent="0.35">
      <c r="B16" s="201"/>
      <c r="C16" s="202" t="str">
        <f ca="1">OFFSET(Classification!$D$5,0,ROW()-ROW($C$6))</f>
        <v>Bad Debt &amp; Collection</v>
      </c>
      <c r="D16" s="203" t="s">
        <v>123</v>
      </c>
      <c r="E16" s="204">
        <f ca="1">OFFSET(Classification!$D$34,0,ROW()-ROW($E$6))</f>
        <v>27703.937485975315</v>
      </c>
      <c r="F16" s="204">
        <f ca="1">INDEX(Allocators!$B$5:$L$31,MATCH(Allocation!$D16,Allocators!$C$5:$C$31,0),MATCH(Allocation!F$5,Allocators!$B$5:$L$5,0))*$E16</f>
        <v>13089.74278308487</v>
      </c>
      <c r="G16" s="204">
        <f ca="1">INDEX(Allocators!$B$5:$L$31,MATCH(Allocation!$D16,Allocators!$C$5:$C$31,0),MATCH(Allocation!G$5,Allocators!$B$5:$L$5,0))*$E16</f>
        <v>10744.225678830733</v>
      </c>
      <c r="H16" s="204">
        <f ca="1">INDEX(Allocators!$B$5:$L$31,MATCH(Allocation!$D16,Allocators!$C$5:$C$31,0),MATCH(Allocation!H$5,Allocators!$B$5:$L$5,0))*$E16</f>
        <v>3829.1315148108461</v>
      </c>
      <c r="I16" s="204">
        <f ca="1">INDEX(Allocators!$B$5:$L$31,MATCH(Allocation!$D16,Allocators!$C$5:$C$31,0),MATCH(Allocation!I$5,Allocators!$B$5:$L$5,0))*$E16</f>
        <v>40.837509248866077</v>
      </c>
      <c r="J16" s="204">
        <f ca="1">INDEX(Allocators!$B$5:$L$31,MATCH(Allocation!$D16,Allocators!$C$5:$C$31,0),MATCH(Allocation!J$5,Allocators!$B$5:$L$5,0))*$E16</f>
        <v>0</v>
      </c>
      <c r="K16" s="204">
        <f ca="1">INDEX(Allocators!$B$5:$L$31,MATCH(Allocation!$D16,Allocators!$C$5:$C$31,0),MATCH(Allocation!K$5,Allocators!$B$5:$L$5,0))*$E16</f>
        <v>0</v>
      </c>
      <c r="L16" s="204">
        <f ca="1">INDEX(Allocators!$B$5:$L$31,MATCH(Allocation!$D16,Allocators!$C$5:$C$31,0),MATCH(Allocation!L$5,Allocators!$B$5:$L$5,0))*$E16</f>
        <v>0</v>
      </c>
      <c r="M16" s="205">
        <f ca="1">INDEX(Allocators!$B$5:$L$31,MATCH(Allocation!$D16,Allocators!$C$5:$C$31,0),MATCH(Allocation!M$5,Allocators!$B$5:$L$5,0))*$E16</f>
        <v>0</v>
      </c>
      <c r="Q16" s="191"/>
    </row>
    <row r="17" spans="2:21" x14ac:dyDescent="0.35">
      <c r="B17" s="201"/>
      <c r="C17" s="202" t="str">
        <f ca="1">OFFSET(Classification!$D$5,0,ROW()-ROW($C$6))</f>
        <v>Composite</v>
      </c>
      <c r="D17" s="202" t="s">
        <v>96</v>
      </c>
      <c r="E17" s="204">
        <f ca="1">OFFSET(Classification!$D$34,0,ROW()-ROW($E$6))</f>
        <v>736029.67950754799</v>
      </c>
      <c r="F17" s="204">
        <f ca="1">INDEX(Allocators!$B$5:$L$31,MATCH(Allocation!$D17,Allocators!$C$5:$C$31,0),MATCH(Allocation!F$5,Allocators!$B$5:$L$5,0))*$E17</f>
        <v>429254.92946953292</v>
      </c>
      <c r="G17" s="204">
        <f ca="1">INDEX(Allocators!$B$5:$L$31,MATCH(Allocation!$D17,Allocators!$C$5:$C$31,0),MATCH(Allocation!G$5,Allocators!$B$5:$L$5,0))*$E17</f>
        <v>80313.229612841911</v>
      </c>
      <c r="H17" s="204">
        <f ca="1">INDEX(Allocators!$B$5:$L$31,MATCH(Allocation!$D17,Allocators!$C$5:$C$31,0),MATCH(Allocation!H$5,Allocators!$B$5:$L$5,0))*$E17</f>
        <v>20478.364831591502</v>
      </c>
      <c r="I17" s="204">
        <f ca="1">INDEX(Allocators!$B$5:$L$31,MATCH(Allocation!$D17,Allocators!$C$5:$C$31,0),MATCH(Allocation!I$5,Allocators!$B$5:$L$5,0))*$E17</f>
        <v>12743.740622183055</v>
      </c>
      <c r="J17" s="204">
        <f ca="1">INDEX(Allocators!$B$5:$L$31,MATCH(Allocation!$D17,Allocators!$C$5:$C$31,0),MATCH(Allocation!J$5,Allocators!$B$5:$L$5,0))*$E17</f>
        <v>36546.713571196466</v>
      </c>
      <c r="K17" s="204">
        <f ca="1">INDEX(Allocators!$B$5:$L$31,MATCH(Allocation!$D17,Allocators!$C$5:$C$31,0),MATCH(Allocation!K$5,Allocators!$B$5:$L$5,0))*$E17</f>
        <v>43981.033760421858</v>
      </c>
      <c r="L17" s="204">
        <f ca="1">INDEX(Allocators!$B$5:$L$31,MATCH(Allocation!$D17,Allocators!$C$5:$C$31,0),MATCH(Allocation!L$5,Allocators!$B$5:$L$5,0))*$E17</f>
        <v>5148.3148826717652</v>
      </c>
      <c r="M17" s="205">
        <f ca="1">INDEX(Allocators!$B$5:$L$31,MATCH(Allocation!$D17,Allocators!$C$5:$C$31,0),MATCH(Allocation!M$5,Allocators!$B$5:$L$5,0))*$E17</f>
        <v>107563.35275710849</v>
      </c>
      <c r="Q17" s="191"/>
    </row>
    <row r="18" spans="2:21" x14ac:dyDescent="0.35">
      <c r="B18" s="201"/>
      <c r="C18" s="202" t="str">
        <f ca="1">OFFSET(Classification!$D$5,0,ROW()-ROW($C$6))</f>
        <v>Direct Assignment to IGPC</v>
      </c>
      <c r="D18" s="203" t="s">
        <v>214</v>
      </c>
      <c r="E18" s="204">
        <f ca="1">OFFSET(Classification!$D$34,0,ROW()-ROW($E$6))</f>
        <v>3454483.96568745</v>
      </c>
      <c r="F18" s="204">
        <f ca="1">INDEX(Allocators!$B$5:$L$31,MATCH(Allocation!$D18,Allocators!$C$5:$C$31,0),MATCH(Allocation!F$5,Allocators!$B$5:$L$5,0))*$E18</f>
        <v>0</v>
      </c>
      <c r="G18" s="204">
        <f ca="1">INDEX(Allocators!$B$5:$L$31,MATCH(Allocation!$D18,Allocators!$C$5:$C$31,0),MATCH(Allocation!G$5,Allocators!$B$5:$L$5,0))*$E18</f>
        <v>0</v>
      </c>
      <c r="H18" s="204">
        <f ca="1">INDEX(Allocators!$B$5:$L$31,MATCH(Allocation!$D18,Allocators!$C$5:$C$31,0),MATCH(Allocation!H$5,Allocators!$B$5:$L$5,0))*$E18</f>
        <v>0</v>
      </c>
      <c r="I18" s="204">
        <f ca="1">INDEX(Allocators!$B$5:$L$31,MATCH(Allocation!$D18,Allocators!$C$5:$C$31,0),MATCH(Allocation!I$5,Allocators!$B$5:$L$5,0))*$E18</f>
        <v>0</v>
      </c>
      <c r="J18" s="204">
        <f ca="1">INDEX(Allocators!$B$5:$L$31,MATCH(Allocation!$D18,Allocators!$C$5:$C$31,0),MATCH(Allocation!J$5,Allocators!$B$5:$L$5,0))*$E18</f>
        <v>0</v>
      </c>
      <c r="K18" s="204">
        <f ca="1">INDEX(Allocators!$B$5:$L$31,MATCH(Allocation!$D18,Allocators!$C$5:$C$31,0),MATCH(Allocation!K$5,Allocators!$B$5:$L$5,0))*$E18</f>
        <v>0</v>
      </c>
      <c r="L18" s="204">
        <f ca="1">INDEX(Allocators!$B$5:$L$31,MATCH(Allocation!$D18,Allocators!$C$5:$C$31,0),MATCH(Allocation!L$5,Allocators!$B$5:$L$5,0))*$E18</f>
        <v>0</v>
      </c>
      <c r="M18" s="205">
        <f ca="1">INDEX(Allocators!$B$5:$L$31,MATCH(Allocation!$D18,Allocators!$C$5:$C$31,0),MATCH(Allocation!M$5,Allocators!$B$5:$L$5,0))*$E18</f>
        <v>3454483.96568745</v>
      </c>
      <c r="Q18" s="191"/>
    </row>
    <row r="19" spans="2:21" ht="15" thickBot="1" x14ac:dyDescent="0.4">
      <c r="B19" s="206"/>
      <c r="C19" s="207" t="s">
        <v>20</v>
      </c>
      <c r="D19" s="207"/>
      <c r="E19" s="208">
        <f t="shared" ref="E19:M19" ca="1" si="0">SUM(E6:E18)</f>
        <v>24820942.260376882</v>
      </c>
      <c r="F19" s="208">
        <f t="shared" ca="1" si="0"/>
        <v>14475655.148137495</v>
      </c>
      <c r="G19" s="208">
        <f t="shared" ca="1" si="0"/>
        <v>2708382.6786692734</v>
      </c>
      <c r="H19" s="208">
        <f t="shared" ca="1" si="0"/>
        <v>690586.70488932717</v>
      </c>
      <c r="I19" s="208">
        <f t="shared" ca="1" si="0"/>
        <v>429753.93380340061</v>
      </c>
      <c r="J19" s="208">
        <f t="shared" ca="1" si="0"/>
        <v>1232455.5552761471</v>
      </c>
      <c r="K19" s="208">
        <f t="shared" ca="1" si="0"/>
        <v>1483161.250032068</v>
      </c>
      <c r="L19" s="208">
        <f t="shared" ca="1" si="0"/>
        <v>173615.317423792</v>
      </c>
      <c r="M19" s="209">
        <f t="shared" ca="1" si="0"/>
        <v>3627331.6721453769</v>
      </c>
      <c r="O19" s="195">
        <f>Assets!H32</f>
        <v>24820942.259999994</v>
      </c>
      <c r="P19" s="196">
        <f ca="1">O19-E19</f>
        <v>-3.7688761949539185E-4</v>
      </c>
      <c r="Q19" s="191"/>
    </row>
    <row r="20" spans="2:21" ht="15" thickBot="1" x14ac:dyDescent="0.4">
      <c r="E20" s="191"/>
      <c r="F20" s="191"/>
      <c r="G20" s="191"/>
      <c r="H20" s="191"/>
      <c r="I20" s="191"/>
      <c r="J20" s="191"/>
      <c r="K20" s="191"/>
      <c r="L20" s="191"/>
      <c r="M20" s="191"/>
    </row>
    <row r="21" spans="2:21" x14ac:dyDescent="0.35">
      <c r="B21" s="199"/>
      <c r="C21" s="99" t="s">
        <v>137</v>
      </c>
      <c r="D21" s="210"/>
      <c r="E21" s="211"/>
      <c r="F21" s="211"/>
      <c r="G21" s="211"/>
      <c r="H21" s="211"/>
      <c r="I21" s="211"/>
      <c r="J21" s="211"/>
      <c r="K21" s="211"/>
      <c r="L21" s="211"/>
      <c r="M21" s="212"/>
    </row>
    <row r="22" spans="2:21" x14ac:dyDescent="0.35">
      <c r="B22" s="201"/>
      <c r="C22" s="202" t="str">
        <f>'Functionalized Trial Balance'!C44</f>
        <v>Return on Deemed Equity</v>
      </c>
      <c r="D22" s="202" t="s">
        <v>96</v>
      </c>
      <c r="E22" s="204">
        <f>'Functionalized Trial Balance'!D44*U23</f>
        <v>918374.86319611187</v>
      </c>
      <c r="F22" s="204">
        <f ca="1">INDEX(Allocators!$B$5:$L$31,MATCH(Allocation!$D22,Allocators!$C$5:$C$31,0),MATCH(Allocation!F$5,Allocators!$B$5:$L$5,0))*$E22</f>
        <v>535599.24022574176</v>
      </c>
      <c r="G22" s="204">
        <f ca="1">INDEX(Allocators!$B$5:$L$31,MATCH(Allocation!$D22,Allocators!$C$5:$C$31,0),MATCH(Allocation!G$5,Allocators!$B$5:$L$5,0))*$E22</f>
        <v>100210.1590629882</v>
      </c>
      <c r="H22" s="204">
        <f ca="1">INDEX(Allocators!$B$5:$L$31,MATCH(Allocation!$D22,Allocators!$C$5:$C$31,0),MATCH(Allocation!H$5,Allocators!$B$5:$L$5,0))*$E22</f>
        <v>25551.708068723401</v>
      </c>
      <c r="I22" s="204">
        <f ca="1">INDEX(Allocators!$B$5:$L$31,MATCH(Allocation!$D22,Allocators!$C$5:$C$31,0),MATCH(Allocation!I$5,Allocators!$B$5:$L$5,0))*$E22</f>
        <v>15900.895543145114</v>
      </c>
      <c r="J22" s="204">
        <f ca="1">INDEX(Allocators!$B$5:$L$31,MATCH(Allocation!$D22,Allocators!$C$5:$C$31,0),MATCH(Allocation!J$5,Allocators!$B$5:$L$5,0))*$E22</f>
        <v>45600.855523477359</v>
      </c>
      <c r="K22" s="204">
        <f ca="1">INDEX(Allocators!$B$5:$L$31,MATCH(Allocation!$D22,Allocators!$C$5:$C$31,0),MATCH(Allocation!K$5,Allocators!$B$5:$L$5,0))*$E22</f>
        <v>54876.966225024065</v>
      </c>
      <c r="L22" s="204">
        <f ca="1">INDEX(Allocators!$B$5:$L$31,MATCH(Allocation!$D22,Allocators!$C$5:$C$31,0),MATCH(Allocation!L$5,Allocators!$B$5:$L$5,0))*$E22</f>
        <v>6423.766741617791</v>
      </c>
      <c r="M22" s="205">
        <f ca="1">INDEX(Allocators!$B$5:$L$31,MATCH(Allocation!$D22,Allocators!$C$5:$C$31,0),MATCH(Allocation!M$5,Allocators!$B$5:$L$5,0))*$E22</f>
        <v>134211.27180539409</v>
      </c>
      <c r="O22" s="191"/>
    </row>
    <row r="23" spans="2:21" x14ac:dyDescent="0.35">
      <c r="B23" s="201"/>
      <c r="C23" s="202" t="str">
        <f>'Functionalized Trial Balance'!C45</f>
        <v>Income Taxes (Grossed up)</v>
      </c>
      <c r="D23" s="202" t="s">
        <v>96</v>
      </c>
      <c r="E23" s="204">
        <f>'Functionalized Trial Balance'!D45*U23</f>
        <v>10900.76411718137</v>
      </c>
      <c r="F23" s="204">
        <f ca="1">INDEX(Allocators!$B$5:$L$31,MATCH(Allocation!$D23,Allocators!$C$5:$C$31,0),MATCH(Allocation!F$5,Allocators!$B$5:$L$5,0))*$E23</f>
        <v>6357.3614795199564</v>
      </c>
      <c r="G23" s="204">
        <f ca="1">INDEX(Allocators!$B$5:$L$31,MATCH(Allocation!$D23,Allocators!$C$5:$C$31,0),MATCH(Allocation!G$5,Allocators!$B$5:$L$5,0))*$E23</f>
        <v>1189.4568872336313</v>
      </c>
      <c r="H23" s="204">
        <f ca="1">INDEX(Allocators!$B$5:$L$31,MATCH(Allocation!$D23,Allocators!$C$5:$C$31,0),MATCH(Allocation!H$5,Allocators!$B$5:$L$5,0))*$E23</f>
        <v>303.28916176874401</v>
      </c>
      <c r="I23" s="204">
        <f ca="1">INDEX(Allocators!$B$5:$L$31,MATCH(Allocation!$D23,Allocators!$C$5:$C$31,0),MATCH(Allocation!I$5,Allocators!$B$5:$L$5,0))*$E23</f>
        <v>188.73764789743788</v>
      </c>
      <c r="J23" s="204">
        <f ca="1">INDEX(Allocators!$B$5:$L$31,MATCH(Allocation!$D23,Allocators!$C$5:$C$31,0),MATCH(Allocation!J$5,Allocators!$B$5:$L$5,0))*$E23</f>
        <v>541.26499921083473</v>
      </c>
      <c r="K23" s="204">
        <f ca="1">INDEX(Allocators!$B$5:$L$31,MATCH(Allocation!$D23,Allocators!$C$5:$C$31,0),MATCH(Allocation!K$5,Allocators!$B$5:$L$5,0))*$E23</f>
        <v>651.36894340037611</v>
      </c>
      <c r="L23" s="204">
        <f ca="1">INDEX(Allocators!$B$5:$L$31,MATCH(Allocation!$D23,Allocators!$C$5:$C$31,0),MATCH(Allocation!L$5,Allocators!$B$5:$L$5,0))*$E23</f>
        <v>76.247694487710774</v>
      </c>
      <c r="M23" s="205">
        <f ca="1">INDEX(Allocators!$B$5:$L$31,MATCH(Allocation!$D23,Allocators!$C$5:$C$31,0),MATCH(Allocation!M$5,Allocators!$B$5:$L$5,0))*$E23</f>
        <v>1593.0373036626788</v>
      </c>
      <c r="O23" s="191"/>
      <c r="P23" s="184" t="s">
        <v>132</v>
      </c>
      <c r="T23" s="185">
        <f>Assets!H32</f>
        <v>24820942.259999994</v>
      </c>
      <c r="U23" s="197">
        <f>T23/$T$26</f>
        <v>0.95904184335154852</v>
      </c>
    </row>
    <row r="24" spans="2:21" x14ac:dyDescent="0.35">
      <c r="B24" s="201" t="s">
        <v>243</v>
      </c>
      <c r="C24" s="202" t="str">
        <f>'Functionalized Trial Balance'!C46</f>
        <v>Deemed Interest Expense</v>
      </c>
      <c r="D24" s="202" t="s">
        <v>96</v>
      </c>
      <c r="E24" s="204">
        <f>'Functionalized Trial Balance'!D46*U23</f>
        <v>588415.51958749443</v>
      </c>
      <c r="F24" s="213">
        <f ca="1">INDEX(Allocators!$B$5:$L$31,MATCH(Allocation!$D24,Allocators!$C$5:$C$31,0),MATCH(Allocation!F$5,Allocators!$B$5:$L$5,0))*$E24</f>
        <v>343165.86598559615</v>
      </c>
      <c r="G24" s="213">
        <f ca="1">INDEX(Allocators!$B$5:$L$31,MATCH(Allocation!$D24,Allocators!$C$5:$C$31,0),MATCH(Allocation!G$5,Allocators!$B$5:$L$5,0))*$E24</f>
        <v>64206.039577111223</v>
      </c>
      <c r="H24" s="213">
        <f ca="1">INDEX(Allocators!$B$5:$L$31,MATCH(Allocation!$D24,Allocators!$C$5:$C$31,0),MATCH(Allocation!H$5,Allocators!$B$5:$L$5,0))*$E24</f>
        <v>16371.33395319776</v>
      </c>
      <c r="I24" s="213">
        <f ca="1">INDEX(Allocators!$B$5:$L$31,MATCH(Allocation!$D24,Allocators!$C$5:$C$31,0),MATCH(Allocation!I$5,Allocators!$B$5:$L$5,0))*$E24</f>
        <v>10187.924439007902</v>
      </c>
      <c r="J24" s="213">
        <f ca="1">INDEX(Allocators!$B$5:$L$31,MATCH(Allocation!$D24,Allocators!$C$5:$C$31,0),MATCH(Allocation!J$5,Allocators!$B$5:$L$5,0))*$E24</f>
        <v>29217.100959296811</v>
      </c>
      <c r="K24" s="213">
        <f ca="1">INDEX(Allocators!$B$5:$L$31,MATCH(Allocation!$D24,Allocators!$C$5:$C$31,0),MATCH(Allocation!K$5,Allocators!$B$5:$L$5,0))*$E24</f>
        <v>35160.433814908916</v>
      </c>
      <c r="L24" s="213">
        <f ca="1">INDEX(Allocators!$B$5:$L$31,MATCH(Allocation!$D24,Allocators!$C$5:$C$31,0),MATCH(Allocation!L$5,Allocators!$B$5:$L$5,0))*$E24</f>
        <v>4115.7964971115962</v>
      </c>
      <c r="M24" s="214">
        <f ca="1">INDEX(Allocators!$B$5:$L$31,MATCH(Allocation!$D24,Allocators!$C$5:$C$31,0),MATCH(Allocation!M$5,Allocators!$B$5:$L$5,0))*$E24</f>
        <v>85991.024361264062</v>
      </c>
      <c r="O24" s="191"/>
      <c r="P24" s="184" t="s">
        <v>133</v>
      </c>
      <c r="T24" s="185">
        <f>'Trial Balance'!E76*0.075</f>
        <v>749390.33099999989</v>
      </c>
      <c r="U24" s="197">
        <f t="shared" ref="U24:U25" si="1">T24/$T$26</f>
        <v>2.8955253870046559E-2</v>
      </c>
    </row>
    <row r="25" spans="2:21" x14ac:dyDescent="0.35">
      <c r="B25" s="201" t="s">
        <v>244</v>
      </c>
      <c r="C25" s="215" t="s">
        <v>274</v>
      </c>
      <c r="D25" s="202"/>
      <c r="E25" s="204"/>
      <c r="F25" s="213"/>
      <c r="G25" s="213"/>
      <c r="H25" s="213"/>
      <c r="I25" s="213"/>
      <c r="J25" s="213"/>
      <c r="K25" s="213"/>
      <c r="L25" s="213"/>
      <c r="M25" s="214"/>
      <c r="O25" s="191"/>
      <c r="P25" s="184" t="s">
        <v>134</v>
      </c>
      <c r="T25" s="185">
        <f>(Classification!C63-'OM&amp;A Functionalization'!C38)*0.075</f>
        <v>310646.88040516834</v>
      </c>
      <c r="U25" s="197">
        <f t="shared" si="1"/>
        <v>1.2002902778404866E-2</v>
      </c>
    </row>
    <row r="26" spans="2:21" x14ac:dyDescent="0.35">
      <c r="B26" s="201" t="s">
        <v>245</v>
      </c>
      <c r="C26" s="202" t="str">
        <f>C22</f>
        <v>Return on Deemed Equity</v>
      </c>
      <c r="D26" s="202" t="s">
        <v>138</v>
      </c>
      <c r="E26" s="204">
        <f>'Functionalized Trial Balance'!D44*U24</f>
        <v>27727.442234202033</v>
      </c>
      <c r="F26" s="204">
        <f>INDEX(Allocators!$B$5:$L$31,MATCH(Allocation!$D26,Allocators!$C$5:$C$31,0),MATCH(Allocation!F$5,Allocators!$B$5:$L$5,0))*$E26</f>
        <v>15069.721628216977</v>
      </c>
      <c r="G26" s="204">
        <f>INDEX(Allocators!$B$5:$L$31,MATCH(Allocation!$D26,Allocators!$C$5:$C$31,0),MATCH(Allocation!G$5,Allocators!$B$5:$L$5,0))*$E26</f>
        <v>4719.2796587764251</v>
      </c>
      <c r="H26" s="204">
        <f>INDEX(Allocators!$B$5:$L$31,MATCH(Allocation!$D26,Allocators!$C$5:$C$31,0),MATCH(Allocation!H$5,Allocators!$B$5:$L$5,0))*$E26</f>
        <v>2046.8216495120012</v>
      </c>
      <c r="I26" s="204">
        <f>INDEX(Allocators!$B$5:$L$31,MATCH(Allocation!$D26,Allocators!$C$5:$C$31,0),MATCH(Allocation!I$5,Allocators!$B$5:$L$5,0))*$E26</f>
        <v>634.13760646263859</v>
      </c>
      <c r="J26" s="204">
        <f>INDEX(Allocators!$B$5:$L$31,MATCH(Allocation!$D26,Allocators!$C$5:$C$31,0),MATCH(Allocation!J$5,Allocators!$B$5:$L$5,0))*$E26</f>
        <v>2985.2597722372225</v>
      </c>
      <c r="K26" s="204">
        <f>INDEX(Allocators!$B$5:$L$31,MATCH(Allocation!$D26,Allocators!$C$5:$C$31,0),MATCH(Allocation!K$5,Allocators!$B$5:$L$5,0))*$E26</f>
        <v>1778.8085373640779</v>
      </c>
      <c r="L26" s="204">
        <f>INDEX(Allocators!$B$5:$L$31,MATCH(Allocation!$D26,Allocators!$C$5:$C$31,0),MATCH(Allocation!L$5,Allocators!$B$5:$L$5,0))*$E26</f>
        <v>493.41338163270365</v>
      </c>
      <c r="M26" s="205">
        <f>INDEX(Allocators!$B$5:$L$31,MATCH(Allocation!$D26,Allocators!$C$5:$C$31,0),MATCH(Allocation!M$5,Allocators!$B$5:$L$5,0))*$E26</f>
        <v>0</v>
      </c>
      <c r="O26" s="191"/>
      <c r="P26" s="184" t="s">
        <v>135</v>
      </c>
      <c r="T26" s="195">
        <f>SUM(T23:T25)</f>
        <v>25880979.471405163</v>
      </c>
      <c r="U26" s="185">
        <f>'Trial Balance'!E11</f>
        <v>25880979.471404944</v>
      </c>
    </row>
    <row r="27" spans="2:21" x14ac:dyDescent="0.35">
      <c r="B27" s="201"/>
      <c r="C27" s="202" t="str">
        <f>C23</f>
        <v>Income Taxes (Grossed up)</v>
      </c>
      <c r="D27" s="202" t="s">
        <v>138</v>
      </c>
      <c r="E27" s="204">
        <f>'Functionalized Trial Balance'!D45*U24</f>
        <v>329.11430776308777</v>
      </c>
      <c r="F27" s="204">
        <f>INDEX(Allocators!$B$5:$L$31,MATCH(Allocation!$D27,Allocators!$C$5:$C$31,0),MATCH(Allocation!F$5,Allocators!$B$5:$L$5,0))*$E27</f>
        <v>178.8719262296498</v>
      </c>
      <c r="G27" s="204">
        <f>INDEX(Allocators!$B$5:$L$31,MATCH(Allocation!$D27,Allocators!$C$5:$C$31,0),MATCH(Allocation!G$5,Allocators!$B$5:$L$5,0))*$E27</f>
        <v>56.016074072737965</v>
      </c>
      <c r="H27" s="204">
        <f>INDEX(Allocators!$B$5:$L$31,MATCH(Allocation!$D27,Allocators!$C$5:$C$31,0),MATCH(Allocation!H$5,Allocators!$B$5:$L$5,0))*$E27</f>
        <v>24.295002929000972</v>
      </c>
      <c r="I27" s="204">
        <f>INDEX(Allocators!$B$5:$L$31,MATCH(Allocation!$D27,Allocators!$C$5:$C$31,0),MATCH(Allocation!I$5,Allocators!$B$5:$L$5,0))*$E27</f>
        <v>7.5269748148660769</v>
      </c>
      <c r="J27" s="204">
        <f>INDEX(Allocators!$B$5:$L$31,MATCH(Allocation!$D27,Allocators!$C$5:$C$31,0),MATCH(Allocation!J$5,Allocators!$B$5:$L$5,0))*$E27</f>
        <v>35.43391038863782</v>
      </c>
      <c r="K27" s="204">
        <f>INDEX(Allocators!$B$5:$L$31,MATCH(Allocation!$D27,Allocators!$C$5:$C$31,0),MATCH(Allocation!K$5,Allocators!$B$5:$L$5,0))*$E27</f>
        <v>21.113788119104424</v>
      </c>
      <c r="L27" s="204">
        <f>INDEX(Allocators!$B$5:$L$31,MATCH(Allocation!$D27,Allocators!$C$5:$C$31,0),MATCH(Allocation!L$5,Allocators!$B$5:$L$5,0))*$E27</f>
        <v>5.8566312090908559</v>
      </c>
      <c r="M27" s="205">
        <f>INDEX(Allocators!$B$5:$L$31,MATCH(Allocation!$D27,Allocators!$C$5:$C$31,0),MATCH(Allocation!M$5,Allocators!$B$5:$L$5,0))*$E27</f>
        <v>0</v>
      </c>
      <c r="O27" s="191"/>
    </row>
    <row r="28" spans="2:21" x14ac:dyDescent="0.35">
      <c r="B28" s="201"/>
      <c r="C28" s="202" t="str">
        <f>C24</f>
        <v>Deemed Interest Expense</v>
      </c>
      <c r="D28" s="202" t="s">
        <v>138</v>
      </c>
      <c r="E28" s="204">
        <f>'Functionalized Trial Balance'!D46*U24</f>
        <v>17765.35702674849</v>
      </c>
      <c r="F28" s="204">
        <f>INDEX(Allocators!$B$5:$L$31,MATCH(Allocation!$D28,Allocators!$C$5:$C$31,0),MATCH(Allocation!F$5,Allocators!$B$5:$L$5,0))*$E28</f>
        <v>9655.3797771059672</v>
      </c>
      <c r="G28" s="204">
        <f>INDEX(Allocators!$B$5:$L$31,MATCH(Allocation!$D28,Allocators!$C$5:$C$31,0),MATCH(Allocation!G$5,Allocators!$B$5:$L$5,0))*$E28</f>
        <v>3023.7079691331219</v>
      </c>
      <c r="H28" s="204">
        <f>INDEX(Allocators!$B$5:$L$31,MATCH(Allocation!$D28,Allocators!$C$5:$C$31,0),MATCH(Allocation!H$5,Allocators!$B$5:$L$5,0))*$E28</f>
        <v>1311.4270355887891</v>
      </c>
      <c r="I28" s="204">
        <f>INDEX(Allocators!$B$5:$L$31,MATCH(Allocation!$D28,Allocators!$C$5:$C$31,0),MATCH(Allocation!I$5,Allocators!$B$5:$L$5,0))*$E28</f>
        <v>406.30076469874291</v>
      </c>
      <c r="J28" s="204">
        <f>INDEX(Allocators!$B$5:$L$31,MATCH(Allocation!$D28,Allocators!$C$5:$C$31,0),MATCH(Allocation!J$5,Allocators!$B$5:$L$5,0))*$E28</f>
        <v>1912.6973639842624</v>
      </c>
      <c r="K28" s="204">
        <f>INDEX(Allocators!$B$5:$L$31,MATCH(Allocation!$D28,Allocators!$C$5:$C$31,0),MATCH(Allocation!K$5,Allocators!$B$5:$L$5,0))*$E28</f>
        <v>1139.7073152863995</v>
      </c>
      <c r="L28" s="204">
        <f>INDEX(Allocators!$B$5:$L$31,MATCH(Allocation!$D28,Allocators!$C$5:$C$31,0),MATCH(Allocation!L$5,Allocators!$B$5:$L$5,0))*$E28</f>
        <v>316.13680095121669</v>
      </c>
      <c r="M28" s="205">
        <f>INDEX(Allocators!$B$5:$L$31,MATCH(Allocation!$D28,Allocators!$C$5:$C$31,0),MATCH(Allocation!M$5,Allocators!$B$5:$L$5,0))*$E28</f>
        <v>0</v>
      </c>
      <c r="O28" s="191"/>
    </row>
    <row r="29" spans="2:21" x14ac:dyDescent="0.35">
      <c r="B29" s="201"/>
      <c r="C29" s="215" t="s">
        <v>275</v>
      </c>
      <c r="D29" s="202"/>
      <c r="E29" s="204"/>
      <c r="F29" s="213"/>
      <c r="G29" s="213"/>
      <c r="H29" s="213"/>
      <c r="I29" s="213"/>
      <c r="J29" s="213"/>
      <c r="K29" s="213"/>
      <c r="L29" s="213"/>
      <c r="M29" s="214"/>
      <c r="O29" s="191"/>
    </row>
    <row r="30" spans="2:21" x14ac:dyDescent="0.35">
      <c r="B30" s="201"/>
      <c r="C30" s="202" t="str">
        <f>C26</f>
        <v>Return on Deemed Equity</v>
      </c>
      <c r="D30" s="202" t="s">
        <v>97</v>
      </c>
      <c r="E30" s="204">
        <f>'Functionalized Trial Balance'!D44*U25</f>
        <v>11493.934569686053</v>
      </c>
      <c r="F30" s="204">
        <f>INDEX(Allocators!$B$5:$L$31,MATCH(Allocation!$D30,Allocators!$C$5:$C$31,0),MATCH(Allocation!F$5,Allocators!$B$5:$L$5,0))*$E30</f>
        <v>7608.9448822745953</v>
      </c>
      <c r="G30" s="204">
        <f>INDEX(Allocators!$B$5:$L$31,MATCH(Allocation!$D30,Allocators!$C$5:$C$31,0),MATCH(Allocation!G$5,Allocators!$B$5:$L$5,0))*$E30</f>
        <v>1301.527313048724</v>
      </c>
      <c r="H30" s="204">
        <f>INDEX(Allocators!$B$5:$L$31,MATCH(Allocation!$D30,Allocators!$C$5:$C$31,0),MATCH(Allocation!H$5,Allocators!$B$5:$L$5,0))*$E30</f>
        <v>321.63438648820102</v>
      </c>
      <c r="I30" s="204">
        <f>INDEX(Allocators!$B$5:$L$31,MATCH(Allocation!$D30,Allocators!$C$5:$C$31,0),MATCH(Allocation!I$5,Allocators!$B$5:$L$5,0))*$E30</f>
        <v>173.0006555451852</v>
      </c>
      <c r="J30" s="204">
        <f>INDEX(Allocators!$B$5:$L$31,MATCH(Allocation!$D30,Allocators!$C$5:$C$31,0),MATCH(Allocation!J$5,Allocators!$B$5:$L$5,0))*$E30</f>
        <v>390.53379769182948</v>
      </c>
      <c r="K30" s="204">
        <f>INDEX(Allocators!$B$5:$L$31,MATCH(Allocation!$D30,Allocators!$C$5:$C$31,0),MATCH(Allocation!K$5,Allocators!$B$5:$L$5,0))*$E30</f>
        <v>465.27349427317097</v>
      </c>
      <c r="L30" s="204">
        <f>INDEX(Allocators!$B$5:$L$31,MATCH(Allocation!$D30,Allocators!$C$5:$C$31,0),MATCH(Allocation!L$5,Allocators!$B$5:$L$5,0))*$E30</f>
        <v>57.937525855722853</v>
      </c>
      <c r="M30" s="205">
        <f>INDEX(Allocators!$B$5:$L$31,MATCH(Allocation!$D30,Allocators!$C$5:$C$31,0),MATCH(Allocation!M$5,Allocators!$B$5:$L$5,0))*$E30</f>
        <v>1175.0825145086226</v>
      </c>
      <c r="O30" s="191"/>
    </row>
    <row r="31" spans="2:21" x14ac:dyDescent="0.35">
      <c r="B31" s="201"/>
      <c r="C31" s="202" t="str">
        <f>C27</f>
        <v>Income Taxes (Grossed up)</v>
      </c>
      <c r="D31" s="202" t="s">
        <v>97</v>
      </c>
      <c r="E31" s="204">
        <f>'Functionalized Trial Balance'!D45*U25</f>
        <v>136.42867911957313</v>
      </c>
      <c r="F31" s="204">
        <f>INDEX(Allocators!$B$5:$L$31,MATCH(Allocation!$D31,Allocators!$C$5:$C$31,0),MATCH(Allocation!F$5,Allocators!$B$5:$L$5,0))*$E31</f>
        <v>90.31531313221258</v>
      </c>
      <c r="G31" s="204">
        <f>INDEX(Allocators!$B$5:$L$31,MATCH(Allocation!$D31,Allocators!$C$5:$C$31,0),MATCH(Allocation!G$5,Allocators!$B$5:$L$5,0))*$E31</f>
        <v>15.448639548166021</v>
      </c>
      <c r="H31" s="204">
        <f>INDEX(Allocators!$B$5:$L$31,MATCH(Allocation!$D31,Allocators!$C$5:$C$31,0),MATCH(Allocation!H$5,Allocators!$B$5:$L$5,0))*$E31</f>
        <v>3.8176791630386053</v>
      </c>
      <c r="I31" s="204">
        <f>INDEX(Allocators!$B$5:$L$31,MATCH(Allocation!$D31,Allocators!$C$5:$C$31,0),MATCH(Allocation!I$5,Allocators!$B$5:$L$5,0))*$E31</f>
        <v>2.0534526953979819</v>
      </c>
      <c r="J31" s="204">
        <f>INDEX(Allocators!$B$5:$L$31,MATCH(Allocation!$D31,Allocators!$C$5:$C$31,0),MATCH(Allocation!J$5,Allocators!$B$5:$L$5,0))*$E31</f>
        <v>4.6354892528418308</v>
      </c>
      <c r="K31" s="204">
        <f>INDEX(Allocators!$B$5:$L$31,MATCH(Allocation!$D31,Allocators!$C$5:$C$31,0),MATCH(Allocation!K$5,Allocators!$B$5:$L$5,0))*$E31</f>
        <v>5.5226213328592841</v>
      </c>
      <c r="L31" s="204">
        <f>INDEX(Allocators!$B$5:$L$31,MATCH(Allocation!$D31,Allocators!$C$5:$C$31,0),MATCH(Allocation!L$5,Allocators!$B$5:$L$5,0))*$E31</f>
        <v>0.68769663477980669</v>
      </c>
      <c r="M31" s="205">
        <f>INDEX(Allocators!$B$5:$L$31,MATCH(Allocation!$D31,Allocators!$C$5:$C$31,0),MATCH(Allocation!M$5,Allocators!$B$5:$L$5,0))*$E31</f>
        <v>13.947787360277001</v>
      </c>
      <c r="O31" s="191"/>
    </row>
    <row r="32" spans="2:21" x14ac:dyDescent="0.35">
      <c r="B32" s="201"/>
      <c r="C32" s="202" t="str">
        <f>C28</f>
        <v>Deemed Interest Expense</v>
      </c>
      <c r="D32" s="202" t="s">
        <v>97</v>
      </c>
      <c r="E32" s="204">
        <f>'Functionalized Trial Balance'!D46*U25</f>
        <v>7364.3233857569685</v>
      </c>
      <c r="F32" s="204">
        <f>INDEX(Allocators!$B$5:$L$31,MATCH(Allocation!$D32,Allocators!$C$5:$C$31,0),MATCH(Allocation!F$5,Allocators!$B$5:$L$5,0))*$E32</f>
        <v>4875.1565791279036</v>
      </c>
      <c r="G32" s="204">
        <f>INDEX(Allocators!$B$5:$L$31,MATCH(Allocation!$D32,Allocators!$C$5:$C$31,0),MATCH(Allocation!G$5,Allocators!$B$5:$L$5,0))*$E32</f>
        <v>833.90661140225643</v>
      </c>
      <c r="H32" s="204">
        <f>INDEX(Allocators!$B$5:$L$31,MATCH(Allocation!$D32,Allocators!$C$5:$C$31,0),MATCH(Allocation!H$5,Allocators!$B$5:$L$5,0))*$E32</f>
        <v>206.07561490089034</v>
      </c>
      <c r="I32" s="204">
        <f>INDEX(Allocators!$B$5:$L$31,MATCH(Allocation!$D32,Allocators!$C$5:$C$31,0),MATCH(Allocation!I$5,Allocators!$B$5:$L$5,0))*$E32</f>
        <v>110.84392082262326</v>
      </c>
      <c r="J32" s="204">
        <f>INDEX(Allocators!$B$5:$L$31,MATCH(Allocation!$D32,Allocators!$C$5:$C$31,0),MATCH(Allocation!J$5,Allocators!$B$5:$L$5,0))*$E32</f>
        <v>250.22042380992747</v>
      </c>
      <c r="K32" s="204">
        <f>INDEX(Allocators!$B$5:$L$31,MATCH(Allocation!$D32,Allocators!$C$5:$C$31,0),MATCH(Allocation!K$5,Allocators!$B$5:$L$5,0))*$E32</f>
        <v>298.10718460896578</v>
      </c>
      <c r="L32" s="204">
        <f>INDEX(Allocators!$B$5:$L$31,MATCH(Allocation!$D32,Allocators!$C$5:$C$31,0),MATCH(Allocation!L$5,Allocators!$B$5:$L$5,0))*$E32</f>
        <v>37.121376843182517</v>
      </c>
      <c r="M32" s="205">
        <f>INDEX(Allocators!$B$5:$L$31,MATCH(Allocation!$D32,Allocators!$C$5:$C$31,0),MATCH(Allocation!M$5,Allocators!$B$5:$L$5,0))*$E32</f>
        <v>752.89167424121842</v>
      </c>
      <c r="O32" s="191"/>
    </row>
    <row r="33" spans="2:17" x14ac:dyDescent="0.35">
      <c r="B33" s="201"/>
      <c r="C33" s="215" t="s">
        <v>20</v>
      </c>
      <c r="D33" s="202"/>
      <c r="E33" s="204"/>
      <c r="F33" s="213"/>
      <c r="G33" s="213"/>
      <c r="H33" s="213"/>
      <c r="I33" s="213"/>
      <c r="J33" s="213"/>
      <c r="K33" s="213"/>
      <c r="L33" s="213"/>
      <c r="M33" s="214"/>
      <c r="O33" s="191"/>
    </row>
    <row r="34" spans="2:17" x14ac:dyDescent="0.35">
      <c r="B34" s="201"/>
      <c r="C34" s="202" t="str">
        <f>C30</f>
        <v>Return on Deemed Equity</v>
      </c>
      <c r="D34" s="202"/>
      <c r="E34" s="204">
        <f>E22+E26+E30</f>
        <v>957596.24</v>
      </c>
      <c r="F34" s="204">
        <f t="shared" ref="F34:L34" ca="1" si="2">F22+F26+F30</f>
        <v>558277.90673623339</v>
      </c>
      <c r="G34" s="204">
        <f t="shared" ca="1" si="2"/>
        <v>106230.96603481335</v>
      </c>
      <c r="H34" s="204">
        <f t="shared" ca="1" si="2"/>
        <v>27920.164104723601</v>
      </c>
      <c r="I34" s="204">
        <f t="shared" ca="1" si="2"/>
        <v>16708.033805152936</v>
      </c>
      <c r="J34" s="204">
        <f t="shared" ca="1" si="2"/>
        <v>48976.649093406413</v>
      </c>
      <c r="K34" s="204">
        <f t="shared" ca="1" si="2"/>
        <v>57121.048256661314</v>
      </c>
      <c r="L34" s="204">
        <f t="shared" ca="1" si="2"/>
        <v>6975.1176491062179</v>
      </c>
      <c r="M34" s="205">
        <f t="shared" ref="M34" ca="1" si="3">M22+M26+M30</f>
        <v>135386.35431990272</v>
      </c>
      <c r="O34" s="191"/>
    </row>
    <row r="35" spans="2:17" x14ac:dyDescent="0.35">
      <c r="B35" s="201"/>
      <c r="C35" s="202" t="str">
        <f t="shared" ref="C35:C36" si="4">C31</f>
        <v>Income Taxes (Grossed up)</v>
      </c>
      <c r="D35" s="202"/>
      <c r="E35" s="204">
        <f t="shared" ref="E35:L36" si="5">E23+E27+E31</f>
        <v>11366.307104064032</v>
      </c>
      <c r="F35" s="204">
        <f t="shared" ca="1" si="5"/>
        <v>6626.5487188818188</v>
      </c>
      <c r="G35" s="204">
        <f t="shared" ca="1" si="5"/>
        <v>1260.9216008545352</v>
      </c>
      <c r="H35" s="204">
        <f t="shared" ca="1" si="5"/>
        <v>331.40184386078363</v>
      </c>
      <c r="I35" s="204">
        <f t="shared" ca="1" si="5"/>
        <v>198.31807540770194</v>
      </c>
      <c r="J35" s="204">
        <f t="shared" ca="1" si="5"/>
        <v>581.33439885231439</v>
      </c>
      <c r="K35" s="204">
        <f t="shared" ca="1" si="5"/>
        <v>678.00535285233991</v>
      </c>
      <c r="L35" s="204">
        <f t="shared" ca="1" si="5"/>
        <v>82.792022331581435</v>
      </c>
      <c r="M35" s="205">
        <f t="shared" ref="M35" ca="1" si="6">M23+M27+M31</f>
        <v>1606.9850910229559</v>
      </c>
      <c r="O35" s="191"/>
    </row>
    <row r="36" spans="2:17" ht="15" thickBot="1" x14ac:dyDescent="0.4">
      <c r="B36" s="201"/>
      <c r="C36" s="262" t="str">
        <f t="shared" si="4"/>
        <v>Deemed Interest Expense</v>
      </c>
      <c r="D36" s="262"/>
      <c r="E36" s="330">
        <f t="shared" si="5"/>
        <v>613545.19999999984</v>
      </c>
      <c r="F36" s="330">
        <f t="shared" ca="1" si="5"/>
        <v>357696.40234183002</v>
      </c>
      <c r="G36" s="330">
        <f t="shared" ca="1" si="5"/>
        <v>68063.654157646597</v>
      </c>
      <c r="H36" s="330">
        <f t="shared" ca="1" si="5"/>
        <v>17888.836603687439</v>
      </c>
      <c r="I36" s="330">
        <f t="shared" ca="1" si="5"/>
        <v>10705.069124529267</v>
      </c>
      <c r="J36" s="330">
        <f t="shared" ca="1" si="5"/>
        <v>31380.018747090999</v>
      </c>
      <c r="K36" s="330">
        <f t="shared" ca="1" si="5"/>
        <v>36598.248314804288</v>
      </c>
      <c r="L36" s="330">
        <f t="shared" ca="1" si="5"/>
        <v>4469.0546749059959</v>
      </c>
      <c r="M36" s="331">
        <f t="shared" ref="M36" ca="1" si="7">M24+M28+M32</f>
        <v>86743.916035505274</v>
      </c>
      <c r="O36" s="191"/>
    </row>
    <row r="37" spans="2:17" ht="15" thickBot="1" x14ac:dyDescent="0.4">
      <c r="B37" s="332"/>
      <c r="C37" s="326" t="s">
        <v>20</v>
      </c>
      <c r="D37" s="327"/>
      <c r="E37" s="328">
        <f>SUM(E34:E36)</f>
        <v>1582507.7471040639</v>
      </c>
      <c r="F37" s="328">
        <f ca="1">SUM(F34:F36)</f>
        <v>922600.85779694514</v>
      </c>
      <c r="G37" s="328">
        <f t="shared" ref="G37:M37" ca="1" si="8">SUM(G34:G36)</f>
        <v>175555.54179331448</v>
      </c>
      <c r="H37" s="328">
        <f t="shared" ca="1" si="8"/>
        <v>46140.402552271829</v>
      </c>
      <c r="I37" s="328">
        <f t="shared" ca="1" si="8"/>
        <v>27611.421005089906</v>
      </c>
      <c r="J37" s="328">
        <f t="shared" ca="1" si="8"/>
        <v>80938.00223934972</v>
      </c>
      <c r="K37" s="328">
        <f t="shared" ca="1" si="8"/>
        <v>94397.301924317944</v>
      </c>
      <c r="L37" s="328">
        <f t="shared" ca="1" si="8"/>
        <v>11526.964346343795</v>
      </c>
      <c r="M37" s="329">
        <f t="shared" ca="1" si="8"/>
        <v>223737.25544643094</v>
      </c>
      <c r="O37" s="191"/>
    </row>
    <row r="38" spans="2:17" ht="15" thickBot="1" x14ac:dyDescent="0.4">
      <c r="E38" s="193"/>
      <c r="F38" s="191"/>
      <c r="G38" s="191"/>
      <c r="H38" s="191"/>
      <c r="I38" s="191"/>
      <c r="J38" s="191"/>
      <c r="K38" s="191"/>
      <c r="L38" s="191"/>
      <c r="M38" s="191"/>
    </row>
    <row r="39" spans="2:17" x14ac:dyDescent="0.35">
      <c r="B39" s="199" t="s">
        <v>47</v>
      </c>
      <c r="C39" s="200" t="str">
        <f ca="1">OFFSET(Classification!$D$5,0,ROW()-ROW($C$39))</f>
        <v>Delivery Commodity</v>
      </c>
      <c r="D39" s="216" t="str">
        <f>D6</f>
        <v>CPxR6</v>
      </c>
      <c r="E39" s="211">
        <f ca="1">OFFSET(Classification!$D$49,0,ROW()-ROW($E$39))</f>
        <v>28467.298709897383</v>
      </c>
      <c r="F39" s="211">
        <f ca="1">INDEX(Allocators!$B$5:$L$31,MATCH(Allocation!$D39,Allocators!$C$5:$C$31,0),MATCH(Allocation!F$5,Allocators!$B$5:$L$5,0))*$E39</f>
        <v>16652.772987606102</v>
      </c>
      <c r="G39" s="211">
        <f ca="1">INDEX(Allocators!$B$5:$L$31,MATCH(Allocation!$D39,Allocators!$C$5:$C$31,0),MATCH(Allocation!G$5,Allocators!$B$5:$L$5,0))*$E39</f>
        <v>5258.0933536058046</v>
      </c>
      <c r="H39" s="211">
        <f ca="1">INDEX(Allocators!$B$5:$L$31,MATCH(Allocation!$D39,Allocators!$C$5:$C$31,0),MATCH(Allocation!H$5,Allocators!$B$5:$L$5,0))*$E39</f>
        <v>1631.2875247649986</v>
      </c>
      <c r="I39" s="211">
        <f ca="1">INDEX(Allocators!$B$5:$L$31,MATCH(Allocation!$D39,Allocators!$C$5:$C$31,0),MATCH(Allocation!I$5,Allocators!$B$5:$L$5,0))*$E39</f>
        <v>112.27001308338291</v>
      </c>
      <c r="J39" s="211">
        <f ca="1">INDEX(Allocators!$B$5:$L$31,MATCH(Allocation!$D39,Allocators!$C$5:$C$31,0),MATCH(Allocation!J$5,Allocators!$B$5:$L$5,0))*$E39</f>
        <v>4812.8748308370959</v>
      </c>
      <c r="K39" s="211">
        <f ca="1">INDEX(Allocators!$B$5:$L$31,MATCH(Allocation!$D39,Allocators!$C$5:$C$31,0),MATCH(Allocation!K$5,Allocators!$B$5:$L$5,0))*$E39</f>
        <v>0</v>
      </c>
      <c r="L39" s="211">
        <f ca="1">INDEX(Allocators!$B$5:$L$31,MATCH(Allocation!$D39,Allocators!$C$5:$C$31,0),MATCH(Allocation!L$5,Allocators!$B$5:$L$5,0))*$E39</f>
        <v>0</v>
      </c>
      <c r="M39" s="212">
        <f ca="1">INDEX(Allocators!$B$5:$L$31,MATCH(Allocation!$D39,Allocators!$C$5:$C$31,0),MATCH(Allocation!M$5,Allocators!$B$5:$L$5,0))*$E39</f>
        <v>0</v>
      </c>
      <c r="Q39" s="191"/>
    </row>
    <row r="40" spans="2:17" x14ac:dyDescent="0.35">
      <c r="B40" s="201"/>
      <c r="C40" s="202" t="str">
        <f ca="1">OFFSET(Classification!$D$5,0,ROW()-ROW($C$39))</f>
        <v>Delivery Demand</v>
      </c>
      <c r="D40" s="203" t="str">
        <f>D7</f>
        <v>AvgCP-NCP</v>
      </c>
      <c r="E40" s="204">
        <f ca="1">OFFSET(Classification!$D$49,0,ROW()-ROW($E$39))</f>
        <v>34286.631088516522</v>
      </c>
      <c r="F40" s="204">
        <f ca="1">INDEX(Allocators!$B$5:$L$31,MATCH(Allocation!$D40,Allocators!$C$5:$C$31,0),MATCH(Allocation!F$5,Allocators!$B$5:$L$5,0))*$E40</f>
        <v>10814.817166025825</v>
      </c>
      <c r="G40" s="204">
        <f ca="1">INDEX(Allocators!$B$5:$L$31,MATCH(Allocation!$D40,Allocators!$C$5:$C$31,0),MATCH(Allocation!G$5,Allocators!$B$5:$L$5,0))*$E40</f>
        <v>3428.6648617865812</v>
      </c>
      <c r="H40" s="204">
        <f ca="1">INDEX(Allocators!$B$5:$L$31,MATCH(Allocation!$D40,Allocators!$C$5:$C$31,0),MATCH(Allocation!H$5,Allocators!$B$5:$L$5,0))*$E40</f>
        <v>1097.6703708784648</v>
      </c>
      <c r="I40" s="204">
        <f ca="1">INDEX(Allocators!$B$5:$L$31,MATCH(Allocation!$D40,Allocators!$C$5:$C$31,0),MATCH(Allocation!I$5,Allocators!$B$5:$L$5,0))*$E40</f>
        <v>638.50766174866408</v>
      </c>
      <c r="J40" s="204">
        <f ca="1">INDEX(Allocators!$B$5:$L$31,MATCH(Allocation!$D40,Allocators!$C$5:$C$31,0),MATCH(Allocation!J$5,Allocators!$B$5:$L$5,0))*$E40</f>
        <v>3095.0446610974559</v>
      </c>
      <c r="K40" s="204">
        <f ca="1">INDEX(Allocators!$B$5:$L$31,MATCH(Allocation!$D40,Allocators!$C$5:$C$31,0),MATCH(Allocation!K$5,Allocators!$B$5:$L$5,0))*$E40</f>
        <v>3597.3072183407917</v>
      </c>
      <c r="L40" s="204">
        <f ca="1">INDEX(Allocators!$B$5:$L$31,MATCH(Allocation!$D40,Allocators!$C$5:$C$31,0),MATCH(Allocation!L$5,Allocators!$B$5:$L$5,0))*$E40</f>
        <v>432.07734737588953</v>
      </c>
      <c r="M40" s="205">
        <f ca="1">INDEX(Allocators!$B$5:$L$31,MATCH(Allocation!$D40,Allocators!$C$5:$C$31,0),MATCH(Allocation!M$5,Allocators!$B$5:$L$5,0))*$E40</f>
        <v>11182.541801262852</v>
      </c>
      <c r="Q40" s="191"/>
    </row>
    <row r="41" spans="2:17" x14ac:dyDescent="0.35">
      <c r="B41" s="201"/>
      <c r="C41" s="202" t="str">
        <f ca="1">OFFSET(Classification!$D$5,0,ROW()-ROW($C$39))</f>
        <v>Delivery Demand excl. R6</v>
      </c>
      <c r="D41" s="203" t="str">
        <f>D8</f>
        <v>AvgCp-NCPxR6</v>
      </c>
      <c r="E41" s="204">
        <f ca="1">OFFSET(Classification!$D$49,0,ROW()-ROW($E$39))</f>
        <v>262509.71424070024</v>
      </c>
      <c r="F41" s="204">
        <f ca="1">INDEX(Allocators!$B$5:$L$31,MATCH(Allocation!$D41,Allocators!$C$5:$C$31,0),MATCH(Allocation!F$5,Allocators!$B$5:$L$5,0))*$E41</f>
        <v>122878.44495931326</v>
      </c>
      <c r="G41" s="204">
        <f ca="1">INDEX(Allocators!$B$5:$L$31,MATCH(Allocation!$D41,Allocators!$C$5:$C$31,0),MATCH(Allocation!G$5,Allocators!$B$5:$L$5,0))*$E41</f>
        <v>38956.646241463401</v>
      </c>
      <c r="H41" s="204">
        <f ca="1">INDEX(Allocators!$B$5:$L$31,MATCH(Allocation!$D41,Allocators!$C$5:$C$31,0),MATCH(Allocation!H$5,Allocators!$B$5:$L$5,0))*$E41</f>
        <v>12471.780722764031</v>
      </c>
      <c r="I41" s="204">
        <f ca="1">INDEX(Allocators!$B$5:$L$31,MATCH(Allocation!$D41,Allocators!$C$5:$C$31,0),MATCH(Allocation!I$5,Allocators!$B$5:$L$5,0))*$E41</f>
        <v>7254.7531193367995</v>
      </c>
      <c r="J41" s="204">
        <f ca="1">INDEX(Allocators!$B$5:$L$31,MATCH(Allocation!$D41,Allocators!$C$5:$C$31,0),MATCH(Allocation!J$5,Allocators!$B$5:$L$5,0))*$E41</f>
        <v>35166.038333964367</v>
      </c>
      <c r="K41" s="204">
        <f ca="1">INDEX(Allocators!$B$5:$L$31,MATCH(Allocation!$D41,Allocators!$C$5:$C$31,0),MATCH(Allocation!K$5,Allocators!$B$5:$L$5,0))*$E41</f>
        <v>40872.768373676052</v>
      </c>
      <c r="L41" s="204">
        <f ca="1">INDEX(Allocators!$B$5:$L$31,MATCH(Allocation!$D41,Allocators!$C$5:$C$31,0),MATCH(Allocation!L$5,Allocators!$B$5:$L$5,0))*$E41</f>
        <v>4909.2824901823715</v>
      </c>
      <c r="M41" s="205">
        <f ca="1">INDEX(Allocators!$B$5:$L$31,MATCH(Allocation!$D41,Allocators!$C$5:$C$31,0),MATCH(Allocation!M$5,Allocators!$B$5:$L$5,0))*$E41</f>
        <v>0</v>
      </c>
      <c r="Q41" s="191"/>
    </row>
    <row r="42" spans="2:17" x14ac:dyDescent="0.35">
      <c r="B42" s="201"/>
      <c r="C42" s="202" t="str">
        <f ca="1">OFFSET(Classification!$D$5,0,ROW()-ROW($C$39))</f>
        <v>Weighted Customer Services</v>
      </c>
      <c r="D42" s="203" t="str">
        <f>D9</f>
        <v>WCSxR6</v>
      </c>
      <c r="E42" s="204">
        <f ca="1">OFFSET(Classification!$D$49,0,ROW()-ROW($E$39))</f>
        <v>189371.79018955951</v>
      </c>
      <c r="F42" s="204">
        <f ca="1">INDEX(Allocators!$B$5:$L$31,MATCH(Allocation!$D42,Allocators!$C$5:$C$31,0),MATCH(Allocation!F$5,Allocators!$B$5:$L$5,0))*$E42</f>
        <v>162754.469578727</v>
      </c>
      <c r="G42" s="204">
        <f ca="1">INDEX(Allocators!$B$5:$L$31,MATCH(Allocation!$D42,Allocators!$C$5:$C$31,0),MATCH(Allocation!G$5,Allocators!$B$5:$L$5,0))*$E42</f>
        <v>17587.101963124198</v>
      </c>
      <c r="H42" s="204">
        <f ca="1">INDEX(Allocators!$B$5:$L$31,MATCH(Allocation!$D42,Allocators!$C$5:$C$31,0),MATCH(Allocation!H$5,Allocators!$B$5:$L$5,0))*$E42</f>
        <v>3333.7010714858161</v>
      </c>
      <c r="I42" s="204">
        <f ca="1">INDEX(Allocators!$B$5:$L$31,MATCH(Allocation!$D42,Allocators!$C$5:$C$31,0),MATCH(Allocation!I$5,Allocators!$B$5:$L$5,0))*$E42</f>
        <v>2625.2479654113863</v>
      </c>
      <c r="J42" s="204">
        <f ca="1">INDEX(Allocators!$B$5:$L$31,MATCH(Allocation!$D42,Allocators!$C$5:$C$31,0),MATCH(Allocation!J$5,Allocators!$B$5:$L$5,0))*$E42</f>
        <v>274.938607069878</v>
      </c>
      <c r="K42" s="204">
        <f ca="1">INDEX(Allocators!$B$5:$L$31,MATCH(Allocation!$D42,Allocators!$C$5:$C$31,0),MATCH(Allocation!K$5,Allocators!$B$5:$L$5,0))*$E42</f>
        <v>2495.6462011063218</v>
      </c>
      <c r="L42" s="204">
        <f ca="1">INDEX(Allocators!$B$5:$L$31,MATCH(Allocation!$D42,Allocators!$C$5:$C$31,0),MATCH(Allocation!L$5,Allocators!$B$5:$L$5,0))*$E42</f>
        <v>300.68480263493262</v>
      </c>
      <c r="M42" s="205">
        <f ca="1">INDEX(Allocators!$B$5:$L$31,MATCH(Allocation!$D42,Allocators!$C$5:$C$31,0),MATCH(Allocation!M$5,Allocators!$B$5:$L$5,0))*$E42</f>
        <v>0</v>
      </c>
      <c r="Q42" s="191"/>
    </row>
    <row r="43" spans="2:17" x14ac:dyDescent="0.35">
      <c r="B43" s="201"/>
      <c r="C43" s="202" t="str">
        <f ca="1">OFFSET(Classification!$D$5,0,ROW()-ROW($C$39))</f>
        <v>Weighted Customer Meters</v>
      </c>
      <c r="D43" s="203" t="s">
        <v>219</v>
      </c>
      <c r="E43" s="204">
        <f ca="1">OFFSET(Classification!$D$49,0,ROW()-ROW($E$39))</f>
        <v>22684.013751989689</v>
      </c>
      <c r="F43" s="204">
        <f ca="1">INDEX(Allocators!$B$5:$L$31,MATCH(Allocation!$D43,Allocators!$C$5:$C$31,0),MATCH(Allocation!F$5,Allocators!$B$5:$L$5,0))*$E43</f>
        <v>16352.797948550178</v>
      </c>
      <c r="G43" s="204">
        <f ca="1">INDEX(Allocators!$B$5:$L$31,MATCH(Allocation!$D43,Allocators!$C$5:$C$31,0),MATCH(Allocation!G$5,Allocators!$B$5:$L$5,0))*$E43</f>
        <v>3908.7758907609073</v>
      </c>
      <c r="H43" s="204">
        <f ca="1">INDEX(Allocators!$B$5:$L$31,MATCH(Allocation!$D43,Allocators!$C$5:$C$31,0),MATCH(Allocation!H$5,Allocators!$B$5:$L$5,0))*$E43</f>
        <v>822.64055852102513</v>
      </c>
      <c r="I43" s="204">
        <f ca="1">INDEX(Allocators!$B$5:$L$31,MATCH(Allocation!$D43,Allocators!$C$5:$C$31,0),MATCH(Allocation!I$5,Allocators!$B$5:$L$5,0))*$E43</f>
        <v>663.81324774665848</v>
      </c>
      <c r="J43" s="204">
        <f ca="1">INDEX(Allocators!$B$5:$L$31,MATCH(Allocation!$D43,Allocators!$C$5:$C$31,0),MATCH(Allocation!J$5,Allocators!$B$5:$L$5,0))*$E43</f>
        <v>85.541262669689843</v>
      </c>
      <c r="K43" s="204">
        <f ca="1">INDEX(Allocators!$B$5:$L$31,MATCH(Allocation!$D43,Allocators!$C$5:$C$31,0),MATCH(Allocation!K$5,Allocators!$B$5:$L$5,0))*$E43</f>
        <v>782.01183360547384</v>
      </c>
      <c r="L43" s="204">
        <f ca="1">INDEX(Allocators!$B$5:$L$31,MATCH(Allocation!$D43,Allocators!$C$5:$C$31,0),MATCH(Allocation!L$5,Allocators!$B$5:$L$5,0))*$E43</f>
        <v>68.433010135751871</v>
      </c>
      <c r="M43" s="205">
        <f ca="1">INDEX(Allocators!$B$5:$L$31,MATCH(Allocation!$D43,Allocators!$C$5:$C$31,0),MATCH(Allocation!M$5,Allocators!$B$5:$L$5,0))*$E43</f>
        <v>0</v>
      </c>
      <c r="Q43" s="191"/>
    </row>
    <row r="44" spans="2:17" x14ac:dyDescent="0.35">
      <c r="B44" s="201"/>
      <c r="C44" s="202" t="str">
        <f ca="1">OFFSET(Classification!$D$5,0,ROW()-ROW($C$39))</f>
        <v>Residential Meters</v>
      </c>
      <c r="D44" s="203" t="s">
        <v>128</v>
      </c>
      <c r="E44" s="204">
        <f ca="1">OFFSET(Classification!$D$49,0,ROW()-ROW($E$39))</f>
        <v>293692.54285961087</v>
      </c>
      <c r="F44" s="204">
        <f ca="1">INDEX(Allocators!$B$5:$L$31,MATCH(Allocation!$D44,Allocators!$C$5:$C$31,0),MATCH(Allocation!F$5,Allocators!$B$5:$L$5,0))*$E44</f>
        <v>293692.54285961087</v>
      </c>
      <c r="G44" s="204">
        <f ca="1">INDEX(Allocators!$B$5:$L$31,MATCH(Allocation!$D44,Allocators!$C$5:$C$31,0),MATCH(Allocation!G$5,Allocators!$B$5:$L$5,0))*$E44</f>
        <v>0</v>
      </c>
      <c r="H44" s="204">
        <f ca="1">INDEX(Allocators!$B$5:$L$31,MATCH(Allocation!$D44,Allocators!$C$5:$C$31,0),MATCH(Allocation!H$5,Allocators!$B$5:$L$5,0))*$E44</f>
        <v>0</v>
      </c>
      <c r="I44" s="204">
        <f ca="1">INDEX(Allocators!$B$5:$L$31,MATCH(Allocation!$D44,Allocators!$C$5:$C$31,0),MATCH(Allocation!I$5,Allocators!$B$5:$L$5,0))*$E44</f>
        <v>0</v>
      </c>
      <c r="J44" s="204">
        <f ca="1">INDEX(Allocators!$B$5:$L$31,MATCH(Allocation!$D44,Allocators!$C$5:$C$31,0),MATCH(Allocation!J$5,Allocators!$B$5:$L$5,0))*$E44</f>
        <v>0</v>
      </c>
      <c r="K44" s="204">
        <f ca="1">INDEX(Allocators!$B$5:$L$31,MATCH(Allocation!$D44,Allocators!$C$5:$C$31,0),MATCH(Allocation!K$5,Allocators!$B$5:$L$5,0))*$E44</f>
        <v>0</v>
      </c>
      <c r="L44" s="204">
        <f ca="1">INDEX(Allocators!$B$5:$L$31,MATCH(Allocation!$D44,Allocators!$C$5:$C$31,0),MATCH(Allocation!L$5,Allocators!$B$5:$L$5,0))*$E44</f>
        <v>0</v>
      </c>
      <c r="M44" s="205">
        <f ca="1">INDEX(Allocators!$B$5:$L$31,MATCH(Allocation!$D44,Allocators!$C$5:$C$31,0),MATCH(Allocation!M$5,Allocators!$B$5:$L$5,0))*$E44</f>
        <v>0</v>
      </c>
      <c r="Q44" s="191"/>
    </row>
    <row r="45" spans="2:17" x14ac:dyDescent="0.35">
      <c r="B45" s="201"/>
      <c r="C45" s="202" t="str">
        <f ca="1">OFFSET(Classification!$D$5,0,ROW()-ROW($C$39))</f>
        <v>Commercial Meters</v>
      </c>
      <c r="D45" s="203" t="str">
        <f>D12</f>
        <v>MetCom</v>
      </c>
      <c r="E45" s="204">
        <f ca="1">OFFSET(Classification!$D$49,0,ROW()-ROW($E$39))</f>
        <v>89746.799810085897</v>
      </c>
      <c r="F45" s="204">
        <f ca="1">INDEX(Allocators!$B$5:$L$31,MATCH(Allocation!$D45,Allocators!$C$5:$C$31,0),MATCH(Allocation!F$5,Allocators!$B$5:$L$5,0))*$E45</f>
        <v>0</v>
      </c>
      <c r="G45" s="204">
        <f ca="1">INDEX(Allocators!$B$5:$L$31,MATCH(Allocation!$D45,Allocators!$C$5:$C$31,0),MATCH(Allocation!G$5,Allocators!$B$5:$L$5,0))*$E45</f>
        <v>55408.019290707656</v>
      </c>
      <c r="H45" s="204">
        <f ca="1">INDEX(Allocators!$B$5:$L$31,MATCH(Allocation!$D45,Allocators!$C$5:$C$31,0),MATCH(Allocation!H$5,Allocators!$B$5:$L$5,0))*$E45</f>
        <v>11661.165850820475</v>
      </c>
      <c r="I45" s="204">
        <f ca="1">INDEX(Allocators!$B$5:$L$31,MATCH(Allocation!$D45,Allocators!$C$5:$C$31,0),MATCH(Allocation!I$5,Allocators!$B$5:$L$5,0))*$E45</f>
        <v>9409.743168829822</v>
      </c>
      <c r="J45" s="204">
        <f ca="1">INDEX(Allocators!$B$5:$L$31,MATCH(Allocation!$D45,Allocators!$C$5:$C$31,0),MATCH(Allocation!J$5,Allocators!$B$5:$L$5,0))*$E45</f>
        <v>1212.5719316261466</v>
      </c>
      <c r="K45" s="204">
        <f ca="1">INDEX(Allocators!$B$5:$L$31,MATCH(Allocation!$D45,Allocators!$C$5:$C$31,0),MATCH(Allocation!K$5,Allocators!$B$5:$L$5,0))*$E45</f>
        <v>11085.242022800881</v>
      </c>
      <c r="L45" s="204">
        <f ca="1">INDEX(Allocators!$B$5:$L$31,MATCH(Allocation!$D45,Allocators!$C$5:$C$31,0),MATCH(Allocation!L$5,Allocators!$B$5:$L$5,0))*$E45</f>
        <v>970.05754530091724</v>
      </c>
      <c r="M45" s="205">
        <f ca="1">INDEX(Allocators!$B$5:$L$31,MATCH(Allocation!$D45,Allocators!$C$5:$C$31,0),MATCH(Allocation!M$5,Allocators!$B$5:$L$5,0))*$E45</f>
        <v>0</v>
      </c>
      <c r="Q45" s="191"/>
    </row>
    <row r="46" spans="2:17" x14ac:dyDescent="0.35">
      <c r="B46" s="201"/>
      <c r="C46" s="202" t="str">
        <f ca="1">OFFSET(Classification!$D$5,0,ROW()-ROW($C$39))</f>
        <v>Weighted Customer Billing</v>
      </c>
      <c r="D46" s="203" t="str">
        <f>D13</f>
        <v>WCB</v>
      </c>
      <c r="E46" s="204">
        <f ca="1">OFFSET(Classification!$D$49,0,ROW()-ROW($E$39))</f>
        <v>9276.1526486681614</v>
      </c>
      <c r="F46" s="204">
        <f ca="1">INDEX(Allocators!$B$5:$L$31,MATCH(Allocation!$D46,Allocators!$C$5:$C$31,0),MATCH(Allocation!F$5,Allocators!$B$5:$L$5,0))*$E46</f>
        <v>8524.6006802536631</v>
      </c>
      <c r="G46" s="204">
        <f ca="1">INDEX(Allocators!$B$5:$L$31,MATCH(Allocation!$D46,Allocators!$C$5:$C$31,0),MATCH(Allocation!G$5,Allocators!$B$5:$L$5,0))*$E46</f>
        <v>525.11112981307804</v>
      </c>
      <c r="H46" s="204">
        <f ca="1">INDEX(Allocators!$B$5:$L$31,MATCH(Allocation!$D46,Allocators!$C$5:$C$31,0),MATCH(Allocation!H$5,Allocators!$B$5:$L$5,0))*$E46</f>
        <v>72.091527991286981</v>
      </c>
      <c r="I46" s="204">
        <f ca="1">INDEX(Allocators!$B$5:$L$31,MATCH(Allocation!$D46,Allocators!$C$5:$C$31,0),MATCH(Allocation!I$5,Allocators!$B$5:$L$5,0))*$E46</f>
        <v>46.321492231358931</v>
      </c>
      <c r="J46" s="204">
        <f ca="1">INDEX(Allocators!$B$5:$L$31,MATCH(Allocation!$D46,Allocators!$C$5:$C$31,0),MATCH(Allocation!J$5,Allocators!$B$5:$L$5,0))*$E46</f>
        <v>34.260559481785485</v>
      </c>
      <c r="K46" s="204">
        <f ca="1">INDEX(Allocators!$B$5:$L$31,MATCH(Allocation!$D46,Allocators!$C$5:$C$31,0),MATCH(Allocation!K$5,Allocators!$B$5:$L$5,0))*$E46</f>
        <v>38.223463012432781</v>
      </c>
      <c r="L46" s="204">
        <f ca="1">INDEX(Allocators!$B$5:$L$31,MATCH(Allocation!$D46,Allocators!$C$5:$C$31,0),MATCH(Allocation!L$5,Allocators!$B$5:$L$5,0))*$E46</f>
        <v>28.05006578681359</v>
      </c>
      <c r="M46" s="205">
        <f ca="1">INDEX(Allocators!$B$5:$L$31,MATCH(Allocation!$D46,Allocators!$C$5:$C$31,0),MATCH(Allocation!M$5,Allocators!$B$5:$L$5,0))*$E46</f>
        <v>7.4937300977422954</v>
      </c>
      <c r="Q46" s="191"/>
    </row>
    <row r="47" spans="2:17" x14ac:dyDescent="0.35">
      <c r="B47" s="201"/>
      <c r="C47" s="202" t="str">
        <f ca="1">OFFSET(Classification!$D$5,0,ROW()-ROW($C$39))</f>
        <v>Unweighted Customer</v>
      </c>
      <c r="D47" s="203" t="str">
        <f>D14</f>
        <v>UC</v>
      </c>
      <c r="E47" s="204">
        <f ca="1">OFFSET(Classification!$D$49,0,ROW()-ROW($E$39))</f>
        <v>20408.658822432724</v>
      </c>
      <c r="F47" s="204">
        <f ca="1">INDEX(Allocators!$B$5:$L$31,MATCH(Allocation!$D47,Allocators!$C$5:$C$31,0),MATCH(Allocation!F$5,Allocators!$B$5:$L$5,0))*$E47</f>
        <v>18877.270323636953</v>
      </c>
      <c r="G47" s="204">
        <f ca="1">INDEX(Allocators!$B$5:$L$31,MATCH(Allocation!$D47,Allocators!$C$5:$C$31,0),MATCH(Allocation!G$5,Allocators!$B$5:$L$5,0))*$E47</f>
        <v>1162.8303916209857</v>
      </c>
      <c r="H47" s="204">
        <f ca="1">INDEX(Allocators!$B$5:$L$31,MATCH(Allocation!$D47,Allocators!$C$5:$C$31,0),MATCH(Allocation!H$5,Allocators!$B$5:$L$5,0))*$E47</f>
        <v>159.64281647677939</v>
      </c>
      <c r="I47" s="204">
        <f ca="1">INDEX(Allocators!$B$5:$L$31,MATCH(Allocation!$D47,Allocators!$C$5:$C$31,0),MATCH(Allocation!I$5,Allocators!$B$5:$L$5,0))*$E47</f>
        <v>98.544948442456416</v>
      </c>
      <c r="J47" s="204">
        <f ca="1">INDEX(Allocators!$B$5:$L$31,MATCH(Allocation!$D47,Allocators!$C$5:$C$31,0),MATCH(Allocation!J$5,Allocators!$B$5:$L$5,0))*$E47</f>
        <v>9.8544948442456413</v>
      </c>
      <c r="K47" s="204">
        <f ca="1">INDEX(Allocators!$B$5:$L$31,MATCH(Allocation!$D47,Allocators!$C$5:$C$31,0),MATCH(Allocation!K$5,Allocators!$B$5:$L$5,0))*$E47</f>
        <v>90.661352567059893</v>
      </c>
      <c r="L47" s="204">
        <f ca="1">INDEX(Allocators!$B$5:$L$31,MATCH(Allocation!$D47,Allocators!$C$5:$C$31,0),MATCH(Allocation!L$5,Allocators!$B$5:$L$5,0))*$E47</f>
        <v>7.8835958753965132</v>
      </c>
      <c r="M47" s="205">
        <f ca="1">INDEX(Allocators!$B$5:$L$31,MATCH(Allocation!$D47,Allocators!$C$5:$C$31,0),MATCH(Allocation!M$5,Allocators!$B$5:$L$5,0))*$E47</f>
        <v>1.9708989688491283</v>
      </c>
      <c r="Q47" s="191"/>
    </row>
    <row r="48" spans="2:17" x14ac:dyDescent="0.35">
      <c r="B48" s="201"/>
      <c r="C48" s="202" t="str">
        <f ca="1">OFFSET(Classification!$D$5,0,ROW()-ROW($C$39))</f>
        <v>Unweighted Customer Excl. R6</v>
      </c>
      <c r="D48" s="202" t="s">
        <v>96</v>
      </c>
      <c r="E48" s="204">
        <f ca="1">OFFSET(Classification!$D$49,0,ROW()-ROW($E$39))</f>
        <v>117742.36656870543</v>
      </c>
      <c r="F48" s="204">
        <f ca="1">INDEX(Allocators!$B$5:$L$31,MATCH(Allocation!$D48,Allocators!$C$5:$C$31,0),MATCH(Allocation!F$5,Allocators!$B$5:$L$5,0))*$E48</f>
        <v>68667.735370183858</v>
      </c>
      <c r="G48" s="204">
        <f ca="1">INDEX(Allocators!$B$5:$L$31,MATCH(Allocation!$D48,Allocators!$C$5:$C$31,0),MATCH(Allocation!G$5,Allocators!$B$5:$L$5,0))*$E48</f>
        <v>12847.674468397394</v>
      </c>
      <c r="H48" s="204">
        <f ca="1">INDEX(Allocators!$B$5:$L$31,MATCH(Allocation!$D48,Allocators!$C$5:$C$31,0),MATCH(Allocation!H$5,Allocators!$B$5:$L$5,0))*$E48</f>
        <v>3275.9156401711452</v>
      </c>
      <c r="I48" s="204">
        <f ca="1">INDEX(Allocators!$B$5:$L$31,MATCH(Allocation!$D48,Allocators!$C$5:$C$31,0),MATCH(Allocation!I$5,Allocators!$B$5:$L$5,0))*$E48</f>
        <v>2038.6109712280863</v>
      </c>
      <c r="J48" s="204">
        <f ca="1">INDEX(Allocators!$B$5:$L$31,MATCH(Allocation!$D48,Allocators!$C$5:$C$31,0),MATCH(Allocation!J$5,Allocators!$B$5:$L$5,0))*$E48</f>
        <v>5846.3628111577636</v>
      </c>
      <c r="K48" s="204">
        <f ca="1">INDEX(Allocators!$B$5:$L$31,MATCH(Allocation!$D48,Allocators!$C$5:$C$31,0),MATCH(Allocation!K$5,Allocators!$B$5:$L$5,0))*$E48</f>
        <v>7035.6279689086841</v>
      </c>
      <c r="L48" s="204">
        <f ca="1">INDEX(Allocators!$B$5:$L$31,MATCH(Allocation!$D48,Allocators!$C$5:$C$31,0),MATCH(Allocation!L$5,Allocators!$B$5:$L$5,0))*$E48</f>
        <v>823.5738245395637</v>
      </c>
      <c r="M48" s="205">
        <f ca="1">INDEX(Allocators!$B$5:$L$31,MATCH(Allocation!$D48,Allocators!$C$5:$C$31,0),MATCH(Allocation!M$5,Allocators!$B$5:$L$5,0))*$E48</f>
        <v>17206.865514118934</v>
      </c>
      <c r="Q48" s="191"/>
    </row>
    <row r="49" spans="2:17" x14ac:dyDescent="0.35">
      <c r="B49" s="201"/>
      <c r="C49" s="202" t="str">
        <f ca="1">OFFSET(Classification!$D$5,0,ROW()-ROW($C$39))</f>
        <v>Bad Debt &amp; Collection</v>
      </c>
      <c r="D49" s="203" t="str">
        <f>D16</f>
        <v>BDCxR6</v>
      </c>
      <c r="E49" s="204">
        <f ca="1">OFFSET(Classification!$D$49,0,ROW()-ROW($E$39))</f>
        <v>2349.3020289086944</v>
      </c>
      <c r="F49" s="204">
        <f ca="1">INDEX(Allocators!$B$5:$L$31,MATCH(Allocation!$D49,Allocators!$C$5:$C$31,0),MATCH(Allocation!F$5,Allocators!$B$5:$L$5,0))*$E49</f>
        <v>1110.0140293689958</v>
      </c>
      <c r="G49" s="204">
        <f ca="1">INDEX(Allocators!$B$5:$L$31,MATCH(Allocation!$D49,Allocators!$C$5:$C$31,0),MATCH(Allocation!G$5,Allocators!$B$5:$L$5,0))*$E49</f>
        <v>911.11349060428734</v>
      </c>
      <c r="H49" s="204">
        <f ca="1">INDEX(Allocators!$B$5:$L$31,MATCH(Allocation!$D49,Allocators!$C$5:$C$31,0),MATCH(Allocation!H$5,Allocators!$B$5:$L$5,0))*$E49</f>
        <v>324.71147616678383</v>
      </c>
      <c r="I49" s="204">
        <f ca="1">INDEX(Allocators!$B$5:$L$31,MATCH(Allocation!$D49,Allocators!$C$5:$C$31,0),MATCH(Allocation!I$5,Allocators!$B$5:$L$5,0))*$E49</f>
        <v>3.4630327686274414</v>
      </c>
      <c r="J49" s="204">
        <f ca="1">INDEX(Allocators!$B$5:$L$31,MATCH(Allocation!$D49,Allocators!$C$5:$C$31,0),MATCH(Allocation!J$5,Allocators!$B$5:$L$5,0))*$E49</f>
        <v>0</v>
      </c>
      <c r="K49" s="204">
        <f ca="1">INDEX(Allocators!$B$5:$L$31,MATCH(Allocation!$D49,Allocators!$C$5:$C$31,0),MATCH(Allocation!K$5,Allocators!$B$5:$L$5,0))*$E49</f>
        <v>0</v>
      </c>
      <c r="L49" s="204">
        <f ca="1">INDEX(Allocators!$B$5:$L$31,MATCH(Allocation!$D49,Allocators!$C$5:$C$31,0),MATCH(Allocation!L$5,Allocators!$B$5:$L$5,0))*$E49</f>
        <v>0</v>
      </c>
      <c r="M49" s="205">
        <f ca="1">INDEX(Allocators!$B$5:$L$31,MATCH(Allocation!$D49,Allocators!$C$5:$C$31,0),MATCH(Allocation!M$5,Allocators!$B$5:$L$5,0))*$E49</f>
        <v>0</v>
      </c>
      <c r="Q49" s="191"/>
    </row>
    <row r="50" spans="2:17" x14ac:dyDescent="0.35">
      <c r="B50" s="201"/>
      <c r="C50" s="202" t="str">
        <f ca="1">OFFSET(Classification!$D$5,0,ROW()-ROW($C$39))</f>
        <v>Composite</v>
      </c>
      <c r="D50" s="203" t="str">
        <f>D17</f>
        <v>A&amp;G-C</v>
      </c>
      <c r="E50" s="204">
        <f ca="1">OFFSET(Classification!$D$49,0,ROW()-ROW($E$39))</f>
        <v>105421.99388255716</v>
      </c>
      <c r="F50" s="204">
        <f ca="1">INDEX(Allocators!$B$5:$L$31,MATCH(Allocation!$D50,Allocators!$C$5:$C$31,0),MATCH(Allocation!F$5,Allocators!$B$5:$L$5,0))*$E50</f>
        <v>61482.453504961595</v>
      </c>
      <c r="G50" s="204">
        <f ca="1">INDEX(Allocators!$B$5:$L$31,MATCH(Allocation!$D50,Allocators!$C$5:$C$31,0),MATCH(Allocation!G$5,Allocators!$B$5:$L$5,0))*$E50</f>
        <v>11503.314386178365</v>
      </c>
      <c r="H50" s="204">
        <f ca="1">INDEX(Allocators!$B$5:$L$31,MATCH(Allocation!$D50,Allocators!$C$5:$C$31,0),MATCH(Allocation!H$5,Allocators!$B$5:$L$5,0))*$E50</f>
        <v>2933.1290736064311</v>
      </c>
      <c r="I50" s="204">
        <f ca="1">INDEX(Allocators!$B$5:$L$31,MATCH(Allocation!$D50,Allocators!$C$5:$C$31,0),MATCH(Allocation!I$5,Allocators!$B$5:$L$5,0))*$E50</f>
        <v>1825.2939838126458</v>
      </c>
      <c r="J50" s="204">
        <f ca="1">INDEX(Allocators!$B$5:$L$31,MATCH(Allocation!$D50,Allocators!$C$5:$C$31,0),MATCH(Allocation!J$5,Allocators!$B$5:$L$5,0))*$E50</f>
        <v>5234.608768912738</v>
      </c>
      <c r="K50" s="204">
        <f ca="1">INDEX(Allocators!$B$5:$L$31,MATCH(Allocation!$D50,Allocators!$C$5:$C$31,0),MATCH(Allocation!K$5,Allocators!$B$5:$L$5,0))*$E50</f>
        <v>6299.4311250354749</v>
      </c>
      <c r="L50" s="204">
        <f ca="1">INDEX(Allocators!$B$5:$L$31,MATCH(Allocation!$D50,Allocators!$C$5:$C$31,0),MATCH(Allocation!L$5,Allocators!$B$5:$L$5,0))*$E50</f>
        <v>737.39637840369846</v>
      </c>
      <c r="M50" s="205">
        <f ca="1">INDEX(Allocators!$B$5:$L$31,MATCH(Allocation!$D50,Allocators!$C$5:$C$31,0),MATCH(Allocation!M$5,Allocators!$B$5:$L$5,0))*$E50</f>
        <v>15406.366661646205</v>
      </c>
      <c r="Q50" s="191"/>
    </row>
    <row r="51" spans="2:17" x14ac:dyDescent="0.35">
      <c r="B51" s="201"/>
      <c r="C51" s="202" t="str">
        <f ca="1">OFFSET(Classification!$D$5,0,ROW()-ROW($C$39))</f>
        <v>Direct Assignment to IGPC</v>
      </c>
      <c r="D51" s="203" t="str">
        <f>D18</f>
        <v>IGPC</v>
      </c>
      <c r="E51" s="204">
        <f ca="1">OFFSET(Classification!$D$49,0,ROW()-ROW($E$39))</f>
        <v>126749.90959116473</v>
      </c>
      <c r="F51" s="204">
        <f ca="1">INDEX(Allocators!$B$5:$L$31,MATCH(Allocation!$D51,Allocators!$C$5:$C$31,0),MATCH(Allocation!F$5,Allocators!$B$5:$L$5,0))*$E51</f>
        <v>0</v>
      </c>
      <c r="G51" s="204">
        <f ca="1">INDEX(Allocators!$B$5:$L$31,MATCH(Allocation!$D51,Allocators!$C$5:$C$31,0),MATCH(Allocation!G$5,Allocators!$B$5:$L$5,0))*$E51</f>
        <v>0</v>
      </c>
      <c r="H51" s="204">
        <f ca="1">INDEX(Allocators!$B$5:$L$31,MATCH(Allocation!$D51,Allocators!$C$5:$C$31,0),MATCH(Allocation!H$5,Allocators!$B$5:$L$5,0))*$E51</f>
        <v>0</v>
      </c>
      <c r="I51" s="204">
        <f ca="1">INDEX(Allocators!$B$5:$L$31,MATCH(Allocation!$D51,Allocators!$C$5:$C$31,0),MATCH(Allocation!I$5,Allocators!$B$5:$L$5,0))*$E51</f>
        <v>0</v>
      </c>
      <c r="J51" s="204">
        <f ca="1">INDEX(Allocators!$B$5:$L$31,MATCH(Allocation!$D51,Allocators!$C$5:$C$31,0),MATCH(Allocation!J$5,Allocators!$B$5:$L$5,0))*$E51</f>
        <v>0</v>
      </c>
      <c r="K51" s="204">
        <f ca="1">INDEX(Allocators!$B$5:$L$31,MATCH(Allocation!$D51,Allocators!$C$5:$C$31,0),MATCH(Allocation!K$5,Allocators!$B$5:$L$5,0))*$E51</f>
        <v>0</v>
      </c>
      <c r="L51" s="204">
        <f ca="1">INDEX(Allocators!$B$5:$L$31,MATCH(Allocation!$D51,Allocators!$C$5:$C$31,0),MATCH(Allocation!L$5,Allocators!$B$5:$L$5,0))*$E51</f>
        <v>0</v>
      </c>
      <c r="M51" s="205">
        <f ca="1">INDEX(Allocators!$B$5:$L$31,MATCH(Allocation!$D51,Allocators!$C$5:$C$31,0),MATCH(Allocation!M$5,Allocators!$B$5:$L$5,0))*$E51</f>
        <v>126749.90959116473</v>
      </c>
      <c r="Q51" s="191"/>
    </row>
    <row r="52" spans="2:17" ht="15" thickBot="1" x14ac:dyDescent="0.4">
      <c r="B52" s="206"/>
      <c r="C52" s="217" t="s">
        <v>20</v>
      </c>
      <c r="D52" s="207"/>
      <c r="E52" s="208">
        <f ca="1">SUM(E39:E51)</f>
        <v>1302707.1741927969</v>
      </c>
      <c r="F52" s="208">
        <f t="shared" ref="F52:M52" ca="1" si="9">SUM(F39:F51)</f>
        <v>781807.91940823826</v>
      </c>
      <c r="G52" s="208">
        <f t="shared" ca="1" si="9"/>
        <v>151497.34546806265</v>
      </c>
      <c r="H52" s="208">
        <f t="shared" ca="1" si="9"/>
        <v>37783.736633647241</v>
      </c>
      <c r="I52" s="208">
        <f t="shared" ca="1" si="9"/>
        <v>24716.569604639888</v>
      </c>
      <c r="J52" s="208">
        <f t="shared" ca="1" si="9"/>
        <v>55772.096261661165</v>
      </c>
      <c r="K52" s="208">
        <f t="shared" ca="1" si="9"/>
        <v>72296.919559053174</v>
      </c>
      <c r="L52" s="208">
        <f t="shared" ca="1" si="9"/>
        <v>8277.4390602353342</v>
      </c>
      <c r="M52" s="209">
        <f t="shared" ca="1" si="9"/>
        <v>170555.14819725932</v>
      </c>
      <c r="O52" s="195"/>
      <c r="P52" s="196"/>
      <c r="Q52" s="191"/>
    </row>
    <row r="53" spans="2:17" ht="15" thickBot="1" x14ac:dyDescent="0.4">
      <c r="E53" s="191"/>
      <c r="F53" s="191"/>
      <c r="G53" s="191"/>
      <c r="H53" s="191"/>
      <c r="I53" s="191"/>
      <c r="J53" s="191"/>
      <c r="K53" s="191"/>
      <c r="L53" s="191"/>
      <c r="M53" s="191"/>
    </row>
    <row r="54" spans="2:17" x14ac:dyDescent="0.35">
      <c r="B54" s="199" t="s">
        <v>50</v>
      </c>
      <c r="C54" s="200" t="str">
        <f ca="1">OFFSET(Classification!$D$5,0,ROW()-ROW($C$54))</f>
        <v>Delivery Commodity</v>
      </c>
      <c r="D54" s="216" t="s">
        <v>139</v>
      </c>
      <c r="E54" s="211">
        <f>Classification!D63</f>
        <v>125948.36698602053</v>
      </c>
      <c r="F54" s="211">
        <f>INDEX(Allocators!$B$5:$L$31,MATCH(Allocation!$D54,Allocators!$C$5:$C$31,0),MATCH(Allocation!F$5,Allocators!$B$5:$L$5,0))*$E54</f>
        <v>73677.154441376333</v>
      </c>
      <c r="G54" s="211">
        <f>INDEX(Allocators!$B$5:$L$31,MATCH(Allocation!$D54,Allocators!$C$5:$C$31,0),MATCH(Allocation!G$5,Allocators!$B$5:$L$5,0))*$E54</f>
        <v>23263.474279575807</v>
      </c>
      <c r="H54" s="211">
        <f>INDEX(Allocators!$B$5:$L$31,MATCH(Allocation!$D54,Allocators!$C$5:$C$31,0),MATCH(Allocation!H$5,Allocators!$B$5:$L$5,0))*$E54</f>
        <v>7217.3338932712422</v>
      </c>
      <c r="I54" s="211">
        <f>INDEX(Allocators!$B$5:$L$31,MATCH(Allocation!$D54,Allocators!$C$5:$C$31,0),MATCH(Allocation!I$5,Allocators!$B$5:$L$5,0))*$E54</f>
        <v>496.71818016350903</v>
      </c>
      <c r="J54" s="211">
        <f>INDEX(Allocators!$B$5:$L$31,MATCH(Allocation!$D54,Allocators!$C$5:$C$31,0),MATCH(Allocation!J$5,Allocators!$B$5:$L$5,0))*$E54</f>
        <v>21293.686191633638</v>
      </c>
      <c r="K54" s="211">
        <f>INDEX(Allocators!$B$5:$L$31,MATCH(Allocation!$D54,Allocators!$C$5:$C$31,0),MATCH(Allocation!K$5,Allocators!$B$5:$L$5,0))*$E54</f>
        <v>0</v>
      </c>
      <c r="L54" s="211">
        <f>INDEX(Allocators!$B$5:$L$31,MATCH(Allocation!$D54,Allocators!$C$5:$C$31,0),MATCH(Allocation!L$5,Allocators!$B$5:$L$5,0))*$E54</f>
        <v>0</v>
      </c>
      <c r="M54" s="212">
        <f>INDEX(Allocators!$B$5:$L$31,MATCH(Allocation!$D54,Allocators!$C$5:$C$31,0),MATCH(Allocation!M$5,Allocators!$B$5:$L$5,0))*$E54</f>
        <v>0</v>
      </c>
      <c r="Q54" s="191"/>
    </row>
    <row r="55" spans="2:17" x14ac:dyDescent="0.35">
      <c r="B55" s="201"/>
      <c r="C55" s="202" t="str">
        <f ca="1">OFFSET(Classification!$D$5,0,ROW()-ROW($C$54))</f>
        <v>Delivery Demand</v>
      </c>
      <c r="D55" s="203" t="s">
        <v>92</v>
      </c>
      <c r="E55" s="204">
        <f>Classification!E63</f>
        <v>437315.46696940379</v>
      </c>
      <c r="F55" s="204">
        <f>INDEX(Allocators!$B$5:$L$31,MATCH(Allocation!$D55,Allocators!$C$5:$C$31,0),MATCH(Allocation!F$5,Allocators!$B$5:$L$5,0))*$E55</f>
        <v>137939.67704028334</v>
      </c>
      <c r="G55" s="204">
        <f>INDEX(Allocators!$B$5:$L$31,MATCH(Allocation!$D55,Allocators!$C$5:$C$31,0),MATCH(Allocation!G$5,Allocators!$B$5:$L$5,0))*$E55</f>
        <v>43731.569055087937</v>
      </c>
      <c r="H55" s="204">
        <f>INDEX(Allocators!$B$5:$L$31,MATCH(Allocation!$D55,Allocators!$C$5:$C$31,0),MATCH(Allocation!H$5,Allocators!$B$5:$L$5,0))*$E55</f>
        <v>14000.449025741942</v>
      </c>
      <c r="I55" s="204">
        <f>INDEX(Allocators!$B$5:$L$31,MATCH(Allocation!$D55,Allocators!$C$5:$C$31,0),MATCH(Allocation!I$5,Allocators!$B$5:$L$5,0))*$E55</f>
        <v>8143.96945387499</v>
      </c>
      <c r="J55" s="204">
        <f>INDEX(Allocators!$B$5:$L$31,MATCH(Allocation!$D55,Allocators!$C$5:$C$31,0),MATCH(Allocation!J$5,Allocators!$B$5:$L$5,0))*$E55</f>
        <v>39476.345686010536</v>
      </c>
      <c r="K55" s="204">
        <f>INDEX(Allocators!$B$5:$L$31,MATCH(Allocation!$D55,Allocators!$C$5:$C$31,0),MATCH(Allocation!K$5,Allocators!$B$5:$L$5,0))*$E55</f>
        <v>45882.550605795783</v>
      </c>
      <c r="L55" s="204">
        <f>INDEX(Allocators!$B$5:$L$31,MATCH(Allocation!$D55,Allocators!$C$5:$C$31,0),MATCH(Allocation!L$5,Allocators!$B$5:$L$5,0))*$E55</f>
        <v>5511.0140872917091</v>
      </c>
      <c r="M55" s="205">
        <f>INDEX(Allocators!$B$5:$L$31,MATCH(Allocation!$D55,Allocators!$C$5:$C$31,0),MATCH(Allocation!M$5,Allocators!$B$5:$L$5,0))*$E55</f>
        <v>142629.89201531757</v>
      </c>
      <c r="Q55" s="191"/>
    </row>
    <row r="56" spans="2:17" x14ac:dyDescent="0.35">
      <c r="B56" s="201"/>
      <c r="C56" s="202" t="str">
        <f ca="1">OFFSET(Classification!$D$5,0,ROW()-ROW($C$54))</f>
        <v>Delivery Demand excl. R6</v>
      </c>
      <c r="D56" s="203" t="str">
        <f>D8</f>
        <v>AvgCp-NCPxR6</v>
      </c>
      <c r="E56" s="204">
        <f>Classification!F63</f>
        <v>353378.43492789974</v>
      </c>
      <c r="F56" s="204">
        <f>INDEX(Allocators!$B$5:$L$31,MATCH(Allocation!$D56,Allocators!$C$5:$C$31,0),MATCH(Allocation!F$5,Allocators!$B$5:$L$5,0))*$E56</f>
        <v>165413.27886358206</v>
      </c>
      <c r="G56" s="204">
        <f>INDEX(Allocators!$B$5:$L$31,MATCH(Allocation!$D56,Allocators!$C$5:$C$31,0),MATCH(Allocation!G$5,Allocators!$B$5:$L$5,0))*$E56</f>
        <v>52441.635231165092</v>
      </c>
      <c r="H56" s="204">
        <f>INDEX(Allocators!$B$5:$L$31,MATCH(Allocation!$D56,Allocators!$C$5:$C$31,0),MATCH(Allocation!H$5,Allocators!$B$5:$L$5,0))*$E56</f>
        <v>16788.934326952956</v>
      </c>
      <c r="I56" s="204">
        <f>INDEX(Allocators!$B$5:$L$31,MATCH(Allocation!$D56,Allocators!$C$5:$C$31,0),MATCH(Allocation!I$5,Allocators!$B$5:$L$5,0))*$E56</f>
        <v>9766.0130807534806</v>
      </c>
      <c r="J56" s="204">
        <f>INDEX(Allocators!$B$5:$L$31,MATCH(Allocation!$D56,Allocators!$C$5:$C$31,0),MATCH(Allocation!J$5,Allocators!$B$5:$L$5,0))*$E56</f>
        <v>47338.894200602314</v>
      </c>
      <c r="K56" s="204">
        <f>INDEX(Allocators!$B$5:$L$31,MATCH(Allocation!$D56,Allocators!$C$5:$C$31,0),MATCH(Allocation!K$5,Allocators!$B$5:$L$5,0))*$E56</f>
        <v>55021.030215349012</v>
      </c>
      <c r="L56" s="204">
        <f>INDEX(Allocators!$B$5:$L$31,MATCH(Allocation!$D56,Allocators!$C$5:$C$31,0),MATCH(Allocation!L$5,Allocators!$B$5:$L$5,0))*$E56</f>
        <v>6608.649009494884</v>
      </c>
      <c r="M56" s="205">
        <f>INDEX(Allocators!$B$5:$L$31,MATCH(Allocation!$D56,Allocators!$C$5:$C$31,0),MATCH(Allocation!M$5,Allocators!$B$5:$L$5,0))*$E56</f>
        <v>0</v>
      </c>
      <c r="Q56" s="191"/>
    </row>
    <row r="57" spans="2:17" x14ac:dyDescent="0.35">
      <c r="B57" s="201"/>
      <c r="C57" s="202" t="str">
        <f ca="1">OFFSET(Classification!$D$5,0,ROW()-ROW($C$54))</f>
        <v>Weighted Customer Services</v>
      </c>
      <c r="D57" s="203" t="str">
        <f>D9</f>
        <v>WCSxR6</v>
      </c>
      <c r="E57" s="204">
        <f>Classification!G63</f>
        <v>399640.89795606647</v>
      </c>
      <c r="F57" s="204">
        <f>INDEX(Allocators!$B$5:$L$31,MATCH(Allocation!$D57,Allocators!$C$5:$C$31,0),MATCH(Allocation!F$5,Allocators!$B$5:$L$5,0))*$E57</f>
        <v>343469.01565274288</v>
      </c>
      <c r="G57" s="204">
        <f>INDEX(Allocators!$B$5:$L$31,MATCH(Allocation!$D57,Allocators!$C$5:$C$31,0),MATCH(Allocation!G$5,Allocators!$B$5:$L$5,0))*$E57</f>
        <v>37114.953678963277</v>
      </c>
      <c r="H57" s="204">
        <f>INDEX(Allocators!$B$5:$L$31,MATCH(Allocation!$D57,Allocators!$C$5:$C$31,0),MATCH(Allocation!H$5,Allocators!$B$5:$L$5,0))*$E57</f>
        <v>7035.2785300919868</v>
      </c>
      <c r="I57" s="204">
        <f>INDEX(Allocators!$B$5:$L$31,MATCH(Allocation!$D57,Allocators!$C$5:$C$31,0),MATCH(Allocation!I$5,Allocators!$B$5:$L$5,0))*$E57</f>
        <v>5540.1939919570204</v>
      </c>
      <c r="J57" s="204">
        <f>INDEX(Allocators!$B$5:$L$31,MATCH(Allocation!$D57,Allocators!$C$5:$C$31,0),MATCH(Allocation!J$5,Allocators!$B$5:$L$5,0))*$E57</f>
        <v>580.21689345710115</v>
      </c>
      <c r="K57" s="204">
        <f>INDEX(Allocators!$B$5:$L$31,MATCH(Allocation!$D57,Allocators!$C$5:$C$31,0),MATCH(Allocation!K$5,Allocators!$B$5:$L$5,0))*$E57</f>
        <v>5266.6888124806001</v>
      </c>
      <c r="L57" s="204">
        <f>INDEX(Allocators!$B$5:$L$31,MATCH(Allocation!$D57,Allocators!$C$5:$C$31,0),MATCH(Allocation!L$5,Allocators!$B$5:$L$5,0))*$E57</f>
        <v>634.55039637362052</v>
      </c>
      <c r="M57" s="205">
        <f>INDEX(Allocators!$B$5:$L$31,MATCH(Allocation!$D57,Allocators!$C$5:$C$31,0),MATCH(Allocation!M$5,Allocators!$B$5:$L$5,0))*$E57</f>
        <v>0</v>
      </c>
      <c r="Q57" s="191"/>
    </row>
    <row r="58" spans="2:17" x14ac:dyDescent="0.35">
      <c r="B58" s="201"/>
      <c r="C58" s="202" t="str">
        <f ca="1">OFFSET(Classification!$D$5,0,ROW()-ROW($C$54))</f>
        <v>Weighted Customer Meters</v>
      </c>
      <c r="D58" s="203" t="s">
        <v>88</v>
      </c>
      <c r="E58" s="204">
        <f>Classification!H63</f>
        <v>733010.56823743461</v>
      </c>
      <c r="F58" s="204">
        <f>INDEX(Allocators!$B$5:$L$31,MATCH(Allocation!$D58,Allocators!$C$5:$C$31,0),MATCH(Allocation!F$5,Allocators!$B$5:$L$5,0))*$E58</f>
        <v>528025.60658235883</v>
      </c>
      <c r="G58" s="204">
        <f>INDEX(Allocators!$B$5:$L$31,MATCH(Allocation!$D58,Allocators!$C$5:$C$31,0),MATCH(Allocation!G$5,Allocators!$B$5:$L$5,0))*$E58</f>
        <v>126212.88217509678</v>
      </c>
      <c r="H58" s="204">
        <f>INDEX(Allocators!$B$5:$L$31,MATCH(Allocation!$D58,Allocators!$C$5:$C$31,0),MATCH(Allocation!H$5,Allocators!$B$5:$L$5,0))*$E58</f>
        <v>26562.749767896814</v>
      </c>
      <c r="I58" s="204">
        <f>INDEX(Allocators!$B$5:$L$31,MATCH(Allocation!$D58,Allocators!$C$5:$C$31,0),MATCH(Allocation!I$5,Allocators!$B$5:$L$5,0))*$E58</f>
        <v>21434.27650128282</v>
      </c>
      <c r="J58" s="204">
        <f>INDEX(Allocators!$B$5:$L$31,MATCH(Allocation!$D58,Allocators!$C$5:$C$31,0),MATCH(Allocation!J$5,Allocators!$B$5:$L$5,0))*$E58</f>
        <v>2762.0947345581562</v>
      </c>
      <c r="K58" s="204">
        <f>INDEX(Allocators!$B$5:$L$31,MATCH(Allocation!$D58,Allocators!$C$5:$C$31,0),MATCH(Allocation!K$5,Allocators!$B$5:$L$5,0))*$E58</f>
        <v>25250.863741682948</v>
      </c>
      <c r="L58" s="204">
        <f>INDEX(Allocators!$B$5:$L$31,MATCH(Allocation!$D58,Allocators!$C$5:$C$31,0),MATCH(Allocation!L$5,Allocators!$B$5:$L$5,0))*$E58</f>
        <v>2209.6757876465249</v>
      </c>
      <c r="M58" s="205">
        <f>INDEX(Allocators!$B$5:$L$31,MATCH(Allocation!$D58,Allocators!$C$5:$C$31,0),MATCH(Allocation!M$5,Allocators!$B$5:$L$5,0))*$E58</f>
        <v>552.41894691163122</v>
      </c>
      <c r="Q58" s="191"/>
    </row>
    <row r="59" spans="2:17" x14ac:dyDescent="0.35">
      <c r="B59" s="201"/>
      <c r="C59" s="202" t="str">
        <f ca="1">OFFSET(Classification!$D$5,0,ROW()-ROW($C$54)+2)</f>
        <v>Weighted Customer Billing</v>
      </c>
      <c r="D59" s="203" t="str">
        <f>D13</f>
        <v>WCB</v>
      </c>
      <c r="E59" s="204">
        <f>Classification!K63</f>
        <v>574164.82166329992</v>
      </c>
      <c r="F59" s="204">
        <f>INDEX(Allocators!$B$5:$L$31,MATCH(Allocation!$D59,Allocators!$C$5:$C$31,0),MATCH(Allocation!F$5,Allocators!$B$5:$L$5,0))*$E59</f>
        <v>527646.10660341277</v>
      </c>
      <c r="G59" s="204">
        <f>INDEX(Allocators!$B$5:$L$31,MATCH(Allocation!$D59,Allocators!$C$5:$C$31,0),MATCH(Allocation!G$5,Allocators!$B$5:$L$5,0))*$E59</f>
        <v>32502.735737733714</v>
      </c>
      <c r="H59" s="204">
        <f>INDEX(Allocators!$B$5:$L$31,MATCH(Allocation!$D59,Allocators!$C$5:$C$31,0),MATCH(Allocation!H$5,Allocators!$B$5:$L$5,0))*$E59</f>
        <v>4462.2399911125949</v>
      </c>
      <c r="I59" s="204">
        <f>INDEX(Allocators!$B$5:$L$31,MATCH(Allocation!$D59,Allocators!$C$5:$C$31,0),MATCH(Allocation!I$5,Allocators!$B$5:$L$5,0))*$E59</f>
        <v>2867.1554181479237</v>
      </c>
      <c r="J59" s="204">
        <f>INDEX(Allocators!$B$5:$L$31,MATCH(Allocation!$D59,Allocators!$C$5:$C$31,0),MATCH(Allocation!J$5,Allocators!$B$5:$L$5,0))*$E59</f>
        <v>2120.6214224782698</v>
      </c>
      <c r="K59" s="204">
        <f>INDEX(Allocators!$B$5:$L$31,MATCH(Allocation!$D59,Allocators!$C$5:$C$31,0),MATCH(Allocation!K$5,Allocators!$B$5:$L$5,0))*$E59</f>
        <v>2365.9127501570624</v>
      </c>
      <c r="L59" s="204">
        <f>INDEX(Allocators!$B$5:$L$31,MATCH(Allocation!$D59,Allocators!$C$5:$C$31,0),MATCH(Allocation!L$5,Allocators!$B$5:$L$5,0))*$E59</f>
        <v>1736.2112968723093</v>
      </c>
      <c r="M59" s="205">
        <f>INDEX(Allocators!$B$5:$L$31,MATCH(Allocation!$D59,Allocators!$C$5:$C$31,0),MATCH(Allocation!M$5,Allocators!$B$5:$L$5,0))*$E59</f>
        <v>463.83844338534749</v>
      </c>
      <c r="Q59" s="191"/>
    </row>
    <row r="60" spans="2:17" x14ac:dyDescent="0.35">
      <c r="B60" s="201"/>
      <c r="C60" s="202" t="str">
        <f ca="1">OFFSET(Classification!$D$5,0,ROW()-ROW($C$54)+2)</f>
        <v>Unweighted Customer</v>
      </c>
      <c r="D60" s="203" t="str">
        <f>D14</f>
        <v>UC</v>
      </c>
      <c r="E60" s="204">
        <f>Classification!L63</f>
        <v>259968.98656823728</v>
      </c>
      <c r="F60" s="204">
        <f>INDEX(Allocators!$B$5:$L$31,MATCH(Allocation!$D60,Allocators!$C$5:$C$31,0),MATCH(Allocation!F$5,Allocators!$B$5:$L$5,0))*$E60</f>
        <v>240461.89795756413</v>
      </c>
      <c r="G60" s="204">
        <f>INDEX(Allocators!$B$5:$L$31,MATCH(Allocation!$D60,Allocators!$C$5:$C$31,0),MATCH(Allocation!G$5,Allocators!$B$5:$L$5,0))*$E60</f>
        <v>14812.332407074842</v>
      </c>
      <c r="H60" s="204">
        <f>INDEX(Allocators!$B$5:$L$31,MATCH(Allocation!$D60,Allocators!$C$5:$C$31,0),MATCH(Allocation!H$5,Allocators!$B$5:$L$5,0))*$E60</f>
        <v>2033.5574999543426</v>
      </c>
      <c r="I60" s="204">
        <f>INDEX(Allocators!$B$5:$L$31,MATCH(Allocation!$D60,Allocators!$C$5:$C$31,0),MATCH(Allocation!I$5,Allocators!$B$5:$L$5,0))*$E60</f>
        <v>1255.282407379224</v>
      </c>
      <c r="J60" s="204">
        <f>INDEX(Allocators!$B$5:$L$31,MATCH(Allocation!$D60,Allocators!$C$5:$C$31,0),MATCH(Allocation!J$5,Allocators!$B$5:$L$5,0))*$E60</f>
        <v>125.52824073792239</v>
      </c>
      <c r="K60" s="204">
        <f>INDEX(Allocators!$B$5:$L$31,MATCH(Allocation!$D60,Allocators!$C$5:$C$31,0),MATCH(Allocation!K$5,Allocators!$B$5:$L$5,0))*$E60</f>
        <v>1154.8598147888858</v>
      </c>
      <c r="L60" s="204">
        <f>INDEX(Allocators!$B$5:$L$31,MATCH(Allocation!$D60,Allocators!$C$5:$C$31,0),MATCH(Allocation!L$5,Allocators!$B$5:$L$5,0))*$E60</f>
        <v>100.42259259033791</v>
      </c>
      <c r="M60" s="205">
        <f>INDEX(Allocators!$B$5:$L$31,MATCH(Allocation!$D60,Allocators!$C$5:$C$31,0),MATCH(Allocation!M$5,Allocators!$B$5:$L$5,0))*$E60</f>
        <v>25.105648147584478</v>
      </c>
      <c r="Q60" s="191"/>
    </row>
    <row r="61" spans="2:17" x14ac:dyDescent="0.35">
      <c r="B61" s="201"/>
      <c r="C61" s="202" t="str">
        <f ca="1">OFFSET(Classification!$D$5,0,ROW()-ROW($C$54)+2)</f>
        <v>Unweighted Customer Excl. R6</v>
      </c>
      <c r="D61" s="203" t="s">
        <v>221</v>
      </c>
      <c r="E61" s="204">
        <f>Classification!M63</f>
        <v>166206.72683501561</v>
      </c>
      <c r="F61" s="204">
        <f>INDEX(Allocators!$B$5:$L$31,MATCH(Allocation!$D61,Allocators!$C$5:$C$31,0),MATCH(Allocation!F$5,Allocators!$B$5:$L$5,0))*$E61</f>
        <v>153750.05115180407</v>
      </c>
      <c r="G61" s="204">
        <f>INDEX(Allocators!$B$5:$L$31,MATCH(Allocation!$D61,Allocators!$C$5:$C$31,0),MATCH(Allocation!G$5,Allocators!$B$5:$L$5,0))*$E61</f>
        <v>9470.9260993489679</v>
      </c>
      <c r="H61" s="204">
        <f>INDEX(Allocators!$B$5:$L$31,MATCH(Allocation!$D61,Allocators!$C$5:$C$31,0),MATCH(Allocation!H$5,Allocators!$B$5:$L$5,0))*$E61</f>
        <v>1300.2457865207905</v>
      </c>
      <c r="I61" s="204">
        <f>INDEX(Allocators!$B$5:$L$31,MATCH(Allocation!$D61,Allocators!$C$5:$C$31,0),MATCH(Allocation!I$5,Allocators!$B$5:$L$5,0))*$E61</f>
        <v>802.62085587703109</v>
      </c>
      <c r="J61" s="204">
        <f>INDEX(Allocators!$B$5:$L$31,MATCH(Allocation!$D61,Allocators!$C$5:$C$31,0),MATCH(Allocation!J$5,Allocators!$B$5:$L$5,0))*$E61</f>
        <v>80.262085587703112</v>
      </c>
      <c r="K61" s="204">
        <f>INDEX(Allocators!$B$5:$L$31,MATCH(Allocation!$D61,Allocators!$C$5:$C$31,0),MATCH(Allocation!K$5,Allocators!$B$5:$L$5,0))*$E61</f>
        <v>738.41118740686852</v>
      </c>
      <c r="L61" s="204">
        <f>INDEX(Allocators!$B$5:$L$31,MATCH(Allocation!$D61,Allocators!$C$5:$C$31,0),MATCH(Allocation!L$5,Allocators!$B$5:$L$5,0))*$E61</f>
        <v>64.209668470162484</v>
      </c>
      <c r="M61" s="205">
        <f>INDEX(Allocators!$B$5:$L$31,MATCH(Allocation!$D61,Allocators!$C$5:$C$31,0),MATCH(Allocation!M$5,Allocators!$B$5:$L$5,0))*$E61</f>
        <v>0</v>
      </c>
      <c r="Q61" s="191"/>
    </row>
    <row r="62" spans="2:17" x14ac:dyDescent="0.35">
      <c r="B62" s="201"/>
      <c r="C62" s="202" t="str">
        <f ca="1">OFFSET(Classification!$D$5,0,ROW()-ROW($C$54)+2)</f>
        <v>Bad Debt &amp; Collection</v>
      </c>
      <c r="D62" s="203" t="str">
        <f>D16</f>
        <v>BDCxR6</v>
      </c>
      <c r="E62" s="204">
        <f>Classification!N63</f>
        <v>103023.43798913423</v>
      </c>
      <c r="F62" s="204">
        <f>INDEX(Allocators!$B$5:$L$31,MATCH(Allocation!$D62,Allocators!$C$5:$C$31,0),MATCH(Allocation!F$5,Allocators!$B$5:$L$5,0))*$E62</f>
        <v>48677.20715113308</v>
      </c>
      <c r="G62" s="204">
        <f>INDEX(Allocators!$B$5:$L$31,MATCH(Allocation!$D62,Allocators!$C$5:$C$31,0),MATCH(Allocation!G$5,Allocators!$B$5:$L$5,0))*$E62</f>
        <v>39954.864485405225</v>
      </c>
      <c r="H62" s="204">
        <f>INDEX(Allocators!$B$5:$L$31,MATCH(Allocation!$D62,Allocators!$C$5:$C$31,0),MATCH(Allocation!H$5,Allocators!$B$5:$L$5,0))*$E62</f>
        <v>14239.502719353859</v>
      </c>
      <c r="I62" s="204">
        <f>INDEX(Allocators!$B$5:$L$31,MATCH(Allocation!$D62,Allocators!$C$5:$C$31,0),MATCH(Allocation!I$5,Allocators!$B$5:$L$5,0))*$E62</f>
        <v>151.86363324206494</v>
      </c>
      <c r="J62" s="204">
        <f>INDEX(Allocators!$B$5:$L$31,MATCH(Allocation!$D62,Allocators!$C$5:$C$31,0),MATCH(Allocation!J$5,Allocators!$B$5:$L$5,0))*$E62</f>
        <v>0</v>
      </c>
      <c r="K62" s="204">
        <f>INDEX(Allocators!$B$5:$L$31,MATCH(Allocation!$D62,Allocators!$C$5:$C$31,0),MATCH(Allocation!K$5,Allocators!$B$5:$L$5,0))*$E62</f>
        <v>0</v>
      </c>
      <c r="L62" s="204">
        <f>INDEX(Allocators!$B$5:$L$31,MATCH(Allocation!$D62,Allocators!$C$5:$C$31,0),MATCH(Allocation!L$5,Allocators!$B$5:$L$5,0))*$E62</f>
        <v>0</v>
      </c>
      <c r="M62" s="205">
        <f>INDEX(Allocators!$B$5:$L$31,MATCH(Allocation!$D62,Allocators!$C$5:$C$31,0),MATCH(Allocation!M$5,Allocators!$B$5:$L$5,0))*$E62</f>
        <v>0</v>
      </c>
      <c r="Q62" s="191"/>
    </row>
    <row r="63" spans="2:17" x14ac:dyDescent="0.35">
      <c r="B63" s="201"/>
      <c r="C63" s="202" t="str">
        <f ca="1">OFFSET(Classification!$D$5,0,ROW()-ROW($C$54)+2)</f>
        <v>Composite</v>
      </c>
      <c r="D63" s="203" t="s">
        <v>97</v>
      </c>
      <c r="E63" s="204">
        <f>Classification!O63</f>
        <v>1485809.6972697319</v>
      </c>
      <c r="F63" s="204">
        <f>INDEX(Allocators!$B$5:$L$31,MATCH(Allocation!$D63,Allocators!$C$5:$C$31,0),MATCH(Allocation!F$5,Allocators!$B$5:$L$5,0))*$E63</f>
        <v>983600.87431603426</v>
      </c>
      <c r="G63" s="204">
        <f>INDEX(Allocators!$B$5:$L$31,MATCH(Allocation!$D63,Allocators!$C$5:$C$31,0),MATCH(Allocation!G$5,Allocators!$B$5:$L$5,0))*$E63</f>
        <v>168247.164734124</v>
      </c>
      <c r="H63" s="204">
        <f>INDEX(Allocators!$B$5:$L$31,MATCH(Allocation!$D63,Allocators!$C$5:$C$31,0),MATCH(Allocation!H$5,Allocators!$B$5:$L$5,0))*$E63</f>
        <v>41577.363045022365</v>
      </c>
      <c r="I63" s="204">
        <f>INDEX(Allocators!$B$5:$L$31,MATCH(Allocation!$D63,Allocators!$C$5:$C$31,0),MATCH(Allocation!I$5,Allocators!$B$5:$L$5,0))*$E63</f>
        <v>22363.625796251403</v>
      </c>
      <c r="J63" s="204">
        <f>INDEX(Allocators!$B$5:$L$31,MATCH(Allocation!$D63,Allocators!$C$5:$C$31,0),MATCH(Allocation!J$5,Allocators!$B$5:$L$5,0))*$E63</f>
        <v>50483.922646685569</v>
      </c>
      <c r="K63" s="204">
        <f>INDEX(Allocators!$B$5:$L$31,MATCH(Allocation!$D63,Allocators!$C$5:$C$31,0),MATCH(Allocation!K$5,Allocators!$B$5:$L$5,0))*$E63</f>
        <v>60145.450235717937</v>
      </c>
      <c r="L63" s="204">
        <f>INDEX(Allocators!$B$5:$L$31,MATCH(Allocation!$D63,Allocators!$C$5:$C$31,0),MATCH(Allocation!L$5,Allocators!$B$5:$L$5,0))*$E63</f>
        <v>7489.5273877133395</v>
      </c>
      <c r="M63" s="205">
        <f>INDEX(Allocators!$B$5:$L$31,MATCH(Allocation!$D63,Allocators!$C$5:$C$31,0),MATCH(Allocation!M$5,Allocators!$B$5:$L$5,0))*$E63</f>
        <v>151901.76910818284</v>
      </c>
      <c r="Q63" s="191"/>
    </row>
    <row r="64" spans="2:17" x14ac:dyDescent="0.35">
      <c r="B64" s="201"/>
      <c r="C64" s="202" t="str">
        <f ca="1">OFFSET(Classification!$D$5,0,ROW()-ROW($C$54)+2)</f>
        <v>Direct Assignment to IGPC</v>
      </c>
      <c r="D64" s="203" t="str">
        <f>D18</f>
        <v>IGPC</v>
      </c>
      <c r="E64" s="204">
        <f>Classification!P63</f>
        <v>199000</v>
      </c>
      <c r="F64" s="204">
        <f>INDEX(Allocators!$B$5:$L$31,MATCH(Allocation!$D64,Allocators!$C$5:$C$31,0),MATCH(Allocation!F$5,Allocators!$B$5:$L$5,0))*$E64</f>
        <v>0</v>
      </c>
      <c r="G64" s="204">
        <f>INDEX(Allocators!$B$5:$L$31,MATCH(Allocation!$D64,Allocators!$C$5:$C$31,0),MATCH(Allocation!G$5,Allocators!$B$5:$L$5,0))*$E64</f>
        <v>0</v>
      </c>
      <c r="H64" s="204">
        <f>INDEX(Allocators!$B$5:$L$31,MATCH(Allocation!$D64,Allocators!$C$5:$C$31,0),MATCH(Allocation!H$5,Allocators!$B$5:$L$5,0))*$E64</f>
        <v>0</v>
      </c>
      <c r="I64" s="204">
        <f>INDEX(Allocators!$B$5:$L$31,MATCH(Allocation!$D64,Allocators!$C$5:$C$31,0),MATCH(Allocation!I$5,Allocators!$B$5:$L$5,0))*$E64</f>
        <v>0</v>
      </c>
      <c r="J64" s="204">
        <f>INDEX(Allocators!$B$5:$L$31,MATCH(Allocation!$D64,Allocators!$C$5:$C$31,0),MATCH(Allocation!J$5,Allocators!$B$5:$L$5,0))*$E64</f>
        <v>0</v>
      </c>
      <c r="K64" s="204">
        <f>INDEX(Allocators!$B$5:$L$31,MATCH(Allocation!$D64,Allocators!$C$5:$C$31,0),MATCH(Allocation!K$5,Allocators!$B$5:$L$5,0))*$E64</f>
        <v>0</v>
      </c>
      <c r="L64" s="204">
        <f>INDEX(Allocators!$B$5:$L$31,MATCH(Allocation!$D64,Allocators!$C$5:$C$31,0),MATCH(Allocation!L$5,Allocators!$B$5:$L$5,0))*$E64</f>
        <v>0</v>
      </c>
      <c r="M64" s="205">
        <f>INDEX(Allocators!$B$5:$L$31,MATCH(Allocation!$D64,Allocators!$C$5:$C$31,0),MATCH(Allocation!M$5,Allocators!$B$5:$L$5,0))*$E64</f>
        <v>199000</v>
      </c>
      <c r="Q64" s="191"/>
    </row>
    <row r="65" spans="2:17" x14ac:dyDescent="0.35">
      <c r="B65" s="201"/>
      <c r="C65" s="202" t="str">
        <f ca="1">OFFSET(Classification!$D$5,0,ROW()-ROW($C$54)+2)</f>
        <v>Distribution Revenues</v>
      </c>
      <c r="D65" s="203" t="s">
        <v>94</v>
      </c>
      <c r="E65" s="204">
        <f>Classification!Q63</f>
        <v>10055</v>
      </c>
      <c r="F65" s="204">
        <f>INDEX(Allocators!$B$5:$L$31,MATCH(Allocation!$D65,Allocators!$C$5:$C$31,0),MATCH(Allocation!F$5,Allocators!$B$5:$L$5,0))*$E65</f>
        <v>6382.1759149121854</v>
      </c>
      <c r="G65" s="204">
        <f>INDEX(Allocators!$B$5:$L$31,MATCH(Allocation!$D65,Allocators!$C$5:$C$31,0),MATCH(Allocation!G$5,Allocators!$B$5:$L$5,0))*$E65</f>
        <v>1161.5674643374746</v>
      </c>
      <c r="H65" s="204">
        <f>INDEX(Allocators!$B$5:$L$31,MATCH(Allocation!$D65,Allocators!$C$5:$C$31,0),MATCH(Allocation!H$5,Allocators!$B$5:$L$5,0))*$E65</f>
        <v>430.402691298202</v>
      </c>
      <c r="I65" s="204">
        <f>INDEX(Allocators!$B$5:$L$31,MATCH(Allocation!$D65,Allocators!$C$5:$C$31,0),MATCH(Allocation!I$5,Allocators!$B$5:$L$5,0))*$E65</f>
        <v>140.63737625637836</v>
      </c>
      <c r="J65" s="204">
        <f>INDEX(Allocators!$B$5:$L$31,MATCH(Allocation!$D65,Allocators!$C$5:$C$31,0),MATCH(Allocation!J$5,Allocators!$B$5:$L$5,0))*$E65</f>
        <v>444.54510295805966</v>
      </c>
      <c r="K65" s="204">
        <f>INDEX(Allocators!$B$5:$L$31,MATCH(Allocation!$D65,Allocators!$C$5:$C$31,0),MATCH(Allocation!K$5,Allocators!$B$5:$L$5,0))*$E65</f>
        <v>401.5275159055949</v>
      </c>
      <c r="L65" s="204">
        <f>INDEX(Allocators!$B$5:$L$31,MATCH(Allocation!$D65,Allocators!$C$5:$C$31,0),MATCH(Allocation!L$5,Allocators!$B$5:$L$5,0))*$E65</f>
        <v>80.66699506684148</v>
      </c>
      <c r="M65" s="205">
        <f>INDEX(Allocators!$B$5:$L$31,MATCH(Allocation!$D65,Allocators!$C$5:$C$31,0),MATCH(Allocation!M$5,Allocators!$B$5:$L$5,0))*$E65</f>
        <v>1013.476939265264</v>
      </c>
      <c r="Q65" s="191"/>
    </row>
    <row r="66" spans="2:17" ht="15" thickBot="1" x14ac:dyDescent="0.4">
      <c r="B66" s="206"/>
      <c r="C66" s="217" t="s">
        <v>20</v>
      </c>
      <c r="D66" s="207"/>
      <c r="E66" s="208">
        <f>SUM(E54:E65)</f>
        <v>4847522.4054022441</v>
      </c>
      <c r="F66" s="208">
        <f t="shared" ref="F66:M66" si="10">SUM(F54:F65)</f>
        <v>3209043.0456752037</v>
      </c>
      <c r="G66" s="208">
        <f t="shared" si="10"/>
        <v>548914.10534791311</v>
      </c>
      <c r="H66" s="208">
        <f t="shared" si="10"/>
        <v>135648.05727721707</v>
      </c>
      <c r="I66" s="208">
        <f t="shared" si="10"/>
        <v>72962.356695185837</v>
      </c>
      <c r="J66" s="208">
        <f t="shared" si="10"/>
        <v>164706.11720470927</v>
      </c>
      <c r="K66" s="208">
        <f t="shared" si="10"/>
        <v>196227.29487928469</v>
      </c>
      <c r="L66" s="208">
        <f t="shared" si="10"/>
        <v>24434.927221519727</v>
      </c>
      <c r="M66" s="209">
        <f t="shared" si="10"/>
        <v>495586.50110121025</v>
      </c>
      <c r="O66" s="195">
        <f>'OM&amp;A Functionalization'!C73</f>
        <v>4847522.4053993253</v>
      </c>
      <c r="P66" s="196">
        <f>O66-E66</f>
        <v>-2.9187649488449097E-6</v>
      </c>
      <c r="Q66" s="191"/>
    </row>
    <row r="67" spans="2:17" ht="15" thickBot="1" x14ac:dyDescent="0.4">
      <c r="E67" s="191"/>
      <c r="F67" s="191"/>
      <c r="G67" s="191"/>
      <c r="H67" s="191"/>
      <c r="I67" s="191"/>
      <c r="J67" s="191"/>
      <c r="K67" s="191"/>
      <c r="L67" s="191"/>
      <c r="M67" s="191"/>
    </row>
    <row r="68" spans="2:17" x14ac:dyDescent="0.35">
      <c r="B68" s="199" t="s">
        <v>100</v>
      </c>
      <c r="C68" s="200" t="str">
        <f>'Functionalized Trial Balance'!C47</f>
        <v>Late Payment Charge               </v>
      </c>
      <c r="D68" s="200" t="s">
        <v>123</v>
      </c>
      <c r="E68" s="211">
        <f>'Functionalized Trial Balance'!D47</f>
        <v>-36939.999999995998</v>
      </c>
      <c r="F68" s="211">
        <f>INDEX(Allocators!$B$5:$L$31,MATCH(Allocation!$D68,Allocators!$C$5:$C$31,0),MATCH(Allocation!F$5,Allocators!$B$5:$L$5,0))*$E68</f>
        <v>-17453.659742478296</v>
      </c>
      <c r="G68" s="211">
        <f>INDEX(Allocators!$B$5:$L$31,MATCH(Allocation!$D68,Allocators!$C$5:$C$31,0),MATCH(Allocation!G$5,Allocators!$B$5:$L$5,0))*$E68</f>
        <v>-14326.18366168652</v>
      </c>
      <c r="H68" s="211">
        <f>INDEX(Allocators!$B$5:$L$31,MATCH(Allocation!$D68,Allocators!$C$5:$C$31,0),MATCH(Allocation!H$5,Allocators!$B$5:$L$5,0))*$E68</f>
        <v>-5105.7044952077022</v>
      </c>
      <c r="I68" s="211">
        <f>INDEX(Allocators!$B$5:$L$31,MATCH(Allocation!$D68,Allocators!$C$5:$C$31,0),MATCH(Allocation!I$5,Allocators!$B$5:$L$5,0))*$E68</f>
        <v>-54.452100623480796</v>
      </c>
      <c r="J68" s="211">
        <f>INDEX(Allocators!$B$5:$L$31,MATCH(Allocation!$D68,Allocators!$C$5:$C$31,0),MATCH(Allocation!J$5,Allocators!$B$5:$L$5,0))*$E68</f>
        <v>0</v>
      </c>
      <c r="K68" s="211">
        <f>INDEX(Allocators!$B$5:$L$31,MATCH(Allocation!$D68,Allocators!$C$5:$C$31,0),MATCH(Allocation!K$5,Allocators!$B$5:$L$5,0))*$E68</f>
        <v>0</v>
      </c>
      <c r="L68" s="211">
        <f>INDEX(Allocators!$B$5:$L$31,MATCH(Allocation!$D68,Allocators!$C$5:$C$31,0),MATCH(Allocation!L$5,Allocators!$B$5:$L$5,0))*$E68</f>
        <v>0</v>
      </c>
      <c r="M68" s="212">
        <f>INDEX(Allocators!$B$5:$L$31,MATCH(Allocation!$D68,Allocators!$C$5:$C$31,0),MATCH(Allocation!M$5,Allocators!$B$5:$L$5,0))*$E68</f>
        <v>0</v>
      </c>
    </row>
    <row r="69" spans="2:17" x14ac:dyDescent="0.35">
      <c r="B69" s="201"/>
      <c r="C69" s="202" t="str">
        <f>'Functionalized Trial Balance'!C48</f>
        <v>Collection &amp; NSF Fees             </v>
      </c>
      <c r="D69" s="202" t="s">
        <v>123</v>
      </c>
      <c r="E69" s="204">
        <f>'Functionalized Trial Balance'!D48</f>
        <v>-2976</v>
      </c>
      <c r="F69" s="204">
        <f>INDEX(Allocators!$B$5:$L$31,MATCH(Allocation!$D69,Allocators!$C$5:$C$31,0),MATCH(Allocation!F$5,Allocators!$B$5:$L$5,0))*$E69</f>
        <v>-1406.120503346536</v>
      </c>
      <c r="G69" s="204">
        <f>INDEX(Allocators!$B$5:$L$31,MATCH(Allocation!$D69,Allocators!$C$5:$C$31,0),MATCH(Allocation!G$5,Allocators!$B$5:$L$5,0))*$E69</f>
        <v>-1154.1614124846699</v>
      </c>
      <c r="H69" s="204">
        <f>INDEX(Allocators!$B$5:$L$31,MATCH(Allocation!$D69,Allocators!$C$5:$C$31,0),MATCH(Allocation!H$5,Allocators!$B$5:$L$5,0))*$E69</f>
        <v>-411.33125548835318</v>
      </c>
      <c r="I69" s="204">
        <f>INDEX(Allocators!$B$5:$L$31,MATCH(Allocation!$D69,Allocators!$C$5:$C$31,0),MATCH(Allocation!I$5,Allocators!$B$5:$L$5,0))*$E69</f>
        <v>-4.3868286804411589</v>
      </c>
      <c r="J69" s="204">
        <f>INDEX(Allocators!$B$5:$L$31,MATCH(Allocation!$D69,Allocators!$C$5:$C$31,0),MATCH(Allocation!J$5,Allocators!$B$5:$L$5,0))*$E69</f>
        <v>0</v>
      </c>
      <c r="K69" s="204">
        <f>INDEX(Allocators!$B$5:$L$31,MATCH(Allocation!$D69,Allocators!$C$5:$C$31,0),MATCH(Allocation!K$5,Allocators!$B$5:$L$5,0))*$E69</f>
        <v>0</v>
      </c>
      <c r="L69" s="204">
        <f>INDEX(Allocators!$B$5:$L$31,MATCH(Allocation!$D69,Allocators!$C$5:$C$31,0),MATCH(Allocation!L$5,Allocators!$B$5:$L$5,0))*$E69</f>
        <v>0</v>
      </c>
      <c r="M69" s="205">
        <f>INDEX(Allocators!$B$5:$L$31,MATCH(Allocation!$D69,Allocators!$C$5:$C$31,0),MATCH(Allocation!M$5,Allocators!$B$5:$L$5,0))*$E69</f>
        <v>0</v>
      </c>
    </row>
    <row r="70" spans="2:17" x14ac:dyDescent="0.35">
      <c r="B70" s="201"/>
      <c r="C70" s="202" t="str">
        <f>'Functionalized Trial Balance'!C49</f>
        <v>Connection Fees                   </v>
      </c>
      <c r="D70" s="202" t="s">
        <v>218</v>
      </c>
      <c r="E70" s="204">
        <f>'Functionalized Trial Balance'!D49</f>
        <v>-37332</v>
      </c>
      <c r="F70" s="204">
        <f>INDEX(Allocators!$B$5:$L$31,MATCH(Allocation!$D70,Allocators!$C$5:$C$31,0),MATCH(Allocation!F$5,Allocators!$B$5:$L$5,0))*$E70</f>
        <v>-32084.767494836815</v>
      </c>
      <c r="G70" s="204">
        <f>INDEX(Allocators!$B$5:$L$31,MATCH(Allocation!$D70,Allocators!$C$5:$C$31,0),MATCH(Allocation!G$5,Allocators!$B$5:$L$5,0))*$E70</f>
        <v>-3467.0511897793222</v>
      </c>
      <c r="H70" s="204">
        <f>INDEX(Allocators!$B$5:$L$31,MATCH(Allocation!$D70,Allocators!$C$5:$C$31,0),MATCH(Allocation!H$5,Allocators!$B$5:$L$5,0))*$E70</f>
        <v>-657.19254317726723</v>
      </c>
      <c r="I70" s="204">
        <f>INDEX(Allocators!$B$5:$L$31,MATCH(Allocation!$D70,Allocators!$C$5:$C$31,0),MATCH(Allocation!I$5,Allocators!$B$5:$L$5,0))*$E70</f>
        <v>-517.5309212984414</v>
      </c>
      <c r="J70" s="204">
        <f>INDEX(Allocators!$B$5:$L$31,MATCH(Allocation!$D70,Allocators!$C$5:$C$31,0),MATCH(Allocation!J$5,Allocators!$B$5:$L$5,0))*$E70</f>
        <v>-54.200301263765326</v>
      </c>
      <c r="K70" s="204">
        <f>INDEX(Allocators!$B$5:$L$31,MATCH(Allocation!$D70,Allocators!$C$5:$C$31,0),MATCH(Allocation!K$5,Allocators!$B$5:$L$5,0))*$E70</f>
        <v>-491.98174599522656</v>
      </c>
      <c r="L70" s="204">
        <f>INDEX(Allocators!$B$5:$L$31,MATCH(Allocation!$D70,Allocators!$C$5:$C$31,0),MATCH(Allocation!L$5,Allocators!$B$5:$L$5,0))*$E70</f>
        <v>-59.275803649165546</v>
      </c>
      <c r="M70" s="205">
        <f>INDEX(Allocators!$B$5:$L$31,MATCH(Allocation!$D70,Allocators!$C$5:$C$31,0),MATCH(Allocation!M$5,Allocators!$B$5:$L$5,0))*$E70</f>
        <v>0</v>
      </c>
    </row>
    <row r="71" spans="2:17" x14ac:dyDescent="0.35">
      <c r="B71" s="201"/>
      <c r="C71" s="202" t="str">
        <f>'Functionalized Trial Balance'!C50</f>
        <v>Bank Interest</v>
      </c>
      <c r="D71" s="202" t="s">
        <v>96</v>
      </c>
      <c r="E71" s="204">
        <f>'Functionalized Trial Balance'!D50</f>
        <v>0</v>
      </c>
      <c r="F71" s="204">
        <f ca="1">INDEX(Allocators!$B$5:$L$31,MATCH(Allocation!$D71,Allocators!$C$5:$C$31,0),MATCH(Allocation!F$5,Allocators!$B$5:$L$5,0))*$E71</f>
        <v>0</v>
      </c>
      <c r="G71" s="204">
        <f ca="1">INDEX(Allocators!$B$5:$L$31,MATCH(Allocation!$D71,Allocators!$C$5:$C$31,0),MATCH(Allocation!G$5,Allocators!$B$5:$L$5,0))*$E71</f>
        <v>0</v>
      </c>
      <c r="H71" s="204">
        <f ca="1">INDEX(Allocators!$B$5:$L$31,MATCH(Allocation!$D71,Allocators!$C$5:$C$31,0),MATCH(Allocation!H$5,Allocators!$B$5:$L$5,0))*$E71</f>
        <v>0</v>
      </c>
      <c r="I71" s="204">
        <f ca="1">INDEX(Allocators!$B$5:$L$31,MATCH(Allocation!$D71,Allocators!$C$5:$C$31,0),MATCH(Allocation!I$5,Allocators!$B$5:$L$5,0))*$E71</f>
        <v>0</v>
      </c>
      <c r="J71" s="204">
        <f ca="1">INDEX(Allocators!$B$5:$L$31,MATCH(Allocation!$D71,Allocators!$C$5:$C$31,0),MATCH(Allocation!J$5,Allocators!$B$5:$L$5,0))*$E71</f>
        <v>0</v>
      </c>
      <c r="K71" s="204">
        <f ca="1">INDEX(Allocators!$B$5:$L$31,MATCH(Allocation!$D71,Allocators!$C$5:$C$31,0),MATCH(Allocation!K$5,Allocators!$B$5:$L$5,0))*$E71</f>
        <v>0</v>
      </c>
      <c r="L71" s="204">
        <f ca="1">INDEX(Allocators!$B$5:$L$31,MATCH(Allocation!$D71,Allocators!$C$5:$C$31,0),MATCH(Allocation!L$5,Allocators!$B$5:$L$5,0))*$E71</f>
        <v>0</v>
      </c>
      <c r="M71" s="205">
        <f ca="1">INDEX(Allocators!$B$5:$L$31,MATCH(Allocation!$D71,Allocators!$C$5:$C$31,0),MATCH(Allocation!M$5,Allocators!$B$5:$L$5,0))*$E71</f>
        <v>0</v>
      </c>
    </row>
    <row r="72" spans="2:17" x14ac:dyDescent="0.35">
      <c r="B72" s="201"/>
      <c r="C72" s="202" t="str">
        <f>'Functionalized Trial Balance'!C51</f>
        <v>Miscellaneous Revenue             </v>
      </c>
      <c r="D72" s="202" t="s">
        <v>242</v>
      </c>
      <c r="E72" s="204">
        <f>'Functionalized Trial Balance'!D51</f>
        <v>-31140</v>
      </c>
      <c r="F72" s="204">
        <f>INDEX(Allocators!$B$5:$L$31,MATCH(Allocation!$D72,Allocators!$C$5:$C$31,0),MATCH(Allocation!F$5,Allocators!$B$5:$L$5,0))*$E72</f>
        <v>-21980.915898279563</v>
      </c>
      <c r="G72" s="204">
        <f>INDEX(Allocators!$B$5:$L$31,MATCH(Allocation!$D72,Allocators!$C$5:$C$31,0),MATCH(Allocation!G$5,Allocators!$B$5:$L$5,0))*$E72</f>
        <v>-4000.5661210501412</v>
      </c>
      <c r="H72" s="204">
        <f>INDEX(Allocators!$B$5:$L$31,MATCH(Allocation!$D72,Allocators!$C$5:$C$31,0),MATCH(Allocation!H$5,Allocators!$B$5:$L$5,0))*$E72</f>
        <v>-1482.3542136646247</v>
      </c>
      <c r="I72" s="204">
        <f>INDEX(Allocators!$B$5:$L$31,MATCH(Allocation!$D72,Allocators!$C$5:$C$31,0),MATCH(Allocation!I$5,Allocators!$B$5:$L$5,0))*$E72</f>
        <v>-484.37059411401179</v>
      </c>
      <c r="J72" s="204">
        <f>INDEX(Allocators!$B$5:$L$31,MATCH(Allocation!$D72,Allocators!$C$5:$C$31,0),MATCH(Allocation!J$5,Allocators!$B$5:$L$5,0))*$E72</f>
        <v>-1531.0622351041211</v>
      </c>
      <c r="K72" s="204">
        <f>INDEX(Allocators!$B$5:$L$31,MATCH(Allocation!$D72,Allocators!$C$5:$C$31,0),MATCH(Allocation!K$5,Allocators!$B$5:$L$5,0))*$E72</f>
        <v>-1382.9049333071275</v>
      </c>
      <c r="L72" s="204">
        <f>INDEX(Allocators!$B$5:$L$31,MATCH(Allocation!$D72,Allocators!$C$5:$C$31,0),MATCH(Allocation!L$5,Allocators!$B$5:$L$5,0))*$E72</f>
        <v>-277.82600448041273</v>
      </c>
      <c r="M72" s="205">
        <f>INDEX(Allocators!$B$5:$L$31,MATCH(Allocation!$D72,Allocators!$C$5:$C$31,0),MATCH(Allocation!M$5,Allocators!$B$5:$L$5,0))*$E72</f>
        <v>0</v>
      </c>
    </row>
    <row r="73" spans="2:17" ht="15" thickBot="1" x14ac:dyDescent="0.4">
      <c r="B73" s="206"/>
      <c r="C73" s="217" t="s">
        <v>20</v>
      </c>
      <c r="D73" s="207"/>
      <c r="E73" s="208">
        <f>SUM(E68:E72)</f>
        <v>-108387.999999996</v>
      </c>
      <c r="F73" s="208">
        <f ca="1">SUM(F68:F72)</f>
        <v>-72925.463638941204</v>
      </c>
      <c r="G73" s="208">
        <f t="shared" ref="G73:M73" ca="1" si="11">SUM(G68:G72)</f>
        <v>-22947.962385000654</v>
      </c>
      <c r="H73" s="208">
        <f ca="1">SUM(H68:H72)</f>
        <v>-7656.5825075379471</v>
      </c>
      <c r="I73" s="208">
        <f t="shared" ca="1" si="11"/>
        <v>-1060.7404447163751</v>
      </c>
      <c r="J73" s="208">
        <f t="shared" ca="1" si="11"/>
        <v>-1585.2625363678865</v>
      </c>
      <c r="K73" s="208">
        <f t="shared" ca="1" si="11"/>
        <v>-1874.886679302354</v>
      </c>
      <c r="L73" s="208">
        <f t="shared" ca="1" si="11"/>
        <v>-337.10180812957827</v>
      </c>
      <c r="M73" s="209">
        <f t="shared" ca="1" si="11"/>
        <v>0</v>
      </c>
      <c r="O73" s="195">
        <f>SUM('Trial Balance'!E70:E74)</f>
        <v>-108387.999999996</v>
      </c>
      <c r="P73" s="196">
        <f>O73-E73</f>
        <v>0</v>
      </c>
    </row>
    <row r="75" spans="2:17" hidden="1" x14ac:dyDescent="0.35">
      <c r="C75" s="184" t="s">
        <v>258</v>
      </c>
      <c r="F75" s="185">
        <f ca="1">F39+F54</f>
        <v>90329.927428982439</v>
      </c>
      <c r="G75" s="185">
        <f t="shared" ref="G75:M75" ca="1" si="12">G39+G54</f>
        <v>28521.56763318161</v>
      </c>
      <c r="H75" s="185">
        <f t="shared" ca="1" si="12"/>
        <v>8848.6214180362404</v>
      </c>
      <c r="I75" s="185">
        <f t="shared" ca="1" si="12"/>
        <v>608.98819324689191</v>
      </c>
      <c r="J75" s="185">
        <f t="shared" ca="1" si="12"/>
        <v>26106.561022470734</v>
      </c>
      <c r="K75" s="185">
        <f t="shared" ca="1" si="12"/>
        <v>0</v>
      </c>
      <c r="L75" s="185">
        <f t="shared" ca="1" si="12"/>
        <v>0</v>
      </c>
      <c r="M75" s="185">
        <f t="shared" ca="1" si="12"/>
        <v>0</v>
      </c>
    </row>
    <row r="76" spans="2:17" hidden="1" x14ac:dyDescent="0.35">
      <c r="B76" s="184" t="s">
        <v>261</v>
      </c>
      <c r="C76" s="184" t="s">
        <v>118</v>
      </c>
      <c r="F76" s="185">
        <f ca="1">(F40+F41)+(F55+F56)</f>
        <v>437046.21802920452</v>
      </c>
      <c r="G76" s="185">
        <f t="shared" ref="G76:M76" ca="1" si="13">(G40+G41)+(G55+G56)</f>
        <v>138558.51538950301</v>
      </c>
      <c r="H76" s="185">
        <f t="shared" ca="1" si="13"/>
        <v>44358.834446337394</v>
      </c>
      <c r="I76" s="185">
        <f t="shared" ca="1" si="13"/>
        <v>25803.243315713935</v>
      </c>
      <c r="J76" s="185">
        <f t="shared" ca="1" si="13"/>
        <v>125076.32288167467</v>
      </c>
      <c r="K76" s="185">
        <f t="shared" ca="1" si="13"/>
        <v>145373.65641316166</v>
      </c>
      <c r="L76" s="185">
        <f t="shared" ca="1" si="13"/>
        <v>17461.022934344852</v>
      </c>
      <c r="M76" s="185">
        <f t="shared" ca="1" si="13"/>
        <v>153812.43381658042</v>
      </c>
    </row>
    <row r="77" spans="2:17" hidden="1" x14ac:dyDescent="0.35">
      <c r="C77" s="184" t="s">
        <v>257</v>
      </c>
      <c r="F77" s="185">
        <f ca="1">F42+F43+F44+F45+F46+F47+F48+F49+F57+F58+F59+F60+F61+F62+F65</f>
        <v>2418391.4918042598</v>
      </c>
      <c r="G77" s="185">
        <f t="shared" ref="G77:M77" ca="1" si="14">G42+G43+G44+G45+G46+G47+G48+G49+G57+G58+G59+G60+G61+G62+G65</f>
        <v>353580.88867298875</v>
      </c>
      <c r="H77" s="185">
        <f t="shared" ca="1" si="14"/>
        <v>75713.845927861912</v>
      </c>
      <c r="I77" s="185">
        <f t="shared" ca="1" si="14"/>
        <v>47077.775010800862</v>
      </c>
      <c r="J77" s="185">
        <f t="shared" ca="1" si="14"/>
        <v>13576.798146626723</v>
      </c>
      <c r="K77" s="185">
        <f t="shared" ca="1" si="14"/>
        <v>56705.676664422819</v>
      </c>
      <c r="L77" s="185">
        <f t="shared" ca="1" si="14"/>
        <v>7024.419581293173</v>
      </c>
      <c r="M77" s="185">
        <f t="shared" ca="1" si="14"/>
        <v>19271.170120895353</v>
      </c>
    </row>
    <row r="78" spans="2:17" hidden="1" x14ac:dyDescent="0.35">
      <c r="C78" s="184" t="s">
        <v>259</v>
      </c>
      <c r="F78" s="191">
        <f ca="1">F51+F64</f>
        <v>0</v>
      </c>
      <c r="G78" s="191">
        <f t="shared" ref="G78:M78" ca="1" si="15">G51+G64</f>
        <v>0</v>
      </c>
      <c r="H78" s="191">
        <f t="shared" ca="1" si="15"/>
        <v>0</v>
      </c>
      <c r="I78" s="191">
        <f t="shared" ca="1" si="15"/>
        <v>0</v>
      </c>
      <c r="J78" s="191">
        <f t="shared" ca="1" si="15"/>
        <v>0</v>
      </c>
      <c r="K78" s="191">
        <f t="shared" ca="1" si="15"/>
        <v>0</v>
      </c>
      <c r="L78" s="191">
        <f t="shared" ca="1" si="15"/>
        <v>0</v>
      </c>
      <c r="M78" s="191">
        <f t="shared" ca="1" si="15"/>
        <v>325749.90959116473</v>
      </c>
    </row>
    <row r="79" spans="2:17" hidden="1" x14ac:dyDescent="0.35"/>
    <row r="80" spans="2:17" hidden="1" x14ac:dyDescent="0.35">
      <c r="C80" s="184" t="s">
        <v>258</v>
      </c>
      <c r="F80" s="185">
        <f ca="1">+F37*(F6+(F7+F8)/2)/F19</f>
        <v>143157.74909235135</v>
      </c>
      <c r="G80" s="185">
        <f t="shared" ref="G80:M80" ca="1" si="16">+G37*(G6+(G7+G8)/2)/G19</f>
        <v>46124.9920243956</v>
      </c>
      <c r="H80" s="185">
        <f t="shared" ca="1" si="16"/>
        <v>15137.484500647539</v>
      </c>
      <c r="I80" s="185">
        <f t="shared" ca="1" si="16"/>
        <v>7177.6779548672548</v>
      </c>
      <c r="J80" s="185">
        <f t="shared" ca="1" si="16"/>
        <v>42289.34090956788</v>
      </c>
      <c r="K80" s="185">
        <f t="shared" ca="1" si="16"/>
        <v>39092.819348033438</v>
      </c>
      <c r="L80" s="185">
        <f t="shared" ca="1" si="16"/>
        <v>4898.2016643990892</v>
      </c>
      <c r="M80" s="185">
        <f t="shared" ca="1" si="16"/>
        <v>2009.8273001518569</v>
      </c>
    </row>
    <row r="81" spans="2:13" hidden="1" x14ac:dyDescent="0.35">
      <c r="B81" s="184" t="s">
        <v>260</v>
      </c>
      <c r="C81" s="184" t="s">
        <v>118</v>
      </c>
      <c r="F81" s="185">
        <f ca="1">+F37*((F7+F8)/2)/F19</f>
        <v>117690.9476161583</v>
      </c>
      <c r="G81" s="185">
        <f t="shared" ref="G81:M81" ca="1" si="17">+G37*((G7+G8)/2)/G19</f>
        <v>37947.031239446209</v>
      </c>
      <c r="H81" s="185">
        <f t="shared" ca="1" si="17"/>
        <v>12522.278545737005</v>
      </c>
      <c r="I81" s="185">
        <f t="shared" ca="1" si="17"/>
        <v>7004.5987521958796</v>
      </c>
      <c r="J81" s="185">
        <f t="shared" ca="1" si="17"/>
        <v>34705.346635782975</v>
      </c>
      <c r="K81" s="185">
        <f t="shared" ca="1" si="17"/>
        <v>39092.819348033438</v>
      </c>
      <c r="L81" s="185">
        <f t="shared" ca="1" si="17"/>
        <v>4898.2016643990892</v>
      </c>
      <c r="M81" s="185">
        <f t="shared" ca="1" si="17"/>
        <v>2009.8273001518569</v>
      </c>
    </row>
    <row r="82" spans="2:13" hidden="1" x14ac:dyDescent="0.35">
      <c r="C82" s="184" t="s">
        <v>257</v>
      </c>
      <c r="F82" s="185">
        <f ca="1">+F37*(F9+F10+F11+F12+F13+F14+F15+F16)/F19</f>
        <v>634393.74711066717</v>
      </c>
      <c r="G82" s="185">
        <f t="shared" ref="G82:M82" ca="1" si="18">+G37*(G9+G10+G11+G12+G13+G14+G15+G16)/G19</f>
        <v>86277.669057425068</v>
      </c>
      <c r="H82" s="185">
        <f t="shared" ca="1" si="18"/>
        <v>17112.411605969428</v>
      </c>
      <c r="I82" s="185">
        <f t="shared" ca="1" si="18"/>
        <v>12610.366947032857</v>
      </c>
      <c r="J82" s="185">
        <f t="shared" ca="1" si="18"/>
        <v>1543.2135526610925</v>
      </c>
      <c r="K82" s="185">
        <f t="shared" ca="1" si="18"/>
        <v>13412.445730668522</v>
      </c>
      <c r="L82" s="185">
        <f t="shared" ca="1" si="18"/>
        <v>1388.7453127051863</v>
      </c>
      <c r="M82" s="185">
        <f t="shared" ca="1" si="18"/>
        <v>7.1462110971783117</v>
      </c>
    </row>
    <row r="83" spans="2:13" hidden="1" x14ac:dyDescent="0.35">
      <c r="C83" s="184" t="s">
        <v>259</v>
      </c>
      <c r="F83" s="185">
        <f ca="1">+F37*(F18)/F19</f>
        <v>0</v>
      </c>
      <c r="G83" s="185">
        <f t="shared" ref="G83:M83" ca="1" si="19">+G37*(G18)/G19</f>
        <v>0</v>
      </c>
      <c r="H83" s="185">
        <f t="shared" ca="1" si="19"/>
        <v>0</v>
      </c>
      <c r="I83" s="185">
        <f t="shared" ca="1" si="19"/>
        <v>0</v>
      </c>
      <c r="J83" s="185">
        <f t="shared" ca="1" si="19"/>
        <v>0</v>
      </c>
      <c r="K83" s="185">
        <f t="shared" ca="1" si="19"/>
        <v>0</v>
      </c>
      <c r="L83" s="185">
        <f t="shared" ca="1" si="19"/>
        <v>0</v>
      </c>
      <c r="M83" s="185">
        <f t="shared" ca="1" si="19"/>
        <v>213075.84509069301</v>
      </c>
    </row>
    <row r="84" spans="2:13" hidden="1" x14ac:dyDescent="0.35">
      <c r="F84" s="185"/>
      <c r="G84" s="185"/>
      <c r="H84" s="185"/>
      <c r="I84" s="185"/>
      <c r="J84" s="185"/>
      <c r="K84" s="185"/>
      <c r="L84" s="185"/>
      <c r="M84" s="185"/>
    </row>
    <row r="85" spans="2:13" hidden="1" x14ac:dyDescent="0.35">
      <c r="C85" s="184" t="s">
        <v>258</v>
      </c>
      <c r="F85" s="185">
        <f ca="1">F75+F80</f>
        <v>233487.67652133381</v>
      </c>
      <c r="G85" s="185">
        <f t="shared" ref="G85:M85" ca="1" si="20">G75+G80</f>
        <v>74646.559657577207</v>
      </c>
      <c r="H85" s="185">
        <f t="shared" ca="1" si="20"/>
        <v>23986.105918683781</v>
      </c>
      <c r="I85" s="185">
        <f t="shared" ca="1" si="20"/>
        <v>7786.6661481141464</v>
      </c>
      <c r="J85" s="185">
        <f t="shared" ca="1" si="20"/>
        <v>68395.901932038614</v>
      </c>
      <c r="K85" s="185">
        <f t="shared" ca="1" si="20"/>
        <v>39092.819348033438</v>
      </c>
      <c r="L85" s="185">
        <f t="shared" ca="1" si="20"/>
        <v>4898.2016643990892</v>
      </c>
      <c r="M85" s="185">
        <f t="shared" ca="1" si="20"/>
        <v>2009.8273001518569</v>
      </c>
    </row>
    <row r="86" spans="2:13" hidden="1" x14ac:dyDescent="0.35">
      <c r="B86" s="184" t="s">
        <v>262</v>
      </c>
      <c r="C86" s="184" t="s">
        <v>118</v>
      </c>
      <c r="F86" s="185">
        <f t="shared" ref="F86:F88" ca="1" si="21">F76+F81</f>
        <v>554737.16564536281</v>
      </c>
      <c r="G86" s="185">
        <f t="shared" ref="G86:M86" ca="1" si="22">G76+G81</f>
        <v>176505.54662894923</v>
      </c>
      <c r="H86" s="185">
        <f t="shared" ca="1" si="22"/>
        <v>56881.112992074399</v>
      </c>
      <c r="I86" s="185">
        <f t="shared" ca="1" si="22"/>
        <v>32807.842067909813</v>
      </c>
      <c r="J86" s="185">
        <f t="shared" ca="1" si="22"/>
        <v>159781.66951745766</v>
      </c>
      <c r="K86" s="185">
        <f t="shared" ca="1" si="22"/>
        <v>184466.47576119509</v>
      </c>
      <c r="L86" s="185">
        <f t="shared" ca="1" si="22"/>
        <v>22359.224598743942</v>
      </c>
      <c r="M86" s="185">
        <f t="shared" ca="1" si="22"/>
        <v>155822.26111673229</v>
      </c>
    </row>
    <row r="87" spans="2:13" hidden="1" x14ac:dyDescent="0.35">
      <c r="C87" s="184" t="s">
        <v>257</v>
      </c>
      <c r="F87" s="185">
        <f t="shared" ca="1" si="21"/>
        <v>3052785.238914927</v>
      </c>
      <c r="G87" s="185">
        <f t="shared" ref="G87:M87" ca="1" si="23">G77+G82</f>
        <v>439858.5577304138</v>
      </c>
      <c r="H87" s="185">
        <f t="shared" ca="1" si="23"/>
        <v>92826.257533831347</v>
      </c>
      <c r="I87" s="185">
        <f t="shared" ca="1" si="23"/>
        <v>59688.141957833723</v>
      </c>
      <c r="J87" s="185">
        <f t="shared" ca="1" si="23"/>
        <v>15120.011699287816</v>
      </c>
      <c r="K87" s="185">
        <f t="shared" ca="1" si="23"/>
        <v>70118.122395091341</v>
      </c>
      <c r="L87" s="185">
        <f t="shared" ca="1" si="23"/>
        <v>8413.1648939983588</v>
      </c>
      <c r="M87" s="185">
        <f t="shared" ca="1" si="23"/>
        <v>19278.31633199253</v>
      </c>
    </row>
    <row r="88" spans="2:13" hidden="1" x14ac:dyDescent="0.35">
      <c r="C88" s="184" t="s">
        <v>259</v>
      </c>
      <c r="F88" s="185">
        <f t="shared" ca="1" si="21"/>
        <v>0</v>
      </c>
      <c r="G88" s="185">
        <f t="shared" ref="G88:M88" ca="1" si="24">G78+G83</f>
        <v>0</v>
      </c>
      <c r="H88" s="185">
        <f t="shared" ca="1" si="24"/>
        <v>0</v>
      </c>
      <c r="I88" s="185">
        <f t="shared" ca="1" si="24"/>
        <v>0</v>
      </c>
      <c r="J88" s="185">
        <f t="shared" ca="1" si="24"/>
        <v>0</v>
      </c>
      <c r="K88" s="185">
        <f t="shared" ca="1" si="24"/>
        <v>0</v>
      </c>
      <c r="L88" s="185">
        <f t="shared" ca="1" si="24"/>
        <v>0</v>
      </c>
      <c r="M88" s="185">
        <f t="shared" ca="1" si="24"/>
        <v>538825.75468185777</v>
      </c>
    </row>
    <row r="89" spans="2:13" hidden="1" x14ac:dyDescent="0.35">
      <c r="F89" s="185">
        <f ca="1">F85+F86+F87+F88</f>
        <v>3841010.0810816237</v>
      </c>
      <c r="G89" s="185">
        <f t="shared" ref="G89:M89" ca="1" si="25">G85+G86+G87+G88</f>
        <v>691010.66401694017</v>
      </c>
      <c r="H89" s="185">
        <f t="shared" ca="1" si="25"/>
        <v>173693.47644458953</v>
      </c>
      <c r="I89" s="185">
        <f t="shared" ca="1" si="25"/>
        <v>100282.65017385769</v>
      </c>
      <c r="J89" s="185">
        <f t="shared" ca="1" si="25"/>
        <v>243297.58314878406</v>
      </c>
      <c r="K89" s="185">
        <f t="shared" ca="1" si="25"/>
        <v>293677.41750431986</v>
      </c>
      <c r="L89" s="185">
        <f t="shared" ca="1" si="25"/>
        <v>35670.591157141389</v>
      </c>
      <c r="M89" s="185">
        <f t="shared" ca="1" si="25"/>
        <v>715936.15943073446</v>
      </c>
    </row>
    <row r="90" spans="2:13" hidden="1" x14ac:dyDescent="0.35">
      <c r="F90" s="185">
        <f ca="1">F37+F52+F66</f>
        <v>4913451.8228803873</v>
      </c>
      <c r="G90" s="185">
        <f t="shared" ref="G90:M90" ca="1" si="26">G37+G52+G66</f>
        <v>875966.99260929017</v>
      </c>
      <c r="H90" s="185">
        <f t="shared" ca="1" si="26"/>
        <v>219572.19646313615</v>
      </c>
      <c r="I90" s="185">
        <f t="shared" ca="1" si="26"/>
        <v>125290.34730491563</v>
      </c>
      <c r="J90" s="185">
        <f t="shared" ca="1" si="26"/>
        <v>301416.21570572013</v>
      </c>
      <c r="K90" s="185">
        <f t="shared" ca="1" si="26"/>
        <v>362921.51636265579</v>
      </c>
      <c r="L90" s="185">
        <f t="shared" ca="1" si="26"/>
        <v>44239.330628098855</v>
      </c>
      <c r="M90" s="185">
        <f t="shared" ca="1" si="26"/>
        <v>889878.90474490053</v>
      </c>
    </row>
    <row r="91" spans="2:13" hidden="1" x14ac:dyDescent="0.35">
      <c r="F91" s="185">
        <f ca="1">F89-F90</f>
        <v>-1072441.7417987636</v>
      </c>
      <c r="G91" s="185">
        <f t="shared" ref="G91:L91" ca="1" si="27">G89-G90</f>
        <v>-184956.32859235001</v>
      </c>
      <c r="H91" s="185">
        <f t="shared" ca="1" si="27"/>
        <v>-45878.720018546621</v>
      </c>
      <c r="I91" s="185">
        <f t="shared" ca="1" si="27"/>
        <v>-25007.697131057939</v>
      </c>
      <c r="J91" s="185">
        <f t="shared" ca="1" si="27"/>
        <v>-58118.632556936063</v>
      </c>
      <c r="K91" s="185">
        <f t="shared" ca="1" si="27"/>
        <v>-69244.098858335929</v>
      </c>
      <c r="L91" s="185">
        <f t="shared" ca="1" si="27"/>
        <v>-8568.7394709574655</v>
      </c>
      <c r="M91" s="185">
        <f ca="1">M89-M37-M52-M66</f>
        <v>-173942.74531416607</v>
      </c>
    </row>
    <row r="92" spans="2:13" hidden="1" x14ac:dyDescent="0.35">
      <c r="F92" s="185"/>
      <c r="G92" s="185"/>
      <c r="H92" s="185"/>
      <c r="I92" s="185"/>
      <c r="J92" s="185"/>
      <c r="K92" s="185"/>
      <c r="L92" s="185"/>
      <c r="M92" s="185"/>
    </row>
    <row r="93" spans="2:13" hidden="1" x14ac:dyDescent="0.35">
      <c r="B93" s="184" t="s">
        <v>263</v>
      </c>
      <c r="C93" s="184" t="s">
        <v>260</v>
      </c>
      <c r="F93" s="185">
        <f ca="1">+F37*(F17)/F19</f>
        <v>27358.413977768283</v>
      </c>
      <c r="G93" s="185">
        <f t="shared" ref="G93:M93" ca="1" si="28">+G37*(G17)/G19</f>
        <v>5205.849472047611</v>
      </c>
      <c r="H93" s="185">
        <f t="shared" ca="1" si="28"/>
        <v>1368.2278999178586</v>
      </c>
      <c r="I93" s="185">
        <f t="shared" ca="1" si="28"/>
        <v>818.77735099391521</v>
      </c>
      <c r="J93" s="185">
        <f t="shared" ca="1" si="28"/>
        <v>2400.1011413377832</v>
      </c>
      <c r="K93" s="185">
        <f t="shared" ca="1" si="28"/>
        <v>2799.2174975825437</v>
      </c>
      <c r="L93" s="185">
        <f t="shared" ca="1" si="28"/>
        <v>341.81570484043073</v>
      </c>
      <c r="M93" s="185">
        <f t="shared" ca="1" si="28"/>
        <v>6634.6095443370368</v>
      </c>
    </row>
    <row r="94" spans="2:13" hidden="1" x14ac:dyDescent="0.35">
      <c r="C94" s="184" t="s">
        <v>264</v>
      </c>
      <c r="F94" s="185">
        <f ca="1">+F50+F63</f>
        <v>1045083.3278209958</v>
      </c>
      <c r="G94" s="185">
        <f t="shared" ref="G94:M94" ca="1" si="29">+G50+G63</f>
        <v>179750.47912030236</v>
      </c>
      <c r="H94" s="185">
        <f t="shared" ca="1" si="29"/>
        <v>44510.492118628797</v>
      </c>
      <c r="I94" s="185">
        <f t="shared" ca="1" si="29"/>
        <v>24188.919780064047</v>
      </c>
      <c r="J94" s="185">
        <f t="shared" ca="1" si="29"/>
        <v>55718.531415598307</v>
      </c>
      <c r="K94" s="185">
        <f t="shared" ca="1" si="29"/>
        <v>66444.88136075341</v>
      </c>
      <c r="L94" s="185">
        <f t="shared" ca="1" si="29"/>
        <v>8226.9237661170373</v>
      </c>
      <c r="M94" s="185">
        <f t="shared" ca="1" si="29"/>
        <v>167308.13576982904</v>
      </c>
    </row>
    <row r="95" spans="2:13" hidden="1" x14ac:dyDescent="0.35">
      <c r="F95" s="185"/>
      <c r="G95" s="185"/>
      <c r="H95" s="185"/>
      <c r="I95" s="185"/>
      <c r="J95" s="185"/>
      <c r="K95" s="185"/>
      <c r="L95" s="185"/>
      <c r="M95" s="185"/>
    </row>
    <row r="96" spans="2:13" hidden="1" x14ac:dyDescent="0.35">
      <c r="F96" s="185"/>
      <c r="G96" s="185"/>
      <c r="H96" s="185"/>
      <c r="I96" s="185"/>
      <c r="J96" s="185"/>
      <c r="K96" s="185"/>
      <c r="L96" s="185"/>
      <c r="M96" s="185"/>
    </row>
    <row r="97" spans="3:15" hidden="1" x14ac:dyDescent="0.35">
      <c r="C97" s="184" t="s">
        <v>258</v>
      </c>
      <c r="E97" s="196">
        <f ca="1">SUM(F97:M97)</f>
        <v>574973.45406481426</v>
      </c>
      <c r="F97" s="185">
        <f ca="1">F85+(F$93+F$94)*F85/(F$85+F$86+F$87+F$88)</f>
        <v>298679.36443967762</v>
      </c>
      <c r="G97" s="185">
        <f t="shared" ref="G97:M97" ca="1" si="30">G85+(G$93+G$94)*G85/(G$85+G$86+G$87+G$88)</f>
        <v>94626.502566210576</v>
      </c>
      <c r="H97" s="185">
        <f t="shared" ca="1" si="30"/>
        <v>30321.702743067432</v>
      </c>
      <c r="I97" s="185">
        <f ca="1">I85+(I$93+I$94)*I85/(I$85+I$86+I$87+I$88)</f>
        <v>9728.4435977039539</v>
      </c>
      <c r="J97" s="185">
        <f t="shared" ca="1" si="30"/>
        <v>84734.232306481776</v>
      </c>
      <c r="K97" s="185">
        <f t="shared" ca="1" si="30"/>
        <v>48310.23575883553</v>
      </c>
      <c r="L97" s="185">
        <f t="shared" ca="1" si="30"/>
        <v>6074.8408110156206</v>
      </c>
      <c r="M97" s="185">
        <f t="shared" ca="1" si="30"/>
        <v>2498.1318418218116</v>
      </c>
      <c r="O97" s="196">
        <f ca="1">G97+H97</f>
        <v>124948.20530927801</v>
      </c>
    </row>
    <row r="98" spans="3:15" hidden="1" x14ac:dyDescent="0.35">
      <c r="C98" s="184" t="s">
        <v>118</v>
      </c>
      <c r="E98" s="196">
        <f t="shared" ref="E98:E99" ca="1" si="31">SUM(F98:M98)</f>
        <v>1693589.7165263339</v>
      </c>
      <c r="F98" s="185">
        <f ca="1">F86+(F$93+F$94)*F86/(F$85+F$86+F$87+F$88)</f>
        <v>709624.36448283447</v>
      </c>
      <c r="G98" s="185">
        <f t="shared" ref="F98:M100" ca="1" si="32">G86+(G$93+G$94)*G86/(G$85+G$86+G$87+G$88)</f>
        <v>223749.12705490337</v>
      </c>
      <c r="H98" s="185">
        <f t="shared" ca="1" si="32"/>
        <v>71905.469178181389</v>
      </c>
      <c r="I98" s="185">
        <f t="shared" ca="1" si="32"/>
        <v>40989.203215979578</v>
      </c>
      <c r="J98" s="185">
        <f t="shared" ca="1" si="32"/>
        <v>197950.12158276263</v>
      </c>
      <c r="K98" s="185">
        <f t="shared" ca="1" si="32"/>
        <v>227960.50738338864</v>
      </c>
      <c r="L98" s="185">
        <f t="shared" ca="1" si="32"/>
        <v>27730.32623020382</v>
      </c>
      <c r="M98" s="185">
        <f t="shared" ca="1" si="32"/>
        <v>193680.5973980799</v>
      </c>
      <c r="O98" s="196">
        <f t="shared" ref="O98:O103" ca="1" si="33">G98+H98</f>
        <v>295654.59623308474</v>
      </c>
    </row>
    <row r="99" spans="3:15" hidden="1" x14ac:dyDescent="0.35">
      <c r="C99" s="184" t="s">
        <v>257</v>
      </c>
      <c r="E99" s="196">
        <f t="shared" ca="1" si="31"/>
        <v>4794436.126943605</v>
      </c>
      <c r="F99" s="185">
        <f ca="1">F87+(F$93+F$94)*F87/(F$85+F$86+F$87+F$88)</f>
        <v>3905148.0939578759</v>
      </c>
      <c r="G99" s="185">
        <f t="shared" ca="1" si="32"/>
        <v>557591.36298817629</v>
      </c>
      <c r="H99" s="185">
        <f t="shared" ca="1" si="32"/>
        <v>117345.02454188737</v>
      </c>
      <c r="I99" s="185">
        <f t="shared" ca="1" si="32"/>
        <v>74572.700491232114</v>
      </c>
      <c r="J99" s="185">
        <f t="shared" ca="1" si="32"/>
        <v>18731.861816475775</v>
      </c>
      <c r="K99" s="185">
        <f t="shared" ca="1" si="32"/>
        <v>86650.773220431656</v>
      </c>
      <c r="L99" s="185">
        <f t="shared" ca="1" si="32"/>
        <v>10434.163586879418</v>
      </c>
      <c r="M99" s="185">
        <f t="shared" ca="1" si="32"/>
        <v>23962.146340645882</v>
      </c>
      <c r="O99" s="196">
        <f t="shared" ca="1" si="33"/>
        <v>674936.38753006363</v>
      </c>
    </row>
    <row r="100" spans="3:15" hidden="1" x14ac:dyDescent="0.35">
      <c r="C100" s="184" t="s">
        <v>259</v>
      </c>
      <c r="E100" s="196">
        <f ca="1">SUM(F100:M100)</f>
        <v>669738.02916435292</v>
      </c>
      <c r="F100" s="185">
        <f t="shared" ca="1" si="32"/>
        <v>0</v>
      </c>
      <c r="G100" s="185">
        <f t="shared" ca="1" si="32"/>
        <v>0</v>
      </c>
      <c r="H100" s="185">
        <f t="shared" ca="1" si="32"/>
        <v>0</v>
      </c>
      <c r="I100" s="185">
        <f t="shared" ca="1" si="32"/>
        <v>0</v>
      </c>
      <c r="J100" s="185">
        <f t="shared" ca="1" si="32"/>
        <v>0</v>
      </c>
      <c r="K100" s="185">
        <f t="shared" ca="1" si="32"/>
        <v>0</v>
      </c>
      <c r="L100" s="185">
        <f t="shared" ca="1" si="32"/>
        <v>0</v>
      </c>
      <c r="M100" s="185">
        <f t="shared" ca="1" si="32"/>
        <v>669738.02916435292</v>
      </c>
      <c r="O100" s="196">
        <f t="shared" ca="1" si="33"/>
        <v>0</v>
      </c>
    </row>
    <row r="101" spans="3:15" hidden="1" x14ac:dyDescent="0.35">
      <c r="E101" s="196">
        <f ca="1">SUM(F101:M101)</f>
        <v>7732737.326699106</v>
      </c>
      <c r="F101" s="185">
        <f ca="1">SUM(F97:F100)</f>
        <v>4913451.8228803882</v>
      </c>
      <c r="G101" s="185">
        <f t="shared" ref="G101:M101" ca="1" si="34">SUM(G97:G100)</f>
        <v>875966.99260929017</v>
      </c>
      <c r="H101" s="185">
        <f t="shared" ca="1" si="34"/>
        <v>219572.19646313618</v>
      </c>
      <c r="I101" s="185">
        <f t="shared" ca="1" si="34"/>
        <v>125290.34730491565</v>
      </c>
      <c r="J101" s="185">
        <f t="shared" ca="1" si="34"/>
        <v>301416.21570572013</v>
      </c>
      <c r="K101" s="185">
        <f t="shared" ca="1" si="34"/>
        <v>362921.51636265579</v>
      </c>
      <c r="L101" s="185">
        <f t="shared" ca="1" si="34"/>
        <v>44239.330628098862</v>
      </c>
      <c r="M101" s="185">
        <f t="shared" ca="1" si="34"/>
        <v>889878.90474490053</v>
      </c>
      <c r="O101" s="196">
        <f t="shared" ca="1" si="33"/>
        <v>1095539.1890724264</v>
      </c>
    </row>
    <row r="103" spans="3:15" x14ac:dyDescent="0.35">
      <c r="O103" s="196"/>
    </row>
    <row r="104" spans="3:15" x14ac:dyDescent="0.35">
      <c r="F104" s="198"/>
      <c r="G104" s="198"/>
      <c r="H104" s="198"/>
      <c r="I104" s="198"/>
      <c r="J104" s="198"/>
      <c r="K104" s="198"/>
      <c r="L104" s="198"/>
      <c r="M104" s="198"/>
      <c r="O104" s="198"/>
    </row>
    <row r="106" spans="3:15" x14ac:dyDescent="0.35">
      <c r="M106" s="198"/>
    </row>
    <row r="107" spans="3:15" x14ac:dyDescent="0.35">
      <c r="M107" s="198"/>
    </row>
  </sheetData>
  <dataValidations count="1">
    <dataValidation type="list" allowBlank="1" showInputMessage="1" showErrorMessage="1" sqref="D22:D24 D30:D32 D26:D28 D68:D72 D39:D51 D6:D18 D54:D65" xr:uid="{00000000-0002-0000-0800-000000000000}">
      <formula1>Allocators</formula1>
    </dataValidation>
  </dataValidations>
  <pageMargins left="0.7" right="0.7" top="0.75" bottom="0.75" header="0.3" footer="0.3"/>
  <pageSetup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AD137378F81F4FB318B1B24AB80438" ma:contentTypeVersion="3" ma:contentTypeDescription="Create a new document." ma:contentTypeScope="" ma:versionID="24e2e42336a1cd1f4ee2fe0de8a61d67">
  <xsd:schema xmlns:xsd="http://www.w3.org/2001/XMLSchema" xmlns:xs="http://www.w3.org/2001/XMLSchema" xmlns:p="http://schemas.microsoft.com/office/2006/metadata/properties" xmlns:ns2="2bc3004b-9ad1-483e-becf-bfd5ad8c6084" xmlns:ns3="5439dcb1-57cb-40ed-87e6-3a760137f3f8" targetNamespace="http://schemas.microsoft.com/office/2006/metadata/properties" ma:root="true" ma:fieldsID="123afb3d4e45bb2ee51a4b9193e9fa35" ns2:_="" ns3:_="">
    <xsd:import namespace="2bc3004b-9ad1-483e-becf-bfd5ad8c6084"/>
    <xsd:import namespace="5439dcb1-57cb-40ed-87e6-3a760137f3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nm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c3004b-9ad1-483e-becf-bfd5ad8c6084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9dcb1-57cb-40ed-87e6-3a760137f3f8" elementFormDefault="qualified">
    <xsd:import namespace="http://schemas.microsoft.com/office/2006/documentManagement/types"/>
    <xsd:import namespace="http://schemas.microsoft.com/office/infopath/2007/PartnerControls"/>
    <xsd:element name="snms" ma:index="11" nillable="true" ma:displayName="Description" ma:internalName="snm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nms xmlns="5439dcb1-57cb-40ed-87e6-3a760137f3f8" xsi:nil="true"/>
    <_dlc_DocId xmlns="2bc3004b-9ad1-483e-becf-bfd5ad8c6084">6YNFE3WTN53P-2032442789-1281</_dlc_DocId>
    <_dlc_DocIdUrl xmlns="2bc3004b-9ad1-483e-becf-bfd5ad8c6084">
      <Url>https://epcorweb/en-ca/departments/natgas/sites/ON/ONReg/_layouts/15/DocIdRedir.aspx?ID=6YNFE3WTN53P-2032442789-1281</Url>
      <Description>6YNFE3WTN53P-2032442789-1281</Description>
    </_dlc_DocIdUrl>
  </documentManagement>
</p:properties>
</file>

<file path=customXml/itemProps1.xml><?xml version="1.0" encoding="utf-8"?>
<ds:datastoreItem xmlns:ds="http://schemas.openxmlformats.org/officeDocument/2006/customXml" ds:itemID="{C865CF1B-B67A-49D9-BCC9-D4DE40E721AB}"/>
</file>

<file path=customXml/itemProps2.xml><?xml version="1.0" encoding="utf-8"?>
<ds:datastoreItem xmlns:ds="http://schemas.openxmlformats.org/officeDocument/2006/customXml" ds:itemID="{4475AA24-CCEC-45A8-9E05-2950E8A079C8}"/>
</file>

<file path=customXml/itemProps3.xml><?xml version="1.0" encoding="utf-8"?>
<ds:datastoreItem xmlns:ds="http://schemas.openxmlformats.org/officeDocument/2006/customXml" ds:itemID="{6ADF789A-3EE4-4729-A511-352931F5E1A8}"/>
</file>

<file path=customXml/itemProps4.xml><?xml version="1.0" encoding="utf-8"?>
<ds:datastoreItem xmlns:ds="http://schemas.openxmlformats.org/officeDocument/2006/customXml" ds:itemID="{DAA363F0-F52A-4F60-9A7E-779989DCE1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Trial Balance</vt:lpstr>
      <vt:lpstr>Assets</vt:lpstr>
      <vt:lpstr>Customer Data</vt:lpstr>
      <vt:lpstr>Customer Revenues</vt:lpstr>
      <vt:lpstr>Capital Functionlization</vt:lpstr>
      <vt:lpstr>OM&amp;A Functionalization</vt:lpstr>
      <vt:lpstr>Functionalized Trial Balance</vt:lpstr>
      <vt:lpstr>Classification</vt:lpstr>
      <vt:lpstr>Allocation</vt:lpstr>
      <vt:lpstr>Allocators</vt:lpstr>
      <vt:lpstr>Revenue to Cost Ratio</vt:lpstr>
      <vt:lpstr>Revenue Rebalancing</vt:lpstr>
      <vt:lpstr>Allocators</vt:lpstr>
      <vt:lpstr>Assets!Print_Area</vt:lpstr>
      <vt:lpstr>'Trial Balance'!Print_Area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Andrew Blair</dc:creator>
  <cp:lastModifiedBy>Andrew Blair</cp:lastModifiedBy>
  <cp:lastPrinted>2024-07-18T12:17:34Z</cp:lastPrinted>
  <dcterms:created xsi:type="dcterms:W3CDTF">2024-06-07T20:18:56Z</dcterms:created>
  <dcterms:modified xsi:type="dcterms:W3CDTF">2024-11-06T16:36:39Z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0x0101002BAD137378F81F4FB318B1B24AB80438</vt:lpwstr>
  </property>
  <property fmtid="{D5CDD505-2E9C-101B-9397-08002B2CF9AE}" pid="3" name="_dlc_DocIdItemGuid">
    <vt:lpwstr>7bc14d8c-8081-4ef2-87ea-abcdcf0a63aa</vt:lpwstr>
  </property>
</Properties>
</file>