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ORPC Files\Management\Accounting\Rate Applications\2025 Rates\"/>
    </mc:Choice>
  </mc:AlternateContent>
  <xr:revisionPtr revIDLastSave="0" documentId="13_ncr:1_{F1913D64-1B3B-475A-B667-26E3A08F3817}" xr6:coauthVersionLast="47" xr6:coauthVersionMax="47" xr10:uidLastSave="{00000000-0000-0000-0000-000000000000}"/>
  <bookViews>
    <workbookView xWindow="-120" yWindow="-120" windowWidth="29040" windowHeight="15840" tabRatio="830" activeTab="1" xr2:uid="{0FD6F116-BFD0-43D4-B859-8718EA42C03C}"/>
    <workbookView xWindow="28680" yWindow="-120" windowWidth="29040" windowHeight="16440" tabRatio="672" xr2:uid="{D1C90305-E1BA-429E-8B7E-DB74BA818B6B}"/>
  </bookViews>
  <sheets>
    <sheet name="Input Data" sheetId="22" r:id="rId1"/>
    <sheet name="Power Purchased True-Up" sheetId="23" r:id="rId2"/>
    <sheet name="2023-24 Overcollection" sheetId="24" r:id="rId3"/>
    <sheet name="Summary" sheetId="2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23" l="1"/>
  <c r="E64" i="23"/>
  <c r="E63" i="23"/>
  <c r="E51" i="23"/>
  <c r="E50" i="23"/>
  <c r="E49" i="23"/>
  <c r="E38" i="23"/>
  <c r="E37" i="23"/>
  <c r="N63" i="23"/>
  <c r="N64" i="23"/>
  <c r="N65" i="23"/>
  <c r="N66" i="23"/>
  <c r="N67" i="23"/>
  <c r="N68" i="23"/>
  <c r="N69" i="23"/>
  <c r="N62" i="23"/>
  <c r="N59" i="23"/>
  <c r="N60" i="23"/>
  <c r="N61" i="23"/>
  <c r="N58" i="23"/>
  <c r="N50" i="23"/>
  <c r="N51" i="23"/>
  <c r="N52" i="23"/>
  <c r="N53" i="23"/>
  <c r="N54" i="23"/>
  <c r="N55" i="23"/>
  <c r="N56" i="23"/>
  <c r="N49" i="23"/>
  <c r="N46" i="23"/>
  <c r="N47" i="23"/>
  <c r="N48" i="23"/>
  <c r="N45" i="23"/>
  <c r="N37" i="23"/>
  <c r="N38" i="23"/>
  <c r="N39" i="23"/>
  <c r="N40" i="23"/>
  <c r="N41" i="23"/>
  <c r="N42" i="23"/>
  <c r="N43" i="23"/>
  <c r="N36" i="23"/>
  <c r="N33" i="23"/>
  <c r="N34" i="23"/>
  <c r="N35" i="23"/>
  <c r="N32" i="23"/>
  <c r="N24" i="23"/>
  <c r="N25" i="23"/>
  <c r="N26" i="23"/>
  <c r="N27" i="23"/>
  <c r="N28" i="23"/>
  <c r="N29" i="23"/>
  <c r="N30" i="23"/>
  <c r="N23" i="23"/>
  <c r="E26" i="23"/>
  <c r="E9" i="25"/>
  <c r="E7" i="25"/>
  <c r="G7" i="25"/>
  <c r="H7" i="25"/>
  <c r="H12" i="25"/>
  <c r="G12" i="25"/>
  <c r="E12" i="25"/>
  <c r="X23" i="23"/>
  <c r="O23" i="24"/>
  <c r="Y21" i="23"/>
  <c r="D21" i="25"/>
  <c r="E20" i="25"/>
  <c r="M63" i="22"/>
  <c r="J47" i="22"/>
  <c r="I11" i="24"/>
  <c r="H5" i="25"/>
  <c r="G5" i="25"/>
  <c r="F5" i="25"/>
  <c r="E5" i="25"/>
  <c r="D5" i="25"/>
  <c r="C37" i="25"/>
  <c r="C65" i="22"/>
  <c r="F34" i="22" l="1"/>
  <c r="G34" i="22"/>
  <c r="H34" i="22"/>
  <c r="I34" i="22"/>
  <c r="C95" i="22"/>
  <c r="Z6" i="22"/>
  <c r="Z5" i="22"/>
  <c r="W11" i="22"/>
  <c r="W10" i="22"/>
  <c r="W9" i="22"/>
  <c r="W8" i="22"/>
  <c r="W7" i="22"/>
  <c r="W6" i="22"/>
  <c r="W5" i="22"/>
  <c r="H10" i="23" l="1"/>
  <c r="H14" i="23"/>
  <c r="H20" i="23"/>
  <c r="H21" i="23"/>
  <c r="H22" i="23"/>
  <c r="H24" i="23"/>
  <c r="H25" i="23"/>
  <c r="H26" i="23"/>
  <c r="H28" i="23"/>
  <c r="H29" i="23"/>
  <c r="H30" i="23"/>
  <c r="H11" i="23"/>
  <c r="H12" i="23"/>
  <c r="H13" i="23"/>
  <c r="H15" i="23"/>
  <c r="H16" i="23"/>
  <c r="H17" i="23"/>
  <c r="H61" i="23" l="1"/>
  <c r="H66" i="23"/>
  <c r="H45" i="23"/>
  <c r="H27" i="23"/>
  <c r="H23" i="23"/>
  <c r="H19" i="23"/>
  <c r="H39" i="23"/>
  <c r="H55" i="23"/>
  <c r="H42" i="23"/>
  <c r="H38" i="23"/>
  <c r="H51" i="23"/>
  <c r="H41" i="23"/>
  <c r="H54" i="23"/>
  <c r="H67" i="23"/>
  <c r="H37" i="23"/>
  <c r="H50" i="23"/>
  <c r="H33" i="23"/>
  <c r="H46" i="23"/>
  <c r="H43" i="23"/>
  <c r="H35" i="23"/>
  <c r="H48" i="23"/>
  <c r="H47" i="23"/>
  <c r="H34" i="23"/>
  <c r="H60" i="23"/>
  <c r="H40" i="23"/>
  <c r="H53" i="23"/>
  <c r="H36" i="23"/>
  <c r="H49" i="23"/>
  <c r="H32" i="23"/>
  <c r="H52" i="23" l="1"/>
  <c r="H56" i="23"/>
  <c r="H59" i="23"/>
  <c r="H58" i="23"/>
  <c r="H62" i="23"/>
  <c r="H69" i="23"/>
  <c r="H63" i="23"/>
  <c r="H64" i="23"/>
  <c r="H68" i="23"/>
  <c r="H65" i="23" l="1"/>
  <c r="I43" i="22" l="1"/>
  <c r="C35" i="25" l="1"/>
  <c r="H33" i="25"/>
  <c r="G33" i="25"/>
  <c r="F33" i="25"/>
  <c r="E33" i="25"/>
  <c r="D33" i="25"/>
  <c r="N34" i="22"/>
  <c r="N38" i="22" s="1"/>
  <c r="AL6" i="22"/>
  <c r="K59" i="23" s="1"/>
  <c r="AL8" i="22"/>
  <c r="K61" i="23" s="1"/>
  <c r="N47" i="22"/>
  <c r="N48" i="22"/>
  <c r="N49" i="22"/>
  <c r="AL12" i="22"/>
  <c r="K65" i="23" s="1"/>
  <c r="N51" i="22"/>
  <c r="N52" i="22"/>
  <c r="AL15" i="22"/>
  <c r="K68" i="23" s="1"/>
  <c r="N54" i="22"/>
  <c r="AL5" i="22"/>
  <c r="K58" i="23" s="1"/>
  <c r="M44" i="22"/>
  <c r="AI7" i="22"/>
  <c r="K47" i="23" s="1"/>
  <c r="M46" i="22"/>
  <c r="M47" i="22"/>
  <c r="AI10" i="22"/>
  <c r="K50" i="23" s="1"/>
  <c r="M50" i="23" s="1"/>
  <c r="AI11" i="22"/>
  <c r="K51" i="23" s="1"/>
  <c r="M51" i="23" s="1"/>
  <c r="M50" i="22"/>
  <c r="M51" i="22"/>
  <c r="AI14" i="22"/>
  <c r="K54" i="23" s="1"/>
  <c r="M53" i="22"/>
  <c r="M54" i="22"/>
  <c r="I52" i="22"/>
  <c r="I53" i="22"/>
  <c r="I54" i="22"/>
  <c r="J34" i="22"/>
  <c r="J38" i="22" s="1"/>
  <c r="L54" i="22"/>
  <c r="Z16" i="22"/>
  <c r="K17" i="23" s="1"/>
  <c r="L52" i="22"/>
  <c r="Z14" i="22"/>
  <c r="K15" i="23" s="1"/>
  <c r="L50" i="22"/>
  <c r="Z12" i="22"/>
  <c r="K13" i="23" s="1"/>
  <c r="M13" i="23" s="1"/>
  <c r="O13" i="23" s="1"/>
  <c r="L48" i="22"/>
  <c r="Z10" i="22"/>
  <c r="K11" i="23" s="1"/>
  <c r="L11" i="23" s="1"/>
  <c r="L46" i="22"/>
  <c r="Z8" i="22"/>
  <c r="D21" i="24" s="1"/>
  <c r="L44" i="22"/>
  <c r="D19" i="24"/>
  <c r="E19" i="24" s="1"/>
  <c r="F43" i="24"/>
  <c r="E43" i="24"/>
  <c r="D43" i="24"/>
  <c r="H42" i="24"/>
  <c r="I42" i="24" s="1"/>
  <c r="H41" i="24"/>
  <c r="I41" i="24" s="1"/>
  <c r="H40" i="24"/>
  <c r="I40" i="24" s="1"/>
  <c r="H39" i="24"/>
  <c r="I39" i="24" s="1"/>
  <c r="H38" i="24"/>
  <c r="I38" i="24" s="1"/>
  <c r="H37" i="24"/>
  <c r="I37" i="24" s="1"/>
  <c r="H36" i="24"/>
  <c r="I36" i="24" s="1"/>
  <c r="H35" i="24"/>
  <c r="I35" i="24" s="1"/>
  <c r="H34" i="24"/>
  <c r="I34" i="24" s="1"/>
  <c r="H33" i="24"/>
  <c r="I33" i="24" s="1"/>
  <c r="H32" i="24"/>
  <c r="I32" i="24" s="1"/>
  <c r="H31" i="24"/>
  <c r="H29" i="24"/>
  <c r="F29" i="24"/>
  <c r="E29" i="24"/>
  <c r="H28" i="24"/>
  <c r="F28" i="24"/>
  <c r="E28" i="24"/>
  <c r="H27" i="24"/>
  <c r="F27" i="24"/>
  <c r="E27" i="24"/>
  <c r="H26" i="24"/>
  <c r="F26" i="24"/>
  <c r="E26" i="24"/>
  <c r="H25" i="24"/>
  <c r="F25" i="24"/>
  <c r="E25" i="24"/>
  <c r="H24" i="24"/>
  <c r="F24" i="24"/>
  <c r="E24" i="24"/>
  <c r="H23" i="24"/>
  <c r="F23" i="24"/>
  <c r="E23" i="24"/>
  <c r="H22" i="24"/>
  <c r="F22" i="24"/>
  <c r="E22" i="24"/>
  <c r="H21" i="24"/>
  <c r="H20" i="24"/>
  <c r="H19" i="24"/>
  <c r="H18" i="24"/>
  <c r="J17" i="24"/>
  <c r="H16" i="24"/>
  <c r="H15" i="24"/>
  <c r="H14" i="24"/>
  <c r="H13" i="24"/>
  <c r="D13" i="24"/>
  <c r="H12" i="24"/>
  <c r="H11" i="24"/>
  <c r="H10" i="24"/>
  <c r="F10" i="24"/>
  <c r="E10" i="24"/>
  <c r="H9" i="24"/>
  <c r="F9" i="24"/>
  <c r="E9" i="24"/>
  <c r="H8" i="24"/>
  <c r="F8" i="24"/>
  <c r="E8" i="24"/>
  <c r="H7" i="24"/>
  <c r="F7" i="24"/>
  <c r="E7" i="24"/>
  <c r="H6" i="24"/>
  <c r="F6" i="24"/>
  <c r="E6" i="24"/>
  <c r="H5" i="24"/>
  <c r="F5" i="24"/>
  <c r="G5" i="24" s="1"/>
  <c r="E5" i="24"/>
  <c r="R69" i="23"/>
  <c r="R68" i="23"/>
  <c r="R67" i="23"/>
  <c r="R66" i="23"/>
  <c r="R65" i="23"/>
  <c r="R64" i="23"/>
  <c r="R63" i="23"/>
  <c r="R62" i="23"/>
  <c r="R61" i="23"/>
  <c r="R60" i="23"/>
  <c r="D60" i="23"/>
  <c r="H4" i="25" s="1"/>
  <c r="R59" i="23"/>
  <c r="R58" i="23"/>
  <c r="R56" i="23"/>
  <c r="R55" i="23"/>
  <c r="R54" i="23"/>
  <c r="R53" i="23"/>
  <c r="R52" i="23"/>
  <c r="R51" i="23"/>
  <c r="R50" i="23"/>
  <c r="R49" i="23"/>
  <c r="R48" i="23"/>
  <c r="R47" i="23"/>
  <c r="D47" i="23"/>
  <c r="G4" i="25" s="1"/>
  <c r="R46" i="23"/>
  <c r="R45" i="23"/>
  <c r="R43" i="23"/>
  <c r="R42" i="23"/>
  <c r="R41" i="23"/>
  <c r="R40" i="23"/>
  <c r="R39" i="23"/>
  <c r="R38" i="23"/>
  <c r="R37" i="23"/>
  <c r="R36" i="23"/>
  <c r="R35" i="23"/>
  <c r="R34" i="23"/>
  <c r="D34" i="23"/>
  <c r="R33" i="23"/>
  <c r="R32" i="23"/>
  <c r="R30" i="23"/>
  <c r="R29" i="23"/>
  <c r="R28" i="23"/>
  <c r="R27" i="23"/>
  <c r="R26" i="23"/>
  <c r="R25" i="23"/>
  <c r="F25" i="23"/>
  <c r="R24" i="23"/>
  <c r="R23" i="23"/>
  <c r="R22" i="23"/>
  <c r="R21" i="23"/>
  <c r="D21" i="23"/>
  <c r="E4" i="25" s="1"/>
  <c r="R20" i="23"/>
  <c r="R19" i="23"/>
  <c r="N18" i="23"/>
  <c r="R17" i="23"/>
  <c r="R16" i="23"/>
  <c r="R15" i="23"/>
  <c r="D15" i="23"/>
  <c r="D12" i="25" s="1"/>
  <c r="R14" i="23"/>
  <c r="R13" i="23"/>
  <c r="R12" i="23"/>
  <c r="F12" i="23"/>
  <c r="R11" i="23"/>
  <c r="R10" i="23"/>
  <c r="D8" i="23"/>
  <c r="D4" i="25" s="1"/>
  <c r="K54" i="22"/>
  <c r="J54" i="22"/>
  <c r="H54" i="22"/>
  <c r="G54" i="22"/>
  <c r="F54" i="22"/>
  <c r="E54" i="22"/>
  <c r="D54" i="22"/>
  <c r="C54" i="22"/>
  <c r="N53" i="22"/>
  <c r="K53" i="22"/>
  <c r="H53" i="22"/>
  <c r="G53" i="22"/>
  <c r="F53" i="22"/>
  <c r="E53" i="22"/>
  <c r="D53" i="22"/>
  <c r="C53" i="22"/>
  <c r="J52" i="22"/>
  <c r="H52" i="22"/>
  <c r="G52" i="22"/>
  <c r="F52" i="22"/>
  <c r="E52" i="22"/>
  <c r="D52" i="22"/>
  <c r="C52" i="22"/>
  <c r="K51" i="22"/>
  <c r="I51" i="22"/>
  <c r="H51" i="22"/>
  <c r="G51" i="22"/>
  <c r="F51" i="22"/>
  <c r="E51" i="22"/>
  <c r="D51" i="22"/>
  <c r="C51" i="22"/>
  <c r="K50" i="22"/>
  <c r="J50" i="22"/>
  <c r="I50" i="22"/>
  <c r="H50" i="22"/>
  <c r="G50" i="22"/>
  <c r="F50" i="22"/>
  <c r="E50" i="22"/>
  <c r="D50" i="22"/>
  <c r="C50" i="22"/>
  <c r="I49" i="22"/>
  <c r="H49" i="22"/>
  <c r="G49" i="22"/>
  <c r="F49" i="22"/>
  <c r="E49" i="22"/>
  <c r="D49" i="22"/>
  <c r="C49" i="22"/>
  <c r="K48" i="22"/>
  <c r="J48" i="22"/>
  <c r="I48" i="22"/>
  <c r="H48" i="22"/>
  <c r="G48" i="22"/>
  <c r="F48" i="22"/>
  <c r="E48" i="22"/>
  <c r="D48" i="22"/>
  <c r="C48" i="22"/>
  <c r="P48" i="22" s="1"/>
  <c r="I47" i="22"/>
  <c r="H47" i="22"/>
  <c r="G47" i="22"/>
  <c r="F47" i="22"/>
  <c r="E47" i="22"/>
  <c r="D47" i="22"/>
  <c r="C47" i="22"/>
  <c r="K46" i="22"/>
  <c r="J46" i="22"/>
  <c r="I46" i="22"/>
  <c r="H46" i="22"/>
  <c r="G46" i="22"/>
  <c r="F46" i="22"/>
  <c r="E46" i="22"/>
  <c r="D46" i="22"/>
  <c r="C46" i="22"/>
  <c r="P46" i="22" s="1"/>
  <c r="M45" i="22"/>
  <c r="I45" i="22"/>
  <c r="H45" i="22"/>
  <c r="G45" i="22"/>
  <c r="F45" i="22"/>
  <c r="E45" i="22"/>
  <c r="D45" i="22"/>
  <c r="C45" i="22"/>
  <c r="P45" i="22" s="1"/>
  <c r="N44" i="22"/>
  <c r="J44" i="22"/>
  <c r="I44" i="22"/>
  <c r="H44" i="22"/>
  <c r="G44" i="22"/>
  <c r="F44" i="22"/>
  <c r="E44" i="22"/>
  <c r="D44" i="22"/>
  <c r="C44" i="22"/>
  <c r="K43" i="22"/>
  <c r="H43" i="22"/>
  <c r="G43" i="22"/>
  <c r="F43" i="22"/>
  <c r="E43" i="22"/>
  <c r="D43" i="22"/>
  <c r="C43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K34" i="22"/>
  <c r="U17" i="22"/>
  <c r="T17" i="22"/>
  <c r="R17" i="22"/>
  <c r="Q17" i="22"/>
  <c r="O17" i="22"/>
  <c r="N17" i="22"/>
  <c r="L17" i="22"/>
  <c r="K17" i="22"/>
  <c r="I17" i="22"/>
  <c r="H17" i="22"/>
  <c r="F17" i="22"/>
  <c r="G17" i="22" s="1"/>
  <c r="E17" i="22"/>
  <c r="C17" i="22"/>
  <c r="D17" i="22" s="1"/>
  <c r="W16" i="22"/>
  <c r="D16" i="24" s="1"/>
  <c r="W15" i="22"/>
  <c r="D15" i="24" s="1"/>
  <c r="W14" i="22"/>
  <c r="D14" i="24" s="1"/>
  <c r="W12" i="22"/>
  <c r="F3" i="22"/>
  <c r="I3" i="22" s="1"/>
  <c r="L3" i="22" s="1"/>
  <c r="O3" i="22" s="1"/>
  <c r="R3" i="22" s="1"/>
  <c r="U3" i="22" s="1"/>
  <c r="F4" i="25" l="1"/>
  <c r="E39" i="23"/>
  <c r="F8" i="25"/>
  <c r="F9" i="25"/>
  <c r="G8" i="25"/>
  <c r="H8" i="25"/>
  <c r="G6" i="24"/>
  <c r="G7" i="24" s="1"/>
  <c r="G8" i="24" s="1"/>
  <c r="G9" i="24" s="1"/>
  <c r="G10" i="24" s="1"/>
  <c r="N50" i="22"/>
  <c r="K38" i="22"/>
  <c r="D54" i="23" s="1"/>
  <c r="D42" i="23"/>
  <c r="D29" i="23"/>
  <c r="I38" i="22"/>
  <c r="M52" i="22"/>
  <c r="P51" i="22"/>
  <c r="P53" i="22"/>
  <c r="N43" i="22"/>
  <c r="M48" i="22"/>
  <c r="AL14" i="22"/>
  <c r="K67" i="23" s="1"/>
  <c r="M67" i="23" s="1"/>
  <c r="J17" i="22"/>
  <c r="S49" i="22"/>
  <c r="T50" i="22"/>
  <c r="AI6" i="22"/>
  <c r="K46" i="23" s="1"/>
  <c r="L46" i="23" s="1"/>
  <c r="AL10" i="22"/>
  <c r="K63" i="23" s="1"/>
  <c r="M63" i="23" s="1"/>
  <c r="S17" i="22"/>
  <c r="P43" i="22"/>
  <c r="P44" i="22"/>
  <c r="T45" i="22"/>
  <c r="S47" i="22"/>
  <c r="P50" i="22"/>
  <c r="AJ17" i="22"/>
  <c r="E21" i="24"/>
  <c r="F21" i="24"/>
  <c r="G55" i="22"/>
  <c r="T47" i="22"/>
  <c r="T49" i="22"/>
  <c r="T52" i="22"/>
  <c r="AI15" i="22"/>
  <c r="K55" i="23" s="1"/>
  <c r="L55" i="23" s="1"/>
  <c r="AL11" i="22"/>
  <c r="K64" i="23" s="1"/>
  <c r="L64" i="23" s="1"/>
  <c r="M17" i="22"/>
  <c r="D55" i="22"/>
  <c r="H55" i="22"/>
  <c r="Q43" i="22"/>
  <c r="T44" i="22"/>
  <c r="N45" i="22"/>
  <c r="N46" i="22"/>
  <c r="Q47" i="22"/>
  <c r="T48" i="22"/>
  <c r="M49" i="22"/>
  <c r="S51" i="22"/>
  <c r="R51" i="22"/>
  <c r="T53" i="22"/>
  <c r="R53" i="22"/>
  <c r="U54" i="22"/>
  <c r="AI8" i="22"/>
  <c r="K48" i="23" s="1"/>
  <c r="L48" i="23" s="1"/>
  <c r="AI12" i="22"/>
  <c r="K52" i="23" s="1"/>
  <c r="L52" i="23" s="1"/>
  <c r="AI16" i="22"/>
  <c r="K56" i="23" s="1"/>
  <c r="M56" i="23" s="1"/>
  <c r="AL16" i="22"/>
  <c r="K69" i="23" s="1"/>
  <c r="L69" i="23" s="1"/>
  <c r="R45" i="22"/>
  <c r="Q49" i="22"/>
  <c r="R49" i="22"/>
  <c r="Q51" i="22"/>
  <c r="S53" i="22"/>
  <c r="Q53" i="22"/>
  <c r="AL7" i="22"/>
  <c r="K60" i="23" s="1"/>
  <c r="L60" i="23" s="1"/>
  <c r="P17" i="22"/>
  <c r="T43" i="22"/>
  <c r="R43" i="22"/>
  <c r="S45" i="22"/>
  <c r="Q45" i="22"/>
  <c r="T46" i="22"/>
  <c r="P47" i="22"/>
  <c r="R47" i="22"/>
  <c r="P49" i="22"/>
  <c r="T51" i="22"/>
  <c r="P52" i="22"/>
  <c r="U53" i="22"/>
  <c r="P54" i="22"/>
  <c r="AG17" i="22"/>
  <c r="AI5" i="22"/>
  <c r="K45" i="23" s="1"/>
  <c r="AI9" i="22"/>
  <c r="K49" i="23" s="1"/>
  <c r="L49" i="23" s="1"/>
  <c r="AI13" i="22"/>
  <c r="K53" i="23" s="1"/>
  <c r="L53" i="23" s="1"/>
  <c r="AL9" i="22"/>
  <c r="K62" i="23" s="1"/>
  <c r="M62" i="23" s="1"/>
  <c r="AL13" i="22"/>
  <c r="K66" i="23" s="1"/>
  <c r="M66" i="23" s="1"/>
  <c r="M34" i="22"/>
  <c r="M38" i="22" s="1"/>
  <c r="M43" i="22"/>
  <c r="F19" i="24"/>
  <c r="L34" i="22"/>
  <c r="K44" i="22"/>
  <c r="K45" i="22"/>
  <c r="K52" i="22"/>
  <c r="AF7" i="22"/>
  <c r="K34" i="23" s="1"/>
  <c r="M34" i="23" s="1"/>
  <c r="L45" i="22"/>
  <c r="AF11" i="22"/>
  <c r="K38" i="23" s="1"/>
  <c r="L38" i="23" s="1"/>
  <c r="L49" i="22"/>
  <c r="AF15" i="22"/>
  <c r="K42" i="23" s="1"/>
  <c r="M42" i="23" s="1"/>
  <c r="L53" i="22"/>
  <c r="AC7" i="22"/>
  <c r="K21" i="23" s="1"/>
  <c r="M21" i="23" s="1"/>
  <c r="O21" i="23" s="1"/>
  <c r="AF8" i="22"/>
  <c r="K35" i="23" s="1"/>
  <c r="AC11" i="22"/>
  <c r="K25" i="23" s="1"/>
  <c r="M25" i="23" s="1"/>
  <c r="AF12" i="22"/>
  <c r="K39" i="23" s="1"/>
  <c r="M39" i="23" s="1"/>
  <c r="AC15" i="22"/>
  <c r="K29" i="23" s="1"/>
  <c r="M29" i="23" s="1"/>
  <c r="AF16" i="22"/>
  <c r="K43" i="23" s="1"/>
  <c r="K49" i="22"/>
  <c r="AD17" i="22"/>
  <c r="AF5" i="22"/>
  <c r="L43" i="22"/>
  <c r="AF9" i="22"/>
  <c r="K36" i="23" s="1"/>
  <c r="L36" i="23" s="1"/>
  <c r="L47" i="22"/>
  <c r="AF13" i="22"/>
  <c r="K40" i="23" s="1"/>
  <c r="L40" i="23" s="1"/>
  <c r="L51" i="22"/>
  <c r="AA17" i="22"/>
  <c r="K47" i="22"/>
  <c r="AC5" i="22"/>
  <c r="AF6" i="22"/>
  <c r="K33" i="23" s="1"/>
  <c r="M33" i="23" s="1"/>
  <c r="AC9" i="22"/>
  <c r="K23" i="23" s="1"/>
  <c r="L23" i="23" s="1"/>
  <c r="AF10" i="22"/>
  <c r="K37" i="23" s="1"/>
  <c r="L37" i="23" s="1"/>
  <c r="AC13" i="22"/>
  <c r="K27" i="23" s="1"/>
  <c r="AF14" i="22"/>
  <c r="K41" i="23" s="1"/>
  <c r="M41" i="23" s="1"/>
  <c r="D18" i="24"/>
  <c r="AC6" i="22"/>
  <c r="K20" i="23" s="1"/>
  <c r="L20" i="23" s="1"/>
  <c r="Z7" i="22"/>
  <c r="D20" i="24" s="1"/>
  <c r="AC8" i="22"/>
  <c r="K22" i="23" s="1"/>
  <c r="Z9" i="22"/>
  <c r="K10" i="23" s="1"/>
  <c r="L10" i="23" s="1"/>
  <c r="AC10" i="22"/>
  <c r="K24" i="23" s="1"/>
  <c r="L24" i="23" s="1"/>
  <c r="Z11" i="22"/>
  <c r="K12" i="23" s="1"/>
  <c r="AC12" i="22"/>
  <c r="K26" i="23" s="1"/>
  <c r="L26" i="23" s="1"/>
  <c r="Z13" i="22"/>
  <c r="K14" i="23" s="1"/>
  <c r="M14" i="23" s="1"/>
  <c r="O14" i="23" s="1"/>
  <c r="AC14" i="22"/>
  <c r="K28" i="23" s="1"/>
  <c r="M28" i="23" s="1"/>
  <c r="Z15" i="22"/>
  <c r="K16" i="23" s="1"/>
  <c r="M16" i="23" s="1"/>
  <c r="O16" i="23" s="1"/>
  <c r="AC16" i="22"/>
  <c r="K30" i="23" s="1"/>
  <c r="L30" i="23" s="1"/>
  <c r="X17" i="22"/>
  <c r="J43" i="22"/>
  <c r="J45" i="22"/>
  <c r="J49" i="22"/>
  <c r="J51" i="22"/>
  <c r="J53" i="22"/>
  <c r="U46" i="22"/>
  <c r="U50" i="22"/>
  <c r="T54" i="22"/>
  <c r="R54" i="22"/>
  <c r="L51" i="23"/>
  <c r="E55" i="22"/>
  <c r="D12" i="24"/>
  <c r="V12" i="22"/>
  <c r="M15" i="23"/>
  <c r="O15" i="23" s="1"/>
  <c r="L15" i="23"/>
  <c r="M17" i="23"/>
  <c r="O17" i="23" s="1"/>
  <c r="L17" i="23"/>
  <c r="U43" i="22"/>
  <c r="Q44" i="22"/>
  <c r="U45" i="22"/>
  <c r="Q46" i="22"/>
  <c r="U47" i="22"/>
  <c r="Q48" i="22"/>
  <c r="U49" i="22"/>
  <c r="Q50" i="22"/>
  <c r="U51" i="22"/>
  <c r="Q52" i="22"/>
  <c r="Q54" i="22"/>
  <c r="I55" i="22"/>
  <c r="L61" i="23"/>
  <c r="M61" i="23"/>
  <c r="U44" i="22"/>
  <c r="U48" i="22"/>
  <c r="U52" i="22"/>
  <c r="M65" i="23"/>
  <c r="L65" i="23"/>
  <c r="E15" i="24"/>
  <c r="F15" i="24"/>
  <c r="F55" i="22"/>
  <c r="S44" i="22"/>
  <c r="R44" i="22"/>
  <c r="S46" i="22"/>
  <c r="R46" i="22"/>
  <c r="S48" i="22"/>
  <c r="R48" i="22"/>
  <c r="S50" i="22"/>
  <c r="R50" i="22"/>
  <c r="S52" i="22"/>
  <c r="R52" i="22"/>
  <c r="S54" i="22"/>
  <c r="M11" i="23"/>
  <c r="O11" i="23" s="1"/>
  <c r="L13" i="23"/>
  <c r="M58" i="23"/>
  <c r="L58" i="23"/>
  <c r="M68" i="23"/>
  <c r="L68" i="23"/>
  <c r="O43" i="22"/>
  <c r="S43" i="22"/>
  <c r="O44" i="22"/>
  <c r="O45" i="22"/>
  <c r="O46" i="22"/>
  <c r="O47" i="22"/>
  <c r="O48" i="22"/>
  <c r="O49" i="22"/>
  <c r="O50" i="22"/>
  <c r="O51" i="22"/>
  <c r="O52" i="22"/>
  <c r="O53" i="22"/>
  <c r="O54" i="22"/>
  <c r="C55" i="22"/>
  <c r="L50" i="23"/>
  <c r="M59" i="23"/>
  <c r="L59" i="23"/>
  <c r="M47" i="23"/>
  <c r="L47" i="23"/>
  <c r="F14" i="24"/>
  <c r="E14" i="24"/>
  <c r="M54" i="23"/>
  <c r="L54" i="23"/>
  <c r="F16" i="24"/>
  <c r="E16" i="24"/>
  <c r="I43" i="24"/>
  <c r="F13" i="24"/>
  <c r="E13" i="24"/>
  <c r="F12" i="25" l="1"/>
  <c r="L63" i="23"/>
  <c r="M46" i="23"/>
  <c r="M38" i="23"/>
  <c r="L66" i="23"/>
  <c r="L62" i="23"/>
  <c r="M55" i="23"/>
  <c r="M69" i="23"/>
  <c r="L67" i="23"/>
  <c r="M49" i="23"/>
  <c r="M48" i="23"/>
  <c r="L38" i="22"/>
  <c r="D67" i="23" s="1"/>
  <c r="N55" i="22"/>
  <c r="M24" i="23"/>
  <c r="L28" i="23"/>
  <c r="M23" i="23"/>
  <c r="M64" i="23"/>
  <c r="K70" i="23"/>
  <c r="Y60" i="23" s="1"/>
  <c r="M53" i="23"/>
  <c r="M60" i="23"/>
  <c r="L16" i="23"/>
  <c r="M45" i="23"/>
  <c r="K57" i="23"/>
  <c r="Y47" i="23" s="1"/>
  <c r="L45" i="23"/>
  <c r="M36" i="23"/>
  <c r="M26" i="23"/>
  <c r="T55" i="22"/>
  <c r="D7" i="23" s="1"/>
  <c r="D9" i="23" s="1"/>
  <c r="P55" i="22"/>
  <c r="S55" i="22"/>
  <c r="L25" i="23"/>
  <c r="M20" i="23"/>
  <c r="O20" i="23" s="1"/>
  <c r="E10" i="23"/>
  <c r="E18" i="24"/>
  <c r="F18" i="24"/>
  <c r="L56" i="23"/>
  <c r="R55" i="22"/>
  <c r="M55" i="22"/>
  <c r="M52" i="23"/>
  <c r="F20" i="24"/>
  <c r="E20" i="24"/>
  <c r="Q55" i="22"/>
  <c r="D30" i="24"/>
  <c r="O20" i="24" s="1"/>
  <c r="AL17" i="22"/>
  <c r="AK17" i="22" s="1"/>
  <c r="AI17" i="22"/>
  <c r="AH17" i="22" s="1"/>
  <c r="L41" i="23"/>
  <c r="L33" i="23"/>
  <c r="L39" i="23"/>
  <c r="AF17" i="22"/>
  <c r="AE17" i="22" s="1"/>
  <c r="L29" i="23"/>
  <c r="J55" i="22"/>
  <c r="L42" i="23"/>
  <c r="M10" i="23"/>
  <c r="O10" i="23" s="1"/>
  <c r="M40" i="23"/>
  <c r="Z17" i="22"/>
  <c r="Y17" i="22" s="1"/>
  <c r="L27" i="23"/>
  <c r="M27" i="23"/>
  <c r="L14" i="23"/>
  <c r="AC17" i="22"/>
  <c r="AB17" i="22" s="1"/>
  <c r="K18" i="23"/>
  <c r="Y8" i="23" s="1"/>
  <c r="L22" i="23"/>
  <c r="M22" i="23"/>
  <c r="O22" i="23" s="1"/>
  <c r="M30" i="23"/>
  <c r="M37" i="23"/>
  <c r="L21" i="23"/>
  <c r="L12" i="23"/>
  <c r="M12" i="23"/>
  <c r="O12" i="23" s="1"/>
  <c r="K19" i="23"/>
  <c r="K31" i="23" s="1"/>
  <c r="K32" i="23"/>
  <c r="K44" i="23" s="1"/>
  <c r="Y34" i="23" s="1"/>
  <c r="L34" i="23"/>
  <c r="L55" i="22"/>
  <c r="L43" i="23"/>
  <c r="M43" i="23"/>
  <c r="M35" i="23"/>
  <c r="L35" i="23"/>
  <c r="K55" i="22"/>
  <c r="F12" i="24"/>
  <c r="E12" i="24"/>
  <c r="I5" i="24"/>
  <c r="O55" i="22"/>
  <c r="U55" i="22"/>
  <c r="D20" i="23" s="1"/>
  <c r="D22" i="23" s="1"/>
  <c r="L70" i="23"/>
  <c r="Y61" i="23" s="1"/>
  <c r="G18" i="24" l="1"/>
  <c r="G19" i="24" s="1"/>
  <c r="G20" i="24" s="1"/>
  <c r="G21" i="24" s="1"/>
  <c r="G22" i="24" s="1"/>
  <c r="G23" i="24" s="1"/>
  <c r="G24" i="24" s="1"/>
  <c r="G25" i="24" s="1"/>
  <c r="G26" i="24" s="1"/>
  <c r="G27" i="24" s="1"/>
  <c r="G28" i="24" s="1"/>
  <c r="G29" i="24" s="1"/>
  <c r="L57" i="23"/>
  <c r="Y48" i="23" s="1"/>
  <c r="M70" i="23"/>
  <c r="X62" i="23" s="1"/>
  <c r="H20" i="25" s="1"/>
  <c r="M57" i="23"/>
  <c r="X49" i="23" s="1"/>
  <c r="G20" i="25" s="1"/>
  <c r="H31" i="23"/>
  <c r="H18" i="23"/>
  <c r="L32" i="23"/>
  <c r="L44" i="23" s="1"/>
  <c r="Y35" i="23" s="1"/>
  <c r="L18" i="23"/>
  <c r="Y9" i="23" s="1"/>
  <c r="F30" i="24"/>
  <c r="O22" i="24" s="1"/>
  <c r="E23" i="23"/>
  <c r="W55" i="22"/>
  <c r="D46" i="23" s="1"/>
  <c r="D48" i="23" s="1"/>
  <c r="E30" i="24"/>
  <c r="O21" i="24" s="1"/>
  <c r="E13" i="23"/>
  <c r="E17" i="23" s="1"/>
  <c r="I10" i="23" s="1"/>
  <c r="D7" i="25"/>
  <c r="D35" i="25" s="1"/>
  <c r="Z55" i="22"/>
  <c r="L19" i="23"/>
  <c r="L31" i="23" s="1"/>
  <c r="Y22" i="23" s="1"/>
  <c r="M19" i="23"/>
  <c r="M31" i="23" s="1"/>
  <c r="M18" i="23"/>
  <c r="X10" i="23" s="1"/>
  <c r="X55" i="22"/>
  <c r="D59" i="23" s="1"/>
  <c r="D61" i="23" s="1"/>
  <c r="V55" i="22"/>
  <c r="D33" i="23" s="1"/>
  <c r="D35" i="23" s="1"/>
  <c r="Y55" i="22"/>
  <c r="M32" i="23"/>
  <c r="M44" i="23" s="1"/>
  <c r="X36" i="23" s="1"/>
  <c r="F20" i="25" s="1"/>
  <c r="O18" i="23"/>
  <c r="I6" i="24"/>
  <c r="D20" i="25" l="1"/>
  <c r="D22" i="25" s="1"/>
  <c r="Y12" i="23"/>
  <c r="Y14" i="23" s="1"/>
  <c r="H44" i="23"/>
  <c r="D10" i="25"/>
  <c r="D14" i="25" s="1"/>
  <c r="I11" i="23"/>
  <c r="J10" i="23"/>
  <c r="Q10" i="23" s="1"/>
  <c r="E35" i="25"/>
  <c r="E62" i="23"/>
  <c r="H35" i="25" s="1"/>
  <c r="E36" i="23"/>
  <c r="G35" i="25"/>
  <c r="O19" i="23"/>
  <c r="I7" i="24"/>
  <c r="F7" i="25" l="1"/>
  <c r="F35" i="25" s="1"/>
  <c r="D36" i="25"/>
  <c r="I12" i="23"/>
  <c r="J11" i="23"/>
  <c r="P11" i="23" s="1"/>
  <c r="Q11" i="23" s="1"/>
  <c r="I19" i="24"/>
  <c r="S11" i="23"/>
  <c r="I8" i="24"/>
  <c r="H57" i="23" l="1"/>
  <c r="I20" i="24"/>
  <c r="J12" i="23"/>
  <c r="P12" i="23" s="1"/>
  <c r="Q12" i="23" s="1"/>
  <c r="I13" i="23"/>
  <c r="I9" i="24"/>
  <c r="S12" i="23"/>
  <c r="H70" i="23" l="1"/>
  <c r="I14" i="23"/>
  <c r="J13" i="23"/>
  <c r="P13" i="23" s="1"/>
  <c r="Q13" i="23" s="1"/>
  <c r="S14" i="23" s="1"/>
  <c r="I21" i="24"/>
  <c r="S13" i="23"/>
  <c r="I10" i="24"/>
  <c r="I22" i="24" l="1"/>
  <c r="I15" i="23"/>
  <c r="J14" i="23"/>
  <c r="P14" i="23" s="1"/>
  <c r="Q14" i="23" s="1"/>
  <c r="S15" i="23" s="1"/>
  <c r="I16" i="23" l="1"/>
  <c r="J15" i="23"/>
  <c r="P15" i="23" s="1"/>
  <c r="Q15" i="23" s="1"/>
  <c r="S16" i="23" s="1"/>
  <c r="I23" i="24"/>
  <c r="I24" i="24" l="1"/>
  <c r="J16" i="23"/>
  <c r="I17" i="23"/>
  <c r="I25" i="24" l="1"/>
  <c r="J17" i="23"/>
  <c r="P17" i="23" s="1"/>
  <c r="I19" i="23"/>
  <c r="P16" i="23"/>
  <c r="I20" i="23" l="1"/>
  <c r="J19" i="23"/>
  <c r="P19" i="23" s="1"/>
  <c r="Q19" i="23" s="1"/>
  <c r="S20" i="23" s="1"/>
  <c r="J18" i="23"/>
  <c r="Y13" i="23" s="1"/>
  <c r="Q16" i="23"/>
  <c r="S17" i="23" s="1"/>
  <c r="S18" i="23" s="1"/>
  <c r="P18" i="23"/>
  <c r="I26" i="24"/>
  <c r="Q17" i="23" l="1"/>
  <c r="T25" i="23"/>
  <c r="T29" i="23"/>
  <c r="T26" i="23"/>
  <c r="T19" i="23"/>
  <c r="T28" i="23"/>
  <c r="T20" i="23"/>
  <c r="T21" i="23"/>
  <c r="T30" i="23"/>
  <c r="T23" i="23"/>
  <c r="T27" i="23"/>
  <c r="T22" i="23"/>
  <c r="T24" i="23"/>
  <c r="D24" i="25"/>
  <c r="I27" i="24"/>
  <c r="D28" i="25"/>
  <c r="D39" i="25"/>
  <c r="I21" i="23"/>
  <c r="J20" i="23"/>
  <c r="P20" i="23" s="1"/>
  <c r="Q20" i="23" s="1"/>
  <c r="S21" i="23" s="1"/>
  <c r="D37" i="25" l="1"/>
  <c r="D38" i="25" s="1"/>
  <c r="D27" i="25"/>
  <c r="T31" i="23"/>
  <c r="Y15" i="23" s="1"/>
  <c r="I28" i="24"/>
  <c r="J21" i="23"/>
  <c r="P21" i="23" s="1"/>
  <c r="Q21" i="23" s="1"/>
  <c r="S22" i="23" s="1"/>
  <c r="I22" i="23"/>
  <c r="J22" i="23" s="1"/>
  <c r="P22" i="23" s="1"/>
  <c r="F41" i="25" l="1"/>
  <c r="D43" i="25"/>
  <c r="Q22" i="23"/>
  <c r="S23" i="23" s="1"/>
  <c r="I29" i="24"/>
  <c r="I30" i="24" s="1"/>
  <c r="E40" i="25"/>
  <c r="F42" i="25" s="1"/>
  <c r="D29" i="25"/>
  <c r="D30" i="25" s="1"/>
  <c r="J32" i="24" l="1"/>
  <c r="J42" i="24"/>
  <c r="J31" i="24"/>
  <c r="J38" i="24"/>
  <c r="J35" i="24"/>
  <c r="J40" i="24"/>
  <c r="J34" i="24"/>
  <c r="J36" i="24"/>
  <c r="J41" i="24"/>
  <c r="J37" i="24"/>
  <c r="J33" i="24"/>
  <c r="J39" i="24"/>
  <c r="J43" i="24" l="1"/>
  <c r="F10" i="25" s="1"/>
  <c r="F14" i="25" s="1"/>
  <c r="O37" i="23" l="1"/>
  <c r="O39" i="23"/>
  <c r="O45" i="23"/>
  <c r="O42" i="23"/>
  <c r="O40" i="23"/>
  <c r="O36" i="23"/>
  <c r="O48" i="23"/>
  <c r="E40" i="23"/>
  <c r="E43" i="23" s="1"/>
  <c r="I36" i="23" s="1"/>
  <c r="I37" i="23" s="1"/>
  <c r="O41" i="23"/>
  <c r="O47" i="23"/>
  <c r="O46" i="23"/>
  <c r="O43" i="23"/>
  <c r="O38" i="23"/>
  <c r="J36" i="23" l="1"/>
  <c r="P36" i="23" s="1"/>
  <c r="I38" i="23"/>
  <c r="J37" i="23"/>
  <c r="P37" i="23" s="1"/>
  <c r="I39" i="23" l="1"/>
  <c r="J38" i="23"/>
  <c r="P38" i="23" s="1"/>
  <c r="I40" i="23" l="1"/>
  <c r="J39" i="23"/>
  <c r="P39" i="23" s="1"/>
  <c r="J40" i="23" l="1"/>
  <c r="P40" i="23" s="1"/>
  <c r="I41" i="23"/>
  <c r="I42" i="23" l="1"/>
  <c r="J41" i="23"/>
  <c r="P41" i="23" s="1"/>
  <c r="J42" i="23" l="1"/>
  <c r="P42" i="23" s="1"/>
  <c r="I43" i="23"/>
  <c r="I45" i="23" l="1"/>
  <c r="J43" i="23"/>
  <c r="P43" i="23" s="1"/>
  <c r="J45" i="23" l="1"/>
  <c r="P45" i="23" s="1"/>
  <c r="I46" i="23"/>
  <c r="Q45" i="23" l="1"/>
  <c r="S46" i="23" s="1"/>
  <c r="J46" i="23"/>
  <c r="P46" i="23" s="1"/>
  <c r="I47" i="23"/>
  <c r="Q46" i="23" l="1"/>
  <c r="S47" i="23" s="1"/>
  <c r="J47" i="23"/>
  <c r="P47" i="23" s="1"/>
  <c r="I48" i="23"/>
  <c r="J48" i="23" s="1"/>
  <c r="P48" i="23" s="1"/>
  <c r="Q47" i="23" l="1"/>
  <c r="S48" i="23" s="1"/>
  <c r="D11" i="24"/>
  <c r="D17" i="24" s="1"/>
  <c r="O7" i="24" s="1"/>
  <c r="V11" i="22"/>
  <c r="W17" i="22"/>
  <c r="V17" i="22" s="1"/>
  <c r="Q48" i="23" l="1"/>
  <c r="S49" i="23" s="1"/>
  <c r="E11" i="24"/>
  <c r="E17" i="24" s="1"/>
  <c r="O8" i="24" s="1"/>
  <c r="F11" i="24"/>
  <c r="G11" i="24" s="1"/>
  <c r="G12" i="24" s="1"/>
  <c r="G13" i="24" s="1"/>
  <c r="G14" i="24" s="1"/>
  <c r="G15" i="24" s="1"/>
  <c r="G16" i="24" s="1"/>
  <c r="F17" i="24" l="1"/>
  <c r="O9" i="24" s="1"/>
  <c r="I12" i="24" l="1"/>
  <c r="I13" i="24" l="1"/>
  <c r="I14" i="24" l="1"/>
  <c r="I15" i="24" l="1"/>
  <c r="I16" i="24" l="1"/>
  <c r="I17" i="24" s="1"/>
  <c r="J23" i="24" l="1"/>
  <c r="J28" i="24"/>
  <c r="J18" i="24"/>
  <c r="J29" i="24"/>
  <c r="J26" i="24"/>
  <c r="J21" i="24"/>
  <c r="J24" i="24"/>
  <c r="J27" i="24"/>
  <c r="J22" i="24"/>
  <c r="J25" i="24"/>
  <c r="J19" i="24"/>
  <c r="J20" i="24"/>
  <c r="J30" i="24" l="1"/>
  <c r="O10" i="24" l="1"/>
  <c r="E10" i="25"/>
  <c r="E14" i="25" s="1"/>
  <c r="O25" i="23" l="1"/>
  <c r="O26" i="23"/>
  <c r="O23" i="23"/>
  <c r="O32" i="23"/>
  <c r="O28" i="23"/>
  <c r="O34" i="23"/>
  <c r="O27" i="23"/>
  <c r="O24" i="23"/>
  <c r="O30" i="23"/>
  <c r="O29" i="23"/>
  <c r="E27" i="23"/>
  <c r="E30" i="23" s="1"/>
  <c r="I23" i="23" s="1"/>
  <c r="J23" i="23" s="1"/>
  <c r="O35" i="23"/>
  <c r="O33" i="23"/>
  <c r="P23" i="23" l="1"/>
  <c r="N44" i="23"/>
  <c r="X37" i="23" s="1"/>
  <c r="N31" i="23"/>
  <c r="O44" i="23"/>
  <c r="O31" i="23"/>
  <c r="I24" i="23"/>
  <c r="I25" i="23" s="1"/>
  <c r="I26" i="23"/>
  <c r="J25" i="23"/>
  <c r="P25" i="23" s="1"/>
  <c r="Q23" i="23"/>
  <c r="S24" i="23" s="1"/>
  <c r="X24" i="23" l="1"/>
  <c r="E21" i="25" s="1"/>
  <c r="E22" i="25" s="1"/>
  <c r="Y38" i="23"/>
  <c r="F36" i="25" s="1"/>
  <c r="F21" i="25"/>
  <c r="J24" i="23"/>
  <c r="P24" i="23" s="1"/>
  <c r="Q24" i="23" s="1"/>
  <c r="S25" i="23" s="1"/>
  <c r="J26" i="23"/>
  <c r="I27" i="23"/>
  <c r="Y25" i="23" l="1"/>
  <c r="E36" i="25" s="1"/>
  <c r="Q25" i="23"/>
  <c r="S26" i="23" s="1"/>
  <c r="P26" i="23"/>
  <c r="I28" i="23"/>
  <c r="J27" i="23"/>
  <c r="P27" i="23" s="1"/>
  <c r="I29" i="23" l="1"/>
  <c r="J28" i="23"/>
  <c r="Q26" i="23"/>
  <c r="S27" i="23" s="1"/>
  <c r="Q27" i="23" l="1"/>
  <c r="S28" i="23" s="1"/>
  <c r="P28" i="23"/>
  <c r="I30" i="23"/>
  <c r="J29" i="23"/>
  <c r="P29" i="23" s="1"/>
  <c r="Q28" i="23" l="1"/>
  <c r="S29" i="23" s="1"/>
  <c r="I32" i="23"/>
  <c r="J30" i="23"/>
  <c r="Q29" i="23" l="1"/>
  <c r="S30" i="23" s="1"/>
  <c r="S31" i="23" s="1"/>
  <c r="P30" i="23"/>
  <c r="J31" i="23"/>
  <c r="Y26" i="23" s="1"/>
  <c r="E24" i="25" s="1"/>
  <c r="E27" i="25" s="1"/>
  <c r="J32" i="23"/>
  <c r="I33" i="23"/>
  <c r="Y27" i="23" l="1"/>
  <c r="J33" i="23"/>
  <c r="P33" i="23" s="1"/>
  <c r="I34" i="23"/>
  <c r="P32" i="23"/>
  <c r="Q30" i="23"/>
  <c r="P31" i="23"/>
  <c r="E28" i="25"/>
  <c r="E39" i="25"/>
  <c r="F22" i="25" l="1"/>
  <c r="T38" i="23"/>
  <c r="T36" i="23"/>
  <c r="T35" i="23"/>
  <c r="T41" i="23"/>
  <c r="T34" i="23"/>
  <c r="T37" i="23"/>
  <c r="T32" i="23"/>
  <c r="T43" i="23"/>
  <c r="T42" i="23"/>
  <c r="T40" i="23"/>
  <c r="T33" i="23"/>
  <c r="T39" i="23"/>
  <c r="I35" i="23"/>
  <c r="J35" i="23" s="1"/>
  <c r="P35" i="23" s="1"/>
  <c r="J34" i="23"/>
  <c r="Q32" i="23"/>
  <c r="S33" i="23" s="1"/>
  <c r="E37" i="25"/>
  <c r="E38" i="25" s="1"/>
  <c r="G41" i="25" l="1"/>
  <c r="E43" i="25"/>
  <c r="T44" i="23"/>
  <c r="Q33" i="23"/>
  <c r="S34" i="23" s="1"/>
  <c r="P34" i="23"/>
  <c r="J44" i="23"/>
  <c r="Y39" i="23" s="1"/>
  <c r="F24" i="25" s="1"/>
  <c r="F27" i="25" s="1"/>
  <c r="Q34" i="23" l="1"/>
  <c r="P44" i="23"/>
  <c r="Y40" i="23"/>
  <c r="F40" i="25"/>
  <c r="G42" i="25" s="1"/>
  <c r="E29" i="25"/>
  <c r="E30" i="25" s="1"/>
  <c r="G10" i="25" s="1"/>
  <c r="G14" i="25" s="1"/>
  <c r="Y28" i="23"/>
  <c r="O52" i="23" l="1"/>
  <c r="O51" i="23"/>
  <c r="O53" i="23"/>
  <c r="O61" i="23"/>
  <c r="O54" i="23"/>
  <c r="O55" i="23"/>
  <c r="O59" i="23"/>
  <c r="O50" i="23"/>
  <c r="O56" i="23"/>
  <c r="O60" i="23"/>
  <c r="T55" i="23"/>
  <c r="T53" i="23"/>
  <c r="T45" i="23"/>
  <c r="T51" i="23"/>
  <c r="T56" i="23"/>
  <c r="T46" i="23"/>
  <c r="T47" i="23"/>
  <c r="T49" i="23"/>
  <c r="T54" i="23"/>
  <c r="T50" i="23"/>
  <c r="T48" i="23"/>
  <c r="T52" i="23"/>
  <c r="S35" i="23"/>
  <c r="Q35" i="23"/>
  <c r="F37" i="25"/>
  <c r="E52" i="23"/>
  <c r="E55" i="23" s="1"/>
  <c r="I49" i="23" s="1"/>
  <c r="N57" i="23" l="1"/>
  <c r="X50" i="23" s="1"/>
  <c r="G21" i="25" s="1"/>
  <c r="S36" i="23"/>
  <c r="Q36" i="23"/>
  <c r="F38" i="25"/>
  <c r="O58" i="23"/>
  <c r="T57" i="23"/>
  <c r="J49" i="23"/>
  <c r="I50" i="23"/>
  <c r="O49" i="23"/>
  <c r="O57" i="23" s="1"/>
  <c r="H41" i="25" l="1"/>
  <c r="G22" i="25"/>
  <c r="Y51" i="23"/>
  <c r="S37" i="23"/>
  <c r="Q37" i="23"/>
  <c r="J50" i="23"/>
  <c r="P50" i="23" s="1"/>
  <c r="I51" i="23"/>
  <c r="G40" i="25"/>
  <c r="F29" i="25"/>
  <c r="P49" i="23"/>
  <c r="Q49" i="23" l="1"/>
  <c r="S50" i="23" s="1"/>
  <c r="S38" i="23"/>
  <c r="Q38" i="23"/>
  <c r="G36" i="25"/>
  <c r="I52" i="23"/>
  <c r="J51" i="23"/>
  <c r="P51" i="23" s="1"/>
  <c r="Q50" i="23" l="1"/>
  <c r="S51" i="23" s="1"/>
  <c r="Q39" i="23"/>
  <c r="S39" i="23"/>
  <c r="I53" i="23"/>
  <c r="J52" i="23"/>
  <c r="Q51" i="23" l="1"/>
  <c r="S52" i="23" s="1"/>
  <c r="I54" i="23"/>
  <c r="J53" i="23"/>
  <c r="P53" i="23" s="1"/>
  <c r="Q40" i="23"/>
  <c r="S40" i="23"/>
  <c r="P52" i="23"/>
  <c r="Q41" i="23" l="1"/>
  <c r="S41" i="23"/>
  <c r="Q52" i="23"/>
  <c r="S53" i="23" s="1"/>
  <c r="I55" i="23"/>
  <c r="J54" i="23"/>
  <c r="Q53" i="23" l="1"/>
  <c r="S54" i="23" s="1"/>
  <c r="P54" i="23"/>
  <c r="I56" i="23"/>
  <c r="J55" i="23"/>
  <c r="P55" i="23" s="1"/>
  <c r="S42" i="23"/>
  <c r="Q42" i="23"/>
  <c r="S43" i="23" l="1"/>
  <c r="S44" i="23" s="1"/>
  <c r="Q43" i="23"/>
  <c r="I58" i="23"/>
  <c r="J56" i="23"/>
  <c r="Q54" i="23"/>
  <c r="S55" i="23" s="1"/>
  <c r="Q55" i="23" l="1"/>
  <c r="S56" i="23" s="1"/>
  <c r="S57" i="23" s="1"/>
  <c r="P56" i="23"/>
  <c r="P57" i="23" s="1"/>
  <c r="J57" i="23"/>
  <c r="Y52" i="23" s="1"/>
  <c r="G24" i="25" s="1"/>
  <c r="J58" i="23"/>
  <c r="I59" i="23"/>
  <c r="Y41" i="23"/>
  <c r="F28" i="25"/>
  <c r="F30" i="25" s="1"/>
  <c r="H10" i="25" s="1"/>
  <c r="H14" i="25" s="1"/>
  <c r="F39" i="25"/>
  <c r="H42" i="25" l="1"/>
  <c r="F43" i="25"/>
  <c r="O66" i="23"/>
  <c r="O68" i="23"/>
  <c r="O63" i="23"/>
  <c r="O67" i="23"/>
  <c r="O65" i="23"/>
  <c r="O69" i="23"/>
  <c r="O64" i="23"/>
  <c r="G28" i="25"/>
  <c r="G39" i="25"/>
  <c r="Y53" i="23"/>
  <c r="I60" i="23"/>
  <c r="J59" i="23"/>
  <c r="P59" i="23" s="1"/>
  <c r="Q56" i="23"/>
  <c r="E65" i="23"/>
  <c r="E68" i="23" s="1"/>
  <c r="I62" i="23" s="1"/>
  <c r="P58" i="23"/>
  <c r="J62" i="23" l="1"/>
  <c r="I63" i="23"/>
  <c r="J60" i="23"/>
  <c r="I61" i="23"/>
  <c r="J61" i="23" s="1"/>
  <c r="P61" i="23" s="1"/>
  <c r="O62" i="23"/>
  <c r="N70" i="23"/>
  <c r="X63" i="23" s="1"/>
  <c r="H21" i="25" s="1"/>
  <c r="G37" i="25"/>
  <c r="G27" i="25"/>
  <c r="T62" i="23"/>
  <c r="T58" i="23"/>
  <c r="T59" i="23"/>
  <c r="T68" i="23"/>
  <c r="T60" i="23"/>
  <c r="T61" i="23"/>
  <c r="T64" i="23"/>
  <c r="T66" i="23"/>
  <c r="T63" i="23"/>
  <c r="T65" i="23"/>
  <c r="T69" i="23"/>
  <c r="T67" i="23"/>
  <c r="Q58" i="23"/>
  <c r="S59" i="23" s="1"/>
  <c r="Q59" i="23" l="1"/>
  <c r="S60" i="23" s="1"/>
  <c r="P62" i="23"/>
  <c r="O70" i="23"/>
  <c r="G38" i="25"/>
  <c r="G43" i="25" s="1"/>
  <c r="H22" i="25"/>
  <c r="Y64" i="23"/>
  <c r="I64" i="23"/>
  <c r="J63" i="23"/>
  <c r="P63" i="23" s="1"/>
  <c r="T70" i="23"/>
  <c r="P60" i="23"/>
  <c r="H36" i="25" l="1"/>
  <c r="Q60" i="23"/>
  <c r="G29" i="25"/>
  <c r="G30" i="25" s="1"/>
  <c r="H40" i="25"/>
  <c r="Y54" i="23"/>
  <c r="I65" i="23"/>
  <c r="J64" i="23"/>
  <c r="S61" i="23" l="1"/>
  <c r="Q61" i="23"/>
  <c r="P64" i="23"/>
  <c r="J65" i="23"/>
  <c r="P65" i="23" s="1"/>
  <c r="I66" i="23"/>
  <c r="S62" i="23" l="1"/>
  <c r="Q62" i="23"/>
  <c r="I67" i="23"/>
  <c r="J66" i="23"/>
  <c r="P66" i="23" s="1"/>
  <c r="I68" i="23" l="1"/>
  <c r="J67" i="23"/>
  <c r="S63" i="23"/>
  <c r="Q63" i="23"/>
  <c r="J68" i="23" l="1"/>
  <c r="P68" i="23" s="1"/>
  <c r="I69" i="23"/>
  <c r="J69" i="23" s="1"/>
  <c r="P69" i="23" s="1"/>
  <c r="S64" i="23"/>
  <c r="Q64" i="23"/>
  <c r="P67" i="23"/>
  <c r="J70" i="23" l="1"/>
  <c r="Y65" i="23" s="1"/>
  <c r="H24" i="25" s="1"/>
  <c r="S65" i="23"/>
  <c r="Q65" i="23"/>
  <c r="P70" i="23"/>
  <c r="H29" i="25" s="1"/>
  <c r="Y66" i="23" l="1"/>
  <c r="H37" i="25"/>
  <c r="H27" i="25"/>
  <c r="S66" i="23"/>
  <c r="Q66" i="23"/>
  <c r="S67" i="23" l="1"/>
  <c r="Q67" i="23"/>
  <c r="H38" i="25"/>
  <c r="S68" i="23" l="1"/>
  <c r="Q68" i="23"/>
  <c r="S69" i="23" l="1"/>
  <c r="S70" i="23" s="1"/>
  <c r="Q69" i="23"/>
  <c r="H39" i="25" l="1"/>
  <c r="H43" i="25" s="1"/>
  <c r="Y67" i="23"/>
  <c r="H28" i="25"/>
  <c r="H30" i="25" s="1"/>
</calcChain>
</file>

<file path=xl/sharedStrings.xml><?xml version="1.0" encoding="utf-8"?>
<sst xmlns="http://schemas.openxmlformats.org/spreadsheetml/2006/main" count="549" uniqueCount="264">
  <si>
    <t xml:space="preserve">January </t>
  </si>
  <si>
    <t xml:space="preserve">February 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</si>
  <si>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</si>
  <si>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</si>
  <si>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</si>
  <si>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</si>
  <si>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</si>
  <si>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</si>
  <si>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</si>
  <si>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</si>
  <si>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</si>
  <si>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 xml:space="preserve">December </t>
  </si>
  <si>
    <t>GA ($/kWh)</t>
  </si>
  <si>
    <t>Brookfield kWh</t>
  </si>
  <si>
    <t>Total</t>
  </si>
  <si>
    <t>GA Savings</t>
  </si>
  <si>
    <t>Rate ($/kWh)</t>
  </si>
  <si>
    <t>Customer Volumes (kWh)</t>
  </si>
  <si>
    <t>Variance</t>
  </si>
  <si>
    <t>Interest</t>
  </si>
  <si>
    <t>Cumulative Variance</t>
  </si>
  <si>
    <t>Interest $</t>
  </si>
  <si>
    <t>Interest %</t>
  </si>
  <si>
    <t>A</t>
  </si>
  <si>
    <t>B</t>
  </si>
  <si>
    <t>D</t>
  </si>
  <si>
    <t>G</t>
  </si>
  <si>
    <t>J</t>
  </si>
  <si>
    <t>C = A * B</t>
  </si>
  <si>
    <t>E = D / 2</t>
  </si>
  <si>
    <t>F = D / 2</t>
  </si>
  <si>
    <t>Paid to Brookfield</t>
  </si>
  <si>
    <t>Owed to Customers</t>
  </si>
  <si>
    <t>Credited to Customers</t>
  </si>
  <si>
    <t>Interest on Variance</t>
  </si>
  <si>
    <t>Q4 2023</t>
  </si>
  <si>
    <t>Q3 2023</t>
  </si>
  <si>
    <t>Q2 2023</t>
  </si>
  <si>
    <t>Q1 2023</t>
  </si>
  <si>
    <t>Q4 2022</t>
  </si>
  <si>
    <t>Q3 2022</t>
  </si>
  <si>
    <t>Q2 2022</t>
  </si>
  <si>
    <t>Q1 2022</t>
  </si>
  <si>
    <t>Q4 2021</t>
  </si>
  <si>
    <t>Q3 2021</t>
  </si>
  <si>
    <t>Q2 2021</t>
  </si>
  <si>
    <t>Q1 2021</t>
  </si>
  <si>
    <t>Q4 2020</t>
  </si>
  <si>
    <t>Q3 2020</t>
  </si>
  <si>
    <t>Q2 2020</t>
  </si>
  <si>
    <t>Q1 2020</t>
  </si>
  <si>
    <t>RPP Report</t>
  </si>
  <si>
    <t>Waltham Volumes (kWh)</t>
  </si>
  <si>
    <t>$/MWh</t>
  </si>
  <si>
    <t>Oct. 2019 Report</t>
  </si>
  <si>
    <t>Oct. 2020 Report</t>
  </si>
  <si>
    <t>Oct. 2021 Report</t>
  </si>
  <si>
    <t>Oct. 2022 Report</t>
  </si>
  <si>
    <t>DVA Variance Interest Rates</t>
  </si>
  <si>
    <t>Apr. 2018 Report</t>
  </si>
  <si>
    <t>Q1 2019</t>
  </si>
  <si>
    <t>Q2 2019</t>
  </si>
  <si>
    <t>Q3 2019</t>
  </si>
  <si>
    <t>Q4 2019</t>
  </si>
  <si>
    <t>Actual customer share of GA savings</t>
  </si>
  <si>
    <t>Variance Total</t>
  </si>
  <si>
    <t>Global Adjustment Forecast</t>
  </si>
  <si>
    <t>Customer Share</t>
  </si>
  <si>
    <t>Variance Disposition</t>
  </si>
  <si>
    <t>Variances</t>
  </si>
  <si>
    <t>H = F + G</t>
  </si>
  <si>
    <t>I = H - C</t>
  </si>
  <si>
    <t>K</t>
  </si>
  <si>
    <t>L = J * L</t>
  </si>
  <si>
    <t>Variance Disposal (2-year lag)</t>
  </si>
  <si>
    <t>Actual</t>
  </si>
  <si>
    <t>Forecast (actual of last year)</t>
  </si>
  <si>
    <t>Forecast (RPP Report)</t>
  </si>
  <si>
    <t>Actual (calculated below)</t>
  </si>
  <si>
    <t>(= GA$/kWh * Forecast volumes * 0.5)</t>
  </si>
  <si>
    <t>Forecast Global Adjustment ($/kWh)</t>
  </si>
  <si>
    <t>Forecast Waltham Volumes (kWh)</t>
  </si>
  <si>
    <t>Forecast Total Customer kWh</t>
  </si>
  <si>
    <t>Difference between forecast and actual</t>
  </si>
  <si>
    <t>Year-End Balance</t>
  </si>
  <si>
    <t>Interest (in year)</t>
  </si>
  <si>
    <t>Lagged Interest</t>
  </si>
  <si>
    <t>Oct. 2023 RPP Report</t>
  </si>
  <si>
    <t>2022 Actual Volumes (RRR values in IRM model)</t>
  </si>
  <si>
    <t>2023 Actual Volumes (RRR values in IRM model)</t>
  </si>
  <si>
    <t>Brookfield GA</t>
  </si>
  <si>
    <t>Calendar Year</t>
  </si>
  <si>
    <t>Purchased Power-Adjustment</t>
  </si>
  <si>
    <t>Summary</t>
  </si>
  <si>
    <t>GA Savings on Waltham Energy</t>
  </si>
  <si>
    <t>Forecast rate (changes each May)</t>
  </si>
  <si>
    <t>Actual amount credited to customers</t>
  </si>
  <si>
    <t>Actual avoided GA (Waltham volumes * GA $/kWh)</t>
  </si>
  <si>
    <t>Actual half paid to Brookfield</t>
  </si>
  <si>
    <t>Actual half to be credited to customers</t>
  </si>
  <si>
    <t>Difference between what was actually credited to customers and what should be</t>
  </si>
  <si>
    <t>Cumulative variance used to calculate variances</t>
  </si>
  <si>
    <t>OEB's DVA interest rate</t>
  </si>
  <si>
    <t>Monthly interest on variances</t>
  </si>
  <si>
    <t>Total GA avoided (Waltham kWh * GA $/kWh)</t>
  </si>
  <si>
    <t>Amount that should be credited to customers</t>
  </si>
  <si>
    <t>Amount to be credited to customers including variances</t>
  </si>
  <si>
    <t>Forecast GA ($/kWh)</t>
  </si>
  <si>
    <t>Total Customer Volumes (kWh)</t>
  </si>
  <si>
    <t>Variance from previous years ($)</t>
  </si>
  <si>
    <t>Interest on variance ($)</t>
  </si>
  <si>
    <t>GA Paid on Waltham energy</t>
  </si>
  <si>
    <t xml:space="preserve">2023/24 Overcollection </t>
  </si>
  <si>
    <t>Cumulative Credit</t>
  </si>
  <si>
    <t>Customer Share Owed to Customers</t>
  </si>
  <si>
    <t>Amount to be credited to customers in 2025</t>
  </si>
  <si>
    <t>Interest on balance owed to customers in 2025</t>
  </si>
  <si>
    <t>Amount to be credited to customers in 2026</t>
  </si>
  <si>
    <t>Interest on balance owed to customers in 2026</t>
  </si>
  <si>
    <t>Month</t>
  </si>
  <si>
    <t>Total Forecast GA Savings ($)</t>
  </si>
  <si>
    <t>Forecast net GA Savings ($)</t>
  </si>
  <si>
    <t>Forecast net GA Savings</t>
  </si>
  <si>
    <t>2019-2022 Average Waltham Volumes</t>
  </si>
  <si>
    <t>2020-2023 Average Waltham Volumes</t>
  </si>
  <si>
    <t>2021-2024 Average Waltham Volumes</t>
  </si>
  <si>
    <t>(= Actual Net GA Savings + variance)</t>
  </si>
  <si>
    <t>(=Net GA Savings + Variance Disposal)</t>
  </si>
  <si>
    <t>B = A / 2</t>
  </si>
  <si>
    <t>C = A / 2</t>
  </si>
  <si>
    <t>E</t>
  </si>
  <si>
    <t>Oct. 2023 Report</t>
  </si>
  <si>
    <t>Total savings * 50%</t>
  </si>
  <si>
    <t>Notes</t>
  </si>
  <si>
    <t>(No variance in this year)</t>
  </si>
  <si>
    <t>Net GA Savings</t>
  </si>
  <si>
    <t>2022-2025 Average Waltham Volumes</t>
  </si>
  <si>
    <t>Oct. 2025 RPP Report</t>
  </si>
  <si>
    <t>2025 Actual Volumes (RRR values in IRM model)</t>
  </si>
  <si>
    <t>Variance Disposition &amp; Overcollection</t>
  </si>
  <si>
    <t>Actual amount to be credit to customers, including variances and overcollection</t>
  </si>
  <si>
    <t>Audited Variance from 2024</t>
  </si>
  <si>
    <t>Interest on variance from 2024</t>
  </si>
  <si>
    <t>Interest (lag year 1)</t>
  </si>
  <si>
    <t>Forecast Data</t>
  </si>
  <si>
    <t>Forecast (4-Year Average)</t>
  </si>
  <si>
    <t>RRR Volumes</t>
  </si>
  <si>
    <t>Power Purchased True-Up Balance and Rate Calculations</t>
  </si>
  <si>
    <t>Forecast Power Purchased True-Up Balance ($)</t>
  </si>
  <si>
    <t xml:space="preserve">Actual amount credited to customers based on actual volumes and forecast Power Purchased True-Up </t>
  </si>
  <si>
    <t>Power Purchased True-Up-2027 ($/kWh)</t>
  </si>
  <si>
    <t>Power Purchased True-Up-2024 ($/kWh)</t>
  </si>
  <si>
    <t>Power Purchased True-Up-2025 ($/kWh)</t>
  </si>
  <si>
    <t>Power Purchased True-Up-2026 ($/kWh)</t>
  </si>
  <si>
    <t>Power Purchased True-Up Balance</t>
  </si>
  <si>
    <t>Power Purchased True-Up ($/kWh)</t>
  </si>
  <si>
    <t>(= Power Purchased True-Up Balance / customer volumes)</t>
  </si>
  <si>
    <t xml:space="preserve">1508 Power Purchased True-Up Tracking Account </t>
  </si>
  <si>
    <t>Power Purchased True-Up Calculation</t>
  </si>
  <si>
    <t>Total Customer kWh Volumes (metered)</t>
  </si>
  <si>
    <t>Power Purchased True-Up Rate</t>
  </si>
  <si>
    <t>Q1 2024</t>
  </si>
  <si>
    <t>Adjustment for earlier variances (2-year lag)</t>
  </si>
  <si>
    <t>Monthly interest on variances in lag year</t>
  </si>
  <si>
    <t>Audited Variance from 2025</t>
  </si>
  <si>
    <t>Interest on variance from 2025</t>
  </si>
  <si>
    <t>Oct. 2024 Report</t>
  </si>
  <si>
    <t>Oct. 2025 Report</t>
  </si>
  <si>
    <t>Oct. 2026 Report</t>
  </si>
  <si>
    <t>Oct. 2027 Report</t>
  </si>
  <si>
    <t>Q2 2024</t>
  </si>
  <si>
    <t>Q3 2024</t>
  </si>
  <si>
    <t>Q4 2024</t>
  </si>
  <si>
    <t>Q1 2025</t>
  </si>
  <si>
    <t>Q2 2025</t>
  </si>
  <si>
    <t>Q3 2025</t>
  </si>
  <si>
    <t>Q4 2025</t>
  </si>
  <si>
    <t>Q1 2026</t>
  </si>
  <si>
    <t>Q2 2026</t>
  </si>
  <si>
    <t>Q3 2026</t>
  </si>
  <si>
    <t>Q4 2026</t>
  </si>
  <si>
    <t>Q1 2027</t>
  </si>
  <si>
    <t>Q2 2027</t>
  </si>
  <si>
    <t>Q3 2027</t>
  </si>
  <si>
    <t>Q4 2027</t>
  </si>
  <si>
    <t>Q1 2028</t>
  </si>
  <si>
    <t>Q2 2028</t>
  </si>
  <si>
    <t>Q3 2028</t>
  </si>
  <si>
    <t>Q4 2028</t>
  </si>
  <si>
    <t>Power Purchased True-Up-2028 ($/kWh)</t>
  </si>
  <si>
    <t>2023-2026 Average Waltham Volumes</t>
  </si>
  <si>
    <t>Oct. 2026 RPP Report</t>
  </si>
  <si>
    <t>Audited Variance from 2026</t>
  </si>
  <si>
    <t>Interest on variance from 2026</t>
  </si>
  <si>
    <t>2026 Actual Volumes (RRR values in IRM model)</t>
  </si>
  <si>
    <t>Adjustment for audited variances (2-year lag) and Overcollection</t>
  </si>
  <si>
    <t>Variance to be disposed in 2027 IRM</t>
  </si>
  <si>
    <t>Interest on variance to be disposed in 2027 IRM</t>
  </si>
  <si>
    <t>Variance to be disposed in 2028 IRM</t>
  </si>
  <si>
    <t>Interest on variance to be disposed in 2028 IRM</t>
  </si>
  <si>
    <t>Variance to be disposed in 2029 IRM</t>
  </si>
  <si>
    <t>Interest on variance to be disposed in 2029 IRM</t>
  </si>
  <si>
    <t>Variance to be disposed in 2030 IRM</t>
  </si>
  <si>
    <t>Interest on variance to be disposed in 2030 IRM</t>
  </si>
  <si>
    <t>Forecast (4-year historic average)</t>
  </si>
  <si>
    <t>2023/2024 Overcollection</t>
  </si>
  <si>
    <t xml:space="preserve">Actual </t>
  </si>
  <si>
    <t>Variance to be disposed in 2026 COS</t>
  </si>
  <si>
    <t>Interest on variance to be disposed in 2026 COS</t>
  </si>
  <si>
    <t>2026 Load Forecast</t>
  </si>
  <si>
    <t>Customer kWh Volumes</t>
  </si>
  <si>
    <t>*Not yet available - Q3 2024 Used</t>
  </si>
  <si>
    <t>2024 IRM</t>
  </si>
  <si>
    <t>2025 IRM</t>
  </si>
  <si>
    <t>Disposition of 2023 Overcollection</t>
  </si>
  <si>
    <t>Disposition of 2024 Overcollection</t>
  </si>
  <si>
    <t>Purchased Power Adjustment</t>
  </si>
  <si>
    <t>F = D * 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</si>
  <si>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</si>
  <si>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</si>
  <si>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</si>
  <si>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</si>
  <si>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</si>
  <si>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</si>
  <si>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</si>
  <si>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</si>
  <si>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</si>
  <si>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</si>
  <si>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</si>
  <si>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</si>
  <si>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1st Estimate (¢/kWh)</t>
  </si>
  <si>
    <t>2nd Estimate (¢/kWh)</t>
  </si>
  <si>
    <t>Actual Rate (¢/kWh)</t>
  </si>
  <si>
    <t>Global Adjustment (¢/kWh)</t>
  </si>
  <si>
    <t>IESO Price Overview - Global Adjustment (GA)</t>
  </si>
  <si>
    <t>https://www.ieso.ca/Power-Data/Price-Overview/Global-Adjustment</t>
  </si>
  <si>
    <t>*Not yet available - 2024 average used</t>
  </si>
  <si>
    <t>Average</t>
  </si>
  <si>
    <t>(¢/kWh)</t>
  </si>
  <si>
    <t>2024 Average GA (to be updated with Oct. 2024 RPP Report)</t>
  </si>
  <si>
    <t>Oct. 2027 RPP Report</t>
  </si>
  <si>
    <t>2024 Variance Summary - Disposed in 2026</t>
  </si>
  <si>
    <t>2025 Variance Summary - Disposed in 2027</t>
  </si>
  <si>
    <t>2026 Variance Summary - Disposed in 2028</t>
  </si>
  <si>
    <t>2027 Variance Summary - Disposed in 2029</t>
  </si>
  <si>
    <t>2028 Variance Summary - Disposed in 2030</t>
  </si>
  <si>
    <t>Variance Year</t>
  </si>
  <si>
    <t>Disposition Year</t>
  </si>
  <si>
    <t>Actual credited to customers*</t>
  </si>
  <si>
    <t>*2024 Amount credited to customers not yet available</t>
  </si>
  <si>
    <t>*Tables below are incomplete before year-end</t>
  </si>
  <si>
    <t>*Calculations are incomplete before year-end data is entered</t>
  </si>
  <si>
    <t>Actual customer share including variances</t>
  </si>
  <si>
    <t>Additional Interest before disposition</t>
  </si>
  <si>
    <t>Variance Interest Disposition</t>
  </si>
  <si>
    <t>2023 Overcollection</t>
  </si>
  <si>
    <t>Adjustment 2023 Overcollection</t>
  </si>
  <si>
    <t>Adjustment for earlier variances (2-year lag) &amp; 2024 Overcollection</t>
  </si>
  <si>
    <t>2024 Variance / 2024 Overcollection Disposition</t>
  </si>
  <si>
    <t>2025 Variance Disposition</t>
  </si>
  <si>
    <t>2026 Variance Disposition</t>
  </si>
  <si>
    <t>Variance/Overcollection in variance year rate</t>
  </si>
  <si>
    <t>Actual 2023 Overcollection with Interest</t>
  </si>
  <si>
    <t>Actual 2024 Overcollection with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</si>
</sst>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_(&quot;$&quot;* #,##0.0000_);_(&quot;$&quot;* \(#,##0.0000\);_(&quot;$&quot;* &quot;-&quot;??_);_(@_)"/>
    <numFmt numFmtId="168" formatCode="0.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rgb="FF333333"/>
      <name val="Whitney SSm A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5">
    <xf numFmtId="0" fontId="0" fillId="0" borderId="0" xfId="0"/>
    <xf numFmtId="44" fontId="0" fillId="0" borderId="0" xfId="0" applyNumberFormat="1"/>
    <xf numFmtId="0" fontId="2" fillId="0" borderId="0" xfId="0" applyFont="1"/>
    <xf numFmtId="165" fontId="0" fillId="0" borderId="0" xfId="1" applyNumberFormat="1" applyFont="1" applyFill="1"/>
    <xf numFmtId="166" fontId="0" fillId="0" borderId="0" xfId="2" applyNumberFormat="1" applyFont="1" applyFill="1" applyBorder="1"/>
    <xf numFmtId="166" fontId="0" fillId="0" borderId="6" xfId="2" applyNumberFormat="1" applyFont="1" applyFill="1" applyBorder="1"/>
    <xf numFmtId="166" fontId="0" fillId="0" borderId="9" xfId="2" applyNumberFormat="1" applyFont="1" applyFill="1" applyBorder="1"/>
    <xf numFmtId="166" fontId="0" fillId="0" borderId="0" xfId="2" applyNumberFormat="1" applyFont="1" applyFill="1"/>
    <xf numFmtId="165" fontId="0" fillId="0" borderId="12" xfId="0" applyNumberFormat="1" applyBorder="1"/>
    <xf numFmtId="166" fontId="0" fillId="0" borderId="14" xfId="2" applyNumberFormat="1" applyFont="1" applyFill="1" applyBorder="1"/>
    <xf numFmtId="166" fontId="0" fillId="0" borderId="0" xfId="0" applyNumberFormat="1"/>
    <xf numFmtId="166" fontId="2" fillId="0" borderId="0" xfId="0" applyNumberFormat="1" applyFont="1"/>
    <xf numFmtId="167" fontId="0" fillId="0" borderId="0" xfId="2" applyNumberFormat="1" applyFont="1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1" xfId="0" applyBorder="1"/>
    <xf numFmtId="0" fontId="0" fillId="0" borderId="21" xfId="0" applyBorder="1"/>
    <xf numFmtId="167" fontId="2" fillId="0" borderId="0" xfId="2" applyNumberFormat="1" applyFont="1" applyFill="1" applyBorder="1"/>
    <xf numFmtId="166" fontId="2" fillId="0" borderId="0" xfId="2" applyNumberFormat="1" applyFont="1" applyFill="1" applyBorder="1"/>
    <xf numFmtId="165" fontId="0" fillId="0" borderId="0" xfId="1" applyNumberFormat="1" applyFont="1"/>
    <xf numFmtId="0" fontId="2" fillId="0" borderId="18" xfId="0" applyFont="1" applyBorder="1"/>
    <xf numFmtId="0" fontId="2" fillId="0" borderId="20" xfId="0" applyFont="1" applyBorder="1"/>
    <xf numFmtId="165" fontId="2" fillId="0" borderId="11" xfId="1" applyNumberFormat="1" applyFont="1" applyFill="1" applyBorder="1"/>
    <xf numFmtId="165" fontId="2" fillId="0" borderId="21" xfId="1" applyNumberFormat="1" applyFont="1" applyFill="1" applyBorder="1"/>
    <xf numFmtId="165" fontId="0" fillId="0" borderId="19" xfId="0" applyNumberFormat="1" applyBorder="1"/>
    <xf numFmtId="0" fontId="0" fillId="0" borderId="18" xfId="1" applyNumberFormat="1" applyFont="1" applyFill="1" applyBorder="1"/>
    <xf numFmtId="0" fontId="0" fillId="0" borderId="20" xfId="1" applyNumberFormat="1" applyFont="1" applyFill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6" fontId="0" fillId="0" borderId="11" xfId="0" applyNumberFormat="1" applyBorder="1"/>
    <xf numFmtId="166" fontId="0" fillId="0" borderId="0" xfId="2" applyNumberFormat="1" applyFont="1" applyBorder="1"/>
    <xf numFmtId="165" fontId="0" fillId="0" borderId="0" xfId="1" applyNumberFormat="1" applyFont="1" applyBorder="1"/>
    <xf numFmtId="166" fontId="0" fillId="0" borderId="19" xfId="0" applyNumberFormat="1" applyBorder="1"/>
    <xf numFmtId="166" fontId="0" fillId="0" borderId="18" xfId="2" applyNumberFormat="1" applyFont="1" applyBorder="1"/>
    <xf numFmtId="165" fontId="0" fillId="0" borderId="18" xfId="1" applyNumberFormat="1" applyFont="1" applyBorder="1"/>
    <xf numFmtId="0" fontId="0" fillId="0" borderId="22" xfId="0" applyBorder="1"/>
    <xf numFmtId="0" fontId="0" fillId="0" borderId="23" xfId="0" applyBorder="1"/>
    <xf numFmtId="0" fontId="2" fillId="0" borderId="23" xfId="0" applyFont="1" applyBorder="1"/>
    <xf numFmtId="0" fontId="0" fillId="0" borderId="24" xfId="0" applyBorder="1"/>
    <xf numFmtId="0" fontId="2" fillId="0" borderId="24" xfId="0" applyFont="1" applyBorder="1"/>
    <xf numFmtId="167" fontId="0" fillId="0" borderId="0" xfId="2" applyNumberFormat="1" applyFont="1" applyBorder="1"/>
    <xf numFmtId="165" fontId="0" fillId="0" borderId="18" xfId="1" applyNumberFormat="1" applyFont="1" applyFill="1" applyBorder="1"/>
    <xf numFmtId="166" fontId="0" fillId="0" borderId="19" xfId="2" applyNumberFormat="1" applyFont="1" applyFill="1" applyBorder="1"/>
    <xf numFmtId="0" fontId="0" fillId="0" borderId="18" xfId="0" applyBorder="1" applyAlignment="1">
      <alignment horizontal="center" wrapText="1"/>
    </xf>
    <xf numFmtId="166" fontId="0" fillId="0" borderId="18" xfId="0" applyNumberFormat="1" applyBorder="1"/>
    <xf numFmtId="10" fontId="1" fillId="0" borderId="0" xfId="3" applyNumberFormat="1" applyFont="1" applyFill="1" applyBorder="1"/>
    <xf numFmtId="0" fontId="2" fillId="0" borderId="5" xfId="0" applyFont="1" applyBorder="1"/>
    <xf numFmtId="166" fontId="0" fillId="0" borderId="6" xfId="0" applyNumberFormat="1" applyBorder="1"/>
    <xf numFmtId="0" fontId="2" fillId="0" borderId="7" xfId="0" applyFont="1" applyBorder="1"/>
    <xf numFmtId="166" fontId="0" fillId="0" borderId="21" xfId="0" applyNumberFormat="1" applyBorder="1"/>
    <xf numFmtId="165" fontId="0" fillId="0" borderId="20" xfId="1" applyNumberFormat="1" applyFont="1" applyFill="1" applyBorder="1" applyAlignment="1">
      <alignment horizontal="center" wrapText="1"/>
    </xf>
    <xf numFmtId="165" fontId="0" fillId="0" borderId="11" xfId="1" applyNumberFormat="1" applyFont="1" applyFill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165" fontId="0" fillId="0" borderId="29" xfId="1" applyNumberFormat="1" applyFont="1" applyFill="1" applyBorder="1" applyAlignment="1">
      <alignment horizontal="center" wrapText="1"/>
    </xf>
    <xf numFmtId="165" fontId="2" fillId="0" borderId="18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2" fillId="0" borderId="6" xfId="1" applyNumberFormat="1" applyFont="1" applyFill="1" applyBorder="1" applyAlignment="1">
      <alignment horizontal="center" vertical="center" wrapText="1"/>
    </xf>
    <xf numFmtId="166" fontId="2" fillId="0" borderId="19" xfId="0" applyNumberFormat="1" applyFont="1" applyBorder="1"/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167" fontId="0" fillId="0" borderId="18" xfId="2" applyNumberFormat="1" applyFont="1" applyBorder="1"/>
    <xf numFmtId="0" fontId="0" fillId="3" borderId="25" xfId="0" applyFill="1" applyBorder="1"/>
    <xf numFmtId="0" fontId="4" fillId="3" borderId="34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2" fillId="0" borderId="38" xfId="0" applyFont="1" applyBorder="1"/>
    <xf numFmtId="0" fontId="2" fillId="0" borderId="11" xfId="0" applyFont="1" applyBorder="1" applyAlignment="1">
      <alignment horizontal="left"/>
    </xf>
    <xf numFmtId="0" fontId="0" fillId="0" borderId="5" xfId="0" applyBorder="1"/>
    <xf numFmtId="166" fontId="1" fillId="0" borderId="0" xfId="2" applyNumberFormat="1" applyFont="1" applyFill="1" applyBorder="1"/>
    <xf numFmtId="165" fontId="0" fillId="0" borderId="27" xfId="1" applyNumberFormat="1" applyFont="1" applyFill="1" applyBorder="1" applyAlignment="1">
      <alignment horizontal="center" wrapText="1"/>
    </xf>
    <xf numFmtId="165" fontId="0" fillId="0" borderId="8" xfId="1" applyNumberFormat="1" applyFont="1" applyFill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65" fontId="0" fillId="0" borderId="9" xfId="1" applyNumberFormat="1" applyFont="1" applyFill="1" applyBorder="1" applyAlignment="1">
      <alignment horizontal="center" wrapText="1"/>
    </xf>
    <xf numFmtId="166" fontId="0" fillId="4" borderId="18" xfId="0" applyNumberFormat="1" applyFill="1" applyBorder="1"/>
    <xf numFmtId="165" fontId="0" fillId="4" borderId="18" xfId="1" applyNumberFormat="1" applyFont="1" applyFill="1" applyBorder="1"/>
    <xf numFmtId="10" fontId="1" fillId="4" borderId="0" xfId="3" applyNumberFormat="1" applyFont="1" applyFill="1" applyBorder="1"/>
    <xf numFmtId="10" fontId="3" fillId="4" borderId="0" xfId="3" applyNumberFormat="1" applyFont="1" applyFill="1" applyBorder="1"/>
    <xf numFmtId="167" fontId="0" fillId="4" borderId="0" xfId="2" applyNumberFormat="1" applyFont="1" applyFill="1" applyBorder="1"/>
    <xf numFmtId="165" fontId="0" fillId="4" borderId="0" xfId="1" applyNumberFormat="1" applyFont="1" applyFill="1" applyBorder="1"/>
    <xf numFmtId="0" fontId="2" fillId="0" borderId="42" xfId="0" applyFont="1" applyBorder="1"/>
    <xf numFmtId="165" fontId="2" fillId="0" borderId="43" xfId="1" applyNumberFormat="1" applyFont="1" applyFill="1" applyBorder="1"/>
    <xf numFmtId="0" fontId="2" fillId="0" borderId="44" xfId="0" applyFont="1" applyBorder="1"/>
    <xf numFmtId="166" fontId="2" fillId="0" borderId="45" xfId="2" applyNumberFormat="1" applyFont="1" applyFill="1" applyBorder="1"/>
    <xf numFmtId="166" fontId="2" fillId="0" borderId="43" xfId="2" applyNumberFormat="1" applyFont="1" applyFill="1" applyBorder="1"/>
    <xf numFmtId="166" fontId="2" fillId="0" borderId="44" xfId="2" applyNumberFormat="1" applyFont="1" applyFill="1" applyBorder="1"/>
    <xf numFmtId="165" fontId="2" fillId="0" borderId="44" xfId="0" applyNumberFormat="1" applyFont="1" applyBorder="1"/>
    <xf numFmtId="166" fontId="2" fillId="0" borderId="46" xfId="0" applyNumberFormat="1" applyFont="1" applyBorder="1"/>
    <xf numFmtId="0" fontId="2" fillId="0" borderId="19" xfId="0" applyFont="1" applyBorder="1" applyAlignment="1">
      <alignment horizontal="center"/>
    </xf>
    <xf numFmtId="0" fontId="2" fillId="3" borderId="47" xfId="0" applyFont="1" applyFill="1" applyBorder="1" applyAlignment="1">
      <alignment horizontal="center" wrapText="1"/>
    </xf>
    <xf numFmtId="0" fontId="2" fillId="3" borderId="48" xfId="0" applyFont="1" applyFill="1" applyBorder="1" applyAlignment="1">
      <alignment horizontal="center" wrapText="1"/>
    </xf>
    <xf numFmtId="0" fontId="2" fillId="3" borderId="49" xfId="0" applyFont="1" applyFill="1" applyBorder="1" applyAlignment="1">
      <alignment horizontal="center" wrapText="1"/>
    </xf>
    <xf numFmtId="0" fontId="2" fillId="0" borderId="39" xfId="0" applyFont="1" applyBorder="1"/>
    <xf numFmtId="0" fontId="2" fillId="0" borderId="40" xfId="0" applyFont="1" applyBorder="1"/>
    <xf numFmtId="0" fontId="2" fillId="0" borderId="3" xfId="0" applyFont="1" applyBorder="1"/>
    <xf numFmtId="167" fontId="0" fillId="0" borderId="13" xfId="2" applyNumberFormat="1" applyFont="1" applyFill="1" applyBorder="1"/>
    <xf numFmtId="165" fontId="1" fillId="0" borderId="8" xfId="1" applyNumberFormat="1" applyFont="1" applyFill="1" applyBorder="1" applyAlignment="1">
      <alignment horizontal="center" wrapText="1"/>
    </xf>
    <xf numFmtId="0" fontId="0" fillId="0" borderId="10" xfId="0" applyBorder="1"/>
    <xf numFmtId="0" fontId="0" fillId="0" borderId="8" xfId="0" applyBorder="1"/>
    <xf numFmtId="0" fontId="0" fillId="0" borderId="15" xfId="0" applyBorder="1" applyAlignment="1">
      <alignment vertical="center"/>
    </xf>
    <xf numFmtId="0" fontId="0" fillId="4" borderId="0" xfId="0" applyFill="1"/>
    <xf numFmtId="0" fontId="2" fillId="0" borderId="50" xfId="0" applyFont="1" applyBorder="1"/>
    <xf numFmtId="166" fontId="1" fillId="0" borderId="6" xfId="2" applyNumberFormat="1" applyFont="1" applyFill="1" applyBorder="1"/>
    <xf numFmtId="165" fontId="0" fillId="4" borderId="5" xfId="1" applyNumberFormat="1" applyFont="1" applyFill="1" applyBorder="1"/>
    <xf numFmtId="164" fontId="0" fillId="4" borderId="0" xfId="1" applyNumberFormat="1" applyFont="1" applyFill="1" applyBorder="1"/>
    <xf numFmtId="165" fontId="0" fillId="4" borderId="7" xfId="1" applyNumberFormat="1" applyFont="1" applyFill="1" applyBorder="1"/>
    <xf numFmtId="164" fontId="0" fillId="4" borderId="8" xfId="1" applyNumberFormat="1" applyFont="1" applyFill="1" applyBorder="1"/>
    <xf numFmtId="165" fontId="0" fillId="4" borderId="19" xfId="1" applyNumberFormat="1" applyFont="1" applyFill="1" applyBorder="1"/>
    <xf numFmtId="0" fontId="0" fillId="0" borderId="0" xfId="0" applyAlignment="1">
      <alignment horizontal="center" wrapText="1"/>
    </xf>
    <xf numFmtId="165" fontId="0" fillId="0" borderId="0" xfId="0" applyNumberFormat="1"/>
    <xf numFmtId="165" fontId="2" fillId="0" borderId="11" xfId="1" applyNumberFormat="1" applyFont="1" applyBorder="1"/>
    <xf numFmtId="0" fontId="2" fillId="3" borderId="51" xfId="0" applyFont="1" applyFill="1" applyBorder="1" applyAlignment="1">
      <alignment horizontal="center"/>
    </xf>
    <xf numFmtId="165" fontId="0" fillId="0" borderId="18" xfId="0" applyNumberFormat="1" applyBorder="1"/>
    <xf numFmtId="165" fontId="2" fillId="0" borderId="20" xfId="1" applyNumberFormat="1" applyFont="1" applyFill="1" applyBorder="1"/>
    <xf numFmtId="165" fontId="3" fillId="0" borderId="0" xfId="1" applyNumberFormat="1" applyFont="1" applyBorder="1"/>
    <xf numFmtId="168" fontId="0" fillId="0" borderId="0" xfId="0" applyNumberFormat="1"/>
    <xf numFmtId="164" fontId="0" fillId="0" borderId="0" xfId="0" applyNumberFormat="1"/>
    <xf numFmtId="165" fontId="1" fillId="4" borderId="5" xfId="1" applyNumberFormat="1" applyFont="1" applyFill="1" applyBorder="1"/>
    <xf numFmtId="2" fontId="0" fillId="4" borderId="19" xfId="0" applyNumberFormat="1" applyFill="1" applyBorder="1" applyAlignment="1">
      <alignment horizontal="center"/>
    </xf>
    <xf numFmtId="2" fontId="0" fillId="4" borderId="21" xfId="0" applyNumberForma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6" fontId="2" fillId="0" borderId="46" xfId="2" applyNumberFormat="1" applyFont="1" applyFill="1" applyBorder="1"/>
    <xf numFmtId="0" fontId="6" fillId="0" borderId="12" xfId="0" applyFont="1" applyBorder="1" applyAlignment="1">
      <alignment horizontal="center" vertical="center"/>
    </xf>
    <xf numFmtId="167" fontId="2" fillId="5" borderId="0" xfId="2" applyNumberFormat="1" applyFont="1" applyFill="1" applyBorder="1"/>
    <xf numFmtId="167" fontId="0" fillId="0" borderId="0" xfId="0" applyNumberFormat="1"/>
    <xf numFmtId="165" fontId="1" fillId="0" borderId="9" xfId="1" applyNumberFormat="1" applyFont="1" applyFill="1" applyBorder="1" applyAlignment="1">
      <alignment horizontal="center" wrapText="1"/>
    </xf>
    <xf numFmtId="165" fontId="0" fillId="4" borderId="11" xfId="1" applyNumberFormat="1" applyFont="1" applyFill="1" applyBorder="1"/>
    <xf numFmtId="3" fontId="0" fillId="4" borderId="11" xfId="0" applyNumberFormat="1" applyFill="1" applyBorder="1"/>
    <xf numFmtId="0" fontId="2" fillId="0" borderId="23" xfId="0" applyFont="1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2" fontId="0" fillId="4" borderId="0" xfId="0" applyNumberFormat="1" applyFill="1"/>
    <xf numFmtId="0" fontId="2" fillId="0" borderId="0" xfId="0" applyFont="1" applyAlignment="1">
      <alignment horizontal="center"/>
    </xf>
    <xf numFmtId="165" fontId="0" fillId="4" borderId="21" xfId="1" applyNumberFormat="1" applyFont="1" applyFill="1" applyBorder="1"/>
    <xf numFmtId="2" fontId="0" fillId="4" borderId="11" xfId="0" applyNumberFormat="1" applyFill="1" applyBorder="1"/>
    <xf numFmtId="2" fontId="0" fillId="2" borderId="0" xfId="0" applyNumberFormat="1" applyFill="1"/>
    <xf numFmtId="2" fontId="0" fillId="2" borderId="19" xfId="0" applyNumberFormat="1" applyFill="1" applyBorder="1" applyAlignment="1">
      <alignment horizontal="center"/>
    </xf>
    <xf numFmtId="0" fontId="3" fillId="0" borderId="10" xfId="0" applyFont="1" applyBorder="1"/>
    <xf numFmtId="0" fontId="3" fillId="0" borderId="5" xfId="0" applyFont="1" applyBorder="1"/>
    <xf numFmtId="165" fontId="3" fillId="4" borderId="18" xfId="1" applyNumberFormat="1" applyFont="1" applyFill="1" applyBorder="1"/>
    <xf numFmtId="167" fontId="3" fillId="0" borderId="0" xfId="0" applyNumberFormat="1" applyFont="1"/>
    <xf numFmtId="166" fontId="3" fillId="0" borderId="19" xfId="2" applyNumberFormat="1" applyFont="1" applyFill="1" applyBorder="1"/>
    <xf numFmtId="166" fontId="3" fillId="4" borderId="18" xfId="0" applyNumberFormat="1" applyFont="1" applyFill="1" applyBorder="1"/>
    <xf numFmtId="166" fontId="3" fillId="0" borderId="0" xfId="0" applyNumberFormat="1" applyFont="1"/>
    <xf numFmtId="166" fontId="3" fillId="0" borderId="19" xfId="0" applyNumberFormat="1" applyFont="1" applyBorder="1"/>
    <xf numFmtId="166" fontId="3" fillId="0" borderId="18" xfId="0" applyNumberFormat="1" applyFont="1" applyBorder="1"/>
    <xf numFmtId="166" fontId="3" fillId="0" borderId="0" xfId="2" applyNumberFormat="1" applyFont="1" applyFill="1" applyBorder="1"/>
    <xf numFmtId="166" fontId="3" fillId="0" borderId="6" xfId="2" applyNumberFormat="1" applyFont="1" applyFill="1" applyBorder="1"/>
    <xf numFmtId="165" fontId="3" fillId="4" borderId="0" xfId="1" applyNumberFormat="1" applyFont="1" applyFill="1" applyBorder="1"/>
    <xf numFmtId="167" fontId="3" fillId="4" borderId="0" xfId="2" applyNumberFormat="1" applyFont="1" applyFill="1" applyBorder="1"/>
    <xf numFmtId="0" fontId="6" fillId="0" borderId="5" xfId="0" applyFont="1" applyBorder="1"/>
    <xf numFmtId="166" fontId="6" fillId="0" borderId="0" xfId="2" applyNumberFormat="1" applyFont="1" applyFill="1" applyBorder="1"/>
    <xf numFmtId="0" fontId="3" fillId="0" borderId="18" xfId="0" applyFont="1" applyBorder="1"/>
    <xf numFmtId="167" fontId="6" fillId="0" borderId="0" xfId="2" applyNumberFormat="1" applyFont="1" applyFill="1" applyBorder="1"/>
    <xf numFmtId="0" fontId="3" fillId="0" borderId="8" xfId="0" applyFont="1" applyBorder="1"/>
    <xf numFmtId="0" fontId="6" fillId="0" borderId="42" xfId="0" applyFont="1" applyBorder="1"/>
    <xf numFmtId="165" fontId="6" fillId="0" borderId="43" xfId="1" applyNumberFormat="1" applyFont="1" applyFill="1" applyBorder="1"/>
    <xf numFmtId="0" fontId="6" fillId="0" borderId="44" xfId="0" applyFont="1" applyBorder="1"/>
    <xf numFmtId="166" fontId="6" fillId="0" borderId="45" xfId="2" applyNumberFormat="1" applyFont="1" applyFill="1" applyBorder="1"/>
    <xf numFmtId="166" fontId="6" fillId="0" borderId="43" xfId="2" applyNumberFormat="1" applyFont="1" applyFill="1" applyBorder="1"/>
    <xf numFmtId="166" fontId="6" fillId="0" borderId="44" xfId="2" applyNumberFormat="1" applyFont="1" applyFill="1" applyBorder="1"/>
    <xf numFmtId="165" fontId="6" fillId="0" borderId="44" xfId="0" applyNumberFormat="1" applyFont="1" applyBorder="1"/>
    <xf numFmtId="166" fontId="6" fillId="0" borderId="46" xfId="2" applyNumberFormat="1" applyFont="1" applyFill="1" applyBorder="1"/>
    <xf numFmtId="0" fontId="0" fillId="0" borderId="0" xfId="0" applyAlignment="1">
      <alignment horizontal="right"/>
    </xf>
    <xf numFmtId="0" fontId="7" fillId="3" borderId="10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3" fillId="0" borderId="16" xfId="0" applyFont="1" applyBorder="1"/>
    <xf numFmtId="0" fontId="3" fillId="0" borderId="26" xfId="0" applyFont="1" applyBorder="1"/>
    <xf numFmtId="167" fontId="3" fillId="0" borderId="0" xfId="2" applyNumberFormat="1" applyFont="1" applyBorder="1"/>
    <xf numFmtId="167" fontId="3" fillId="0" borderId="6" xfId="2" applyNumberFormat="1" applyFont="1" applyBorder="1"/>
    <xf numFmtId="165" fontId="3" fillId="0" borderId="6" xfId="1" applyNumberFormat="1" applyFont="1" applyBorder="1"/>
    <xf numFmtId="0" fontId="3" fillId="0" borderId="6" xfId="0" applyFont="1" applyBorder="1"/>
    <xf numFmtId="166" fontId="3" fillId="0" borderId="0" xfId="2" applyNumberFormat="1" applyFont="1" applyBorder="1"/>
    <xf numFmtId="166" fontId="3" fillId="0" borderId="6" xfId="2" applyNumberFormat="1" applyFont="1" applyBorder="1"/>
    <xf numFmtId="166" fontId="3" fillId="0" borderId="6" xfId="0" applyNumberFormat="1" applyFont="1" applyBorder="1"/>
    <xf numFmtId="166" fontId="6" fillId="0" borderId="6" xfId="0" applyNumberFormat="1" applyFont="1" applyBorder="1"/>
    <xf numFmtId="166" fontId="3" fillId="0" borderId="16" xfId="2" applyNumberFormat="1" applyFont="1" applyBorder="1"/>
    <xf numFmtId="166" fontId="3" fillId="0" borderId="26" xfId="2" applyNumberFormat="1" applyFont="1" applyBorder="1"/>
    <xf numFmtId="0" fontId="3" fillId="0" borderId="11" xfId="0" applyFont="1" applyBorder="1"/>
    <xf numFmtId="0" fontId="3" fillId="0" borderId="29" xfId="0" applyFont="1" applyBorder="1"/>
    <xf numFmtId="166" fontId="6" fillId="0" borderId="8" xfId="0" applyNumberFormat="1" applyFont="1" applyBorder="1"/>
    <xf numFmtId="166" fontId="6" fillId="0" borderId="9" xfId="0" applyNumberFormat="1" applyFont="1" applyBorder="1"/>
    <xf numFmtId="0" fontId="6" fillId="0" borderId="0" xfId="1" applyNumberFormat="1" applyFont="1" applyAlignment="1">
      <alignment horizontal="center"/>
    </xf>
    <xf numFmtId="0" fontId="3" fillId="0" borderId="17" xfId="0" applyFont="1" applyBorder="1"/>
    <xf numFmtId="166" fontId="3" fillId="0" borderId="19" xfId="2" applyNumberFormat="1" applyFont="1" applyBorder="1"/>
    <xf numFmtId="166" fontId="6" fillId="0" borderId="11" xfId="0" applyNumberFormat="1" applyFont="1" applyBorder="1"/>
    <xf numFmtId="166" fontId="6" fillId="0" borderId="21" xfId="0" applyNumberFormat="1" applyFont="1" applyBorder="1"/>
    <xf numFmtId="2" fontId="0" fillId="0" borderId="0" xfId="1" applyNumberFormat="1" applyFont="1" applyAlignment="1">
      <alignment horizontal="left"/>
    </xf>
    <xf numFmtId="166" fontId="6" fillId="0" borderId="0" xfId="0" applyNumberFormat="1" applyFont="1"/>
    <xf numFmtId="166" fontId="6" fillId="0" borderId="19" xfId="0" applyNumberFormat="1" applyFont="1" applyBorder="1"/>
    <xf numFmtId="0" fontId="2" fillId="3" borderId="33" xfId="0" applyFont="1" applyFill="1" applyBorder="1"/>
    <xf numFmtId="0" fontId="7" fillId="3" borderId="0" xfId="2" applyNumberFormat="1" applyFont="1" applyFill="1" applyBorder="1" applyAlignment="1">
      <alignment horizontal="center"/>
    </xf>
    <xf numFmtId="0" fontId="7" fillId="3" borderId="6" xfId="2" applyNumberFormat="1" applyFont="1" applyFill="1" applyBorder="1" applyAlignment="1">
      <alignment horizontal="center"/>
    </xf>
    <xf numFmtId="0" fontId="0" fillId="3" borderId="5" xfId="0" applyFill="1" applyBorder="1"/>
    <xf numFmtId="0" fontId="2" fillId="3" borderId="23" xfId="0" applyFont="1" applyFill="1" applyBorder="1" applyAlignment="1">
      <alignment horizontal="left" vertical="center"/>
    </xf>
    <xf numFmtId="167" fontId="2" fillId="0" borderId="27" xfId="2" applyNumberFormat="1" applyFont="1" applyBorder="1"/>
    <xf numFmtId="167" fontId="2" fillId="0" borderId="8" xfId="2" applyNumberFormat="1" applyFont="1" applyBorder="1"/>
    <xf numFmtId="167" fontId="6" fillId="0" borderId="8" xfId="2" applyNumberFormat="1" applyFont="1" applyBorder="1"/>
    <xf numFmtId="167" fontId="6" fillId="0" borderId="9" xfId="2" applyNumberFormat="1" applyFont="1" applyBorder="1"/>
    <xf numFmtId="0" fontId="7" fillId="3" borderId="34" xfId="0" applyFont="1" applyFill="1" applyBorder="1" applyAlignment="1">
      <alignment horizontal="center"/>
    </xf>
    <xf numFmtId="0" fontId="7" fillId="3" borderId="18" xfId="2" applyNumberFormat="1" applyFont="1" applyFill="1" applyBorder="1" applyAlignment="1">
      <alignment horizontal="center"/>
    </xf>
    <xf numFmtId="166" fontId="3" fillId="0" borderId="15" xfId="2" applyNumberFormat="1" applyFont="1" applyBorder="1"/>
    <xf numFmtId="166" fontId="3" fillId="0" borderId="18" xfId="2" applyNumberFormat="1" applyFont="1" applyBorder="1"/>
    <xf numFmtId="0" fontId="3" fillId="0" borderId="20" xfId="0" applyFont="1" applyBorder="1"/>
    <xf numFmtId="165" fontId="3" fillId="0" borderId="18" xfId="1" applyNumberFormat="1" applyFont="1" applyBorder="1"/>
    <xf numFmtId="166" fontId="6" fillId="0" borderId="18" xfId="0" applyNumberFormat="1" applyFont="1" applyBorder="1"/>
    <xf numFmtId="166" fontId="6" fillId="0" borderId="27" xfId="0" applyNumberFormat="1" applyFont="1" applyBorder="1"/>
    <xf numFmtId="0" fontId="0" fillId="0" borderId="0" xfId="0" applyAlignment="1">
      <alignment horizontal="left"/>
    </xf>
    <xf numFmtId="0" fontId="3" fillId="0" borderId="25" xfId="0" applyFont="1" applyBorder="1"/>
    <xf numFmtId="166" fontId="3" fillId="0" borderId="10" xfId="0" applyNumberFormat="1" applyFont="1" applyBorder="1"/>
    <xf numFmtId="10" fontId="3" fillId="4" borderId="10" xfId="3" applyNumberFormat="1" applyFont="1" applyFill="1" applyBorder="1"/>
    <xf numFmtId="166" fontId="3" fillId="0" borderId="10" xfId="2" applyNumberFormat="1" applyFont="1" applyFill="1" applyBorder="1"/>
    <xf numFmtId="166" fontId="6" fillId="0" borderId="46" xfId="0" applyNumberFormat="1" applyFont="1" applyBorder="1"/>
    <xf numFmtId="0" fontId="8" fillId="0" borderId="15" xfId="0" applyFont="1" applyBorder="1" applyAlignment="1">
      <alignment vertical="center"/>
    </xf>
    <xf numFmtId="0" fontId="0" fillId="0" borderId="18" xfId="0" applyBorder="1" applyAlignment="1">
      <alignment horizontal="left"/>
    </xf>
    <xf numFmtId="165" fontId="1" fillId="0" borderId="0" xfId="1" applyNumberFormat="1" applyFont="1" applyFill="1" applyBorder="1" applyAlignment="1">
      <alignment horizontal="left"/>
    </xf>
    <xf numFmtId="0" fontId="3" fillId="6" borderId="0" xfId="0" applyFont="1" applyFill="1" applyAlignment="1">
      <alignment horizontal="center"/>
    </xf>
    <xf numFmtId="0" fontId="5" fillId="0" borderId="8" xfId="0" applyFont="1" applyBorder="1" applyAlignment="1">
      <alignment horizontal="center"/>
    </xf>
    <xf numFmtId="0" fontId="2" fillId="3" borderId="25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5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4" fillId="3" borderId="25" xfId="1" applyNumberFormat="1" applyFont="1" applyFill="1" applyBorder="1" applyAlignment="1">
      <alignment horizontal="center"/>
    </xf>
    <xf numFmtId="0" fontId="4" fillId="3" borderId="10" xfId="1" applyNumberFormat="1" applyFont="1" applyFill="1" applyBorder="1" applyAlignment="1">
      <alignment horizontal="center"/>
    </xf>
    <xf numFmtId="0" fontId="4" fillId="3" borderId="4" xfId="1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4" fillId="3" borderId="30" xfId="1" applyNumberFormat="1" applyFont="1" applyFill="1" applyBorder="1" applyAlignment="1">
      <alignment horizontal="center"/>
    </xf>
    <xf numFmtId="0" fontId="4" fillId="3" borderId="31" xfId="1" applyNumberFormat="1" applyFont="1" applyFill="1" applyBorder="1" applyAlignment="1">
      <alignment horizontal="center"/>
    </xf>
    <xf numFmtId="0" fontId="4" fillId="3" borderId="32" xfId="1" applyNumberFormat="1" applyFont="1" applyFill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1E8A6-097D-4B1A-B33A-82DD80545A46}">
  <sheetPr codeName="Sheet1"/>
  <dimension ref="B2:AL111"/>
  <sheetViews>
    <sheetView topLeftCell="A8" zoomScale="80" zoomScaleNormal="80" workbookViewId="0">
      <selection activeCell="P35" sqref="P35"/>
    </sheetView>
    <sheetView tabSelected="1" workbookViewId="1">
      <selection activeCell="D21" sqref="D21"/>
    </sheetView>
  </sheetViews>
  <sheetFormatPr defaultRowHeight="15"/>
  <cols>
    <col min="1" max="1" width="3.28515625" customWidth="1"/>
    <col min="2" max="2" width="12.5703125" customWidth="1"/>
    <col min="3" max="3" width="15.28515625" bestFit="1" customWidth="1"/>
    <col min="4" max="4" width="17.85546875" customWidth="1"/>
    <col min="5" max="5" width="14.28515625" bestFit="1" customWidth="1"/>
    <col min="6" max="6" width="14.28515625" customWidth="1"/>
    <col min="7" max="7" width="13.42578125" bestFit="1" customWidth="1"/>
    <col min="8" max="8" width="13.85546875" bestFit="1" customWidth="1"/>
    <col min="9" max="9" width="13.140625" customWidth="1"/>
    <col min="10" max="10" width="13.7109375" customWidth="1"/>
    <col min="11" max="11" width="13.5703125" bestFit="1" customWidth="1"/>
    <col min="12" max="12" width="14.28515625" customWidth="1"/>
    <col min="13" max="13" width="14.42578125" customWidth="1"/>
    <col min="14" max="14" width="14.5703125" customWidth="1"/>
    <col min="15" max="15" width="13.7109375" bestFit="1" customWidth="1"/>
    <col min="16" max="26" width="15.28515625" customWidth="1"/>
    <col min="27" max="27" width="12.85546875" customWidth="1"/>
    <col min="28" max="28" width="12" bestFit="1" customWidth="1"/>
    <col min="29" max="29" width="12.28515625" customWidth="1"/>
    <col min="30" max="30" width="14" customWidth="1"/>
    <col min="31" max="31" width="12" bestFit="1" customWidth="1"/>
    <col min="32" max="32" width="12.42578125" customWidth="1"/>
    <col min="33" max="33" width="13.28515625" customWidth="1"/>
    <col min="34" max="34" width="12" bestFit="1" customWidth="1"/>
    <col min="35" max="35" width="14.42578125" customWidth="1"/>
    <col min="36" max="36" width="12.85546875" customWidth="1"/>
    <col min="37" max="37" width="12" bestFit="1" customWidth="1"/>
    <col min="38" max="38" width="13.28515625" customWidth="1"/>
  </cols>
  <sheetData>
    <row r="2" spans="2:38" ht="19.5" thickBot="1">
      <c r="C2" s="235" t="s">
        <v>111</v>
      </c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</row>
    <row r="3" spans="2:38" ht="15.75" thickBot="1">
      <c r="B3" s="1"/>
      <c r="C3" s="236">
        <v>2017</v>
      </c>
      <c r="D3" s="237"/>
      <c r="E3" s="237"/>
      <c r="F3" s="238">
        <f>C3+1</f>
        <v>2018</v>
      </c>
      <c r="G3" s="239"/>
      <c r="H3" s="240"/>
      <c r="I3" s="237">
        <f>F3+1</f>
        <v>2019</v>
      </c>
      <c r="J3" s="237"/>
      <c r="K3" s="237"/>
      <c r="L3" s="238">
        <f>I3+1</f>
        <v>2020</v>
      </c>
      <c r="M3" s="239"/>
      <c r="N3" s="240"/>
      <c r="O3" s="237">
        <f>L3+1</f>
        <v>2021</v>
      </c>
      <c r="P3" s="237"/>
      <c r="Q3" s="237"/>
      <c r="R3" s="238">
        <f>O3+1</f>
        <v>2022</v>
      </c>
      <c r="S3" s="239"/>
      <c r="T3" s="240"/>
      <c r="U3" s="237">
        <f>R3+1</f>
        <v>2023</v>
      </c>
      <c r="V3" s="237"/>
      <c r="W3" s="241"/>
      <c r="X3" s="237">
        <v>2024</v>
      </c>
      <c r="Y3" s="237"/>
      <c r="Z3" s="237"/>
      <c r="AA3" s="238">
        <v>2025</v>
      </c>
      <c r="AB3" s="239"/>
      <c r="AC3" s="240"/>
      <c r="AD3" s="237">
        <v>2026</v>
      </c>
      <c r="AE3" s="237"/>
      <c r="AF3" s="241"/>
      <c r="AG3" s="238">
        <v>2027</v>
      </c>
      <c r="AH3" s="239"/>
      <c r="AI3" s="240"/>
      <c r="AJ3" s="237">
        <v>2028</v>
      </c>
      <c r="AK3" s="237"/>
      <c r="AL3" s="241"/>
    </row>
    <row r="4" spans="2:38" ht="30.75" thickBot="1">
      <c r="B4" s="1"/>
      <c r="C4" s="101" t="s">
        <v>13</v>
      </c>
      <c r="D4" s="102" t="s">
        <v>12</v>
      </c>
      <c r="E4" s="103" t="s">
        <v>90</v>
      </c>
      <c r="F4" s="101" t="s">
        <v>13</v>
      </c>
      <c r="G4" s="102" t="s">
        <v>12</v>
      </c>
      <c r="H4" s="103" t="s">
        <v>90</v>
      </c>
      <c r="I4" s="101" t="s">
        <v>13</v>
      </c>
      <c r="J4" s="102" t="s">
        <v>12</v>
      </c>
      <c r="K4" s="103" t="s">
        <v>90</v>
      </c>
      <c r="L4" s="101" t="s">
        <v>13</v>
      </c>
      <c r="M4" s="102" t="s">
        <v>12</v>
      </c>
      <c r="N4" s="103" t="s">
        <v>90</v>
      </c>
      <c r="O4" s="101" t="s">
        <v>13</v>
      </c>
      <c r="P4" s="102" t="s">
        <v>12</v>
      </c>
      <c r="Q4" s="103" t="s">
        <v>90</v>
      </c>
      <c r="R4" s="101" t="s">
        <v>13</v>
      </c>
      <c r="S4" s="102" t="s">
        <v>12</v>
      </c>
      <c r="T4" s="103" t="s">
        <v>90</v>
      </c>
      <c r="U4" s="101" t="s">
        <v>13</v>
      </c>
      <c r="V4" s="102" t="s">
        <v>12</v>
      </c>
      <c r="W4" s="103" t="s">
        <v>90</v>
      </c>
      <c r="X4" s="101" t="s">
        <v>13</v>
      </c>
      <c r="Y4" s="102" t="s">
        <v>12</v>
      </c>
      <c r="Z4" s="103" t="s">
        <v>90</v>
      </c>
      <c r="AA4" s="101" t="s">
        <v>13</v>
      </c>
      <c r="AB4" s="102" t="s">
        <v>12</v>
      </c>
      <c r="AC4" s="103" t="s">
        <v>90</v>
      </c>
      <c r="AD4" s="101" t="s">
        <v>13</v>
      </c>
      <c r="AE4" s="102" t="s">
        <v>12</v>
      </c>
      <c r="AF4" s="103" t="s">
        <v>90</v>
      </c>
      <c r="AG4" s="101" t="s">
        <v>13</v>
      </c>
      <c r="AH4" s="102" t="s">
        <v>12</v>
      </c>
      <c r="AI4" s="103" t="s">
        <v>90</v>
      </c>
      <c r="AJ4" s="101" t="s">
        <v>13</v>
      </c>
      <c r="AK4" s="102" t="s">
        <v>12</v>
      </c>
      <c r="AL4" s="103" t="s">
        <v>90</v>
      </c>
    </row>
    <row r="5" spans="2:38">
      <c r="B5" s="104" t="s">
        <v>0</v>
      </c>
      <c r="C5" s="115">
        <v>2134510</v>
      </c>
      <c r="D5" s="116">
        <v>8.2269999999999996E-2</v>
      </c>
      <c r="E5" s="5">
        <v>175606.1399999999</v>
      </c>
      <c r="F5" s="115">
        <v>2813138</v>
      </c>
      <c r="G5" s="116">
        <v>6.7360000000000003E-2</v>
      </c>
      <c r="H5" s="5">
        <v>189492.96999999997</v>
      </c>
      <c r="I5" s="115">
        <v>2196000</v>
      </c>
      <c r="J5" s="116">
        <v>8.0920000000000006E-2</v>
      </c>
      <c r="K5" s="5">
        <v>177700.31999999983</v>
      </c>
      <c r="L5" s="115">
        <v>2089120</v>
      </c>
      <c r="M5" s="116">
        <v>0.10231999999999999</v>
      </c>
      <c r="N5" s="5">
        <v>213758.76</v>
      </c>
      <c r="O5" s="115">
        <v>1805830</v>
      </c>
      <c r="P5" s="116">
        <v>8.2970000000000002E-2</v>
      </c>
      <c r="Q5" s="5">
        <v>149829.71999999997</v>
      </c>
      <c r="R5" s="115">
        <v>857320</v>
      </c>
      <c r="S5" s="116">
        <v>4.3529999999999999E-2</v>
      </c>
      <c r="T5" s="5">
        <v>37319.140000000014</v>
      </c>
      <c r="U5" s="115">
        <v>2581363.04</v>
      </c>
      <c r="V5" s="116">
        <v>5.3769999999999998E-2</v>
      </c>
      <c r="W5" s="5">
        <f t="shared" ref="W5:W10" si="0">ROUND(U5*V5,2)</f>
        <v>138799.89000000001</v>
      </c>
      <c r="X5" s="115">
        <v>1908629.7609999999</v>
      </c>
      <c r="Y5" s="116">
        <v>4.5879999999999997E-2</v>
      </c>
      <c r="Z5" s="5">
        <f>X5*Y5</f>
        <v>87567.933434679988</v>
      </c>
      <c r="AA5" s="115"/>
      <c r="AB5" s="116"/>
      <c r="AC5" s="5">
        <f>AA5*AB5</f>
        <v>0</v>
      </c>
      <c r="AD5" s="115"/>
      <c r="AE5" s="116"/>
      <c r="AF5" s="5">
        <f>AD5*AE5</f>
        <v>0</v>
      </c>
      <c r="AG5" s="115"/>
      <c r="AH5" s="116"/>
      <c r="AI5" s="5">
        <f>AG5*AH5</f>
        <v>0</v>
      </c>
      <c r="AJ5" s="115"/>
      <c r="AK5" s="116"/>
      <c r="AL5" s="5">
        <f>AJ5*AK5</f>
        <v>0</v>
      </c>
    </row>
    <row r="6" spans="2:38">
      <c r="B6" s="105" t="s">
        <v>1</v>
      </c>
      <c r="C6" s="115">
        <v>2975320</v>
      </c>
      <c r="D6" s="116">
        <v>8.6389999999999995E-2</v>
      </c>
      <c r="E6" s="5">
        <v>257037.8899999999</v>
      </c>
      <c r="F6" s="115">
        <v>3302320</v>
      </c>
      <c r="G6" s="116">
        <v>8.1670000000000006E-2</v>
      </c>
      <c r="H6" s="5">
        <v>269700.47999999998</v>
      </c>
      <c r="I6" s="115">
        <v>2533990</v>
      </c>
      <c r="J6" s="116">
        <v>8.8120000000000004E-2</v>
      </c>
      <c r="K6" s="5">
        <v>223295.19999999995</v>
      </c>
      <c r="L6" s="115">
        <v>1688900</v>
      </c>
      <c r="M6" s="116">
        <v>0.11330999999999999</v>
      </c>
      <c r="N6" s="5">
        <v>191369.26</v>
      </c>
      <c r="O6" s="115">
        <v>1373740</v>
      </c>
      <c r="P6" s="116">
        <v>5.042E-2</v>
      </c>
      <c r="Q6" s="5">
        <v>69263.969999999972</v>
      </c>
      <c r="R6" s="115">
        <v>640680</v>
      </c>
      <c r="S6" s="116">
        <v>5.246E-2</v>
      </c>
      <c r="T6" s="5">
        <v>33610.069999999949</v>
      </c>
      <c r="U6" s="115">
        <v>2016686.24</v>
      </c>
      <c r="V6" s="116">
        <v>8.2489999999999994E-2</v>
      </c>
      <c r="W6" s="5">
        <f t="shared" si="0"/>
        <v>166356.45000000001</v>
      </c>
      <c r="X6" s="115">
        <v>2155770</v>
      </c>
      <c r="Y6" s="116">
        <v>6.6320000000000004E-2</v>
      </c>
      <c r="Z6" s="5">
        <f>X6*Y6</f>
        <v>142970.66640000002</v>
      </c>
      <c r="AA6" s="115"/>
      <c r="AB6" s="116"/>
      <c r="AC6" s="5">
        <f t="shared" ref="AC6:AC16" si="1">AA6*AB6</f>
        <v>0</v>
      </c>
      <c r="AD6" s="115"/>
      <c r="AE6" s="116"/>
      <c r="AF6" s="5">
        <f t="shared" ref="AF6:AF16" si="2">AD6*AE6</f>
        <v>0</v>
      </c>
      <c r="AG6" s="115"/>
      <c r="AH6" s="116"/>
      <c r="AI6" s="5">
        <f t="shared" ref="AI6:AI16" si="3">AG6*AH6</f>
        <v>0</v>
      </c>
      <c r="AJ6" s="115"/>
      <c r="AK6" s="116"/>
      <c r="AL6" s="5">
        <f t="shared" ref="AL6:AL16" si="4">AJ6*AK6</f>
        <v>0</v>
      </c>
    </row>
    <row r="7" spans="2:38">
      <c r="B7" s="105" t="s">
        <v>2</v>
      </c>
      <c r="C7" s="115">
        <v>3883530</v>
      </c>
      <c r="D7" s="116">
        <v>7.1349999999999997E-2</v>
      </c>
      <c r="E7" s="5">
        <v>277089.8600000001</v>
      </c>
      <c r="F7" s="115">
        <v>4336290</v>
      </c>
      <c r="G7" s="116">
        <v>9.4810000000000005E-2</v>
      </c>
      <c r="H7" s="5">
        <v>411123.65999999992</v>
      </c>
      <c r="I7" s="115">
        <v>4480180</v>
      </c>
      <c r="J7" s="116">
        <v>8.0409999999999995E-2</v>
      </c>
      <c r="K7" s="5">
        <v>360251.28</v>
      </c>
      <c r="L7" s="115">
        <v>3223950</v>
      </c>
      <c r="M7" s="116">
        <v>0.11942</v>
      </c>
      <c r="N7" s="5">
        <v>385004.1100000001</v>
      </c>
      <c r="O7" s="115">
        <v>2724430</v>
      </c>
      <c r="P7" s="116">
        <v>9.0800000000000006E-2</v>
      </c>
      <c r="Q7" s="5">
        <v>247378.25</v>
      </c>
      <c r="R7" s="115">
        <v>2937880</v>
      </c>
      <c r="S7" s="116">
        <v>5.9409999999999998E-2</v>
      </c>
      <c r="T7" s="5">
        <v>174539.44999999995</v>
      </c>
      <c r="U7" s="115">
        <v>2797296</v>
      </c>
      <c r="V7" s="116">
        <v>8.0310000000000006E-2</v>
      </c>
      <c r="W7" s="5">
        <f t="shared" si="0"/>
        <v>224650.84</v>
      </c>
      <c r="X7" s="115">
        <v>3124994.713</v>
      </c>
      <c r="Y7" s="116">
        <v>8.1710000000000005E-2</v>
      </c>
      <c r="Z7" s="5">
        <f t="shared" ref="Z7:Z16" si="5">X7*Y7</f>
        <v>255343.31799923003</v>
      </c>
      <c r="AA7" s="115"/>
      <c r="AB7" s="116"/>
      <c r="AC7" s="5">
        <f t="shared" si="1"/>
        <v>0</v>
      </c>
      <c r="AD7" s="115"/>
      <c r="AE7" s="116"/>
      <c r="AF7" s="5">
        <f t="shared" si="2"/>
        <v>0</v>
      </c>
      <c r="AG7" s="115"/>
      <c r="AH7" s="116"/>
      <c r="AI7" s="5">
        <f t="shared" si="3"/>
        <v>0</v>
      </c>
      <c r="AJ7" s="115"/>
      <c r="AK7" s="116"/>
      <c r="AL7" s="5">
        <f t="shared" si="4"/>
        <v>0</v>
      </c>
    </row>
    <row r="8" spans="2:38">
      <c r="B8" s="105" t="s">
        <v>3</v>
      </c>
      <c r="C8" s="115">
        <v>4799720</v>
      </c>
      <c r="D8" s="116">
        <v>0.10778</v>
      </c>
      <c r="E8" s="5">
        <v>517313.81999999995</v>
      </c>
      <c r="F8" s="115">
        <v>4359310</v>
      </c>
      <c r="G8" s="116">
        <v>9.9589999999999998E-2</v>
      </c>
      <c r="H8" s="5">
        <v>434143.68000000017</v>
      </c>
      <c r="I8" s="115">
        <v>2161930</v>
      </c>
      <c r="J8" s="116">
        <v>0.12333</v>
      </c>
      <c r="K8" s="5">
        <v>266630.83000000007</v>
      </c>
      <c r="L8" s="115">
        <v>3323490</v>
      </c>
      <c r="M8" s="116">
        <v>0.15057000000000001</v>
      </c>
      <c r="N8" s="5">
        <v>500417.89000000013</v>
      </c>
      <c r="O8" s="115">
        <v>4398280</v>
      </c>
      <c r="P8" s="116">
        <v>0.10934000000000001</v>
      </c>
      <c r="Q8" s="5">
        <v>480907.93000000005</v>
      </c>
      <c r="R8" s="115">
        <v>4152090</v>
      </c>
      <c r="S8" s="116">
        <v>8.2930000000000004E-2</v>
      </c>
      <c r="T8" s="5">
        <v>344332.82999999996</v>
      </c>
      <c r="U8" s="115">
        <v>4258993.4400000004</v>
      </c>
      <c r="V8" s="116">
        <v>9.8530000000000006E-2</v>
      </c>
      <c r="W8" s="5">
        <f t="shared" si="0"/>
        <v>419638.62</v>
      </c>
      <c r="X8" s="115">
        <v>4598522.1670000004</v>
      </c>
      <c r="Y8" s="116">
        <v>7.4270000000000003E-2</v>
      </c>
      <c r="Z8" s="5">
        <f t="shared" si="5"/>
        <v>341532.24134309002</v>
      </c>
      <c r="AA8" s="115"/>
      <c r="AB8" s="116"/>
      <c r="AC8" s="5">
        <f t="shared" si="1"/>
        <v>0</v>
      </c>
      <c r="AD8" s="115"/>
      <c r="AE8" s="116"/>
      <c r="AF8" s="5">
        <f t="shared" si="2"/>
        <v>0</v>
      </c>
      <c r="AG8" s="115"/>
      <c r="AH8" s="116"/>
      <c r="AI8" s="5">
        <f t="shared" si="3"/>
        <v>0</v>
      </c>
      <c r="AJ8" s="115"/>
      <c r="AK8" s="116"/>
      <c r="AL8" s="5">
        <f t="shared" si="4"/>
        <v>0</v>
      </c>
    </row>
    <row r="9" spans="2:38">
      <c r="B9" s="105" t="s">
        <v>4</v>
      </c>
      <c r="C9" s="115">
        <v>5096570</v>
      </c>
      <c r="D9" s="116">
        <v>0.12307</v>
      </c>
      <c r="E9" s="5">
        <v>627234.87000000011</v>
      </c>
      <c r="F9" s="115">
        <v>5824650</v>
      </c>
      <c r="G9" s="116">
        <v>0.10791000000000001</v>
      </c>
      <c r="H9" s="5">
        <v>628537.98</v>
      </c>
      <c r="I9" s="115">
        <v>573300</v>
      </c>
      <c r="J9" s="116">
        <v>0.12604000000000001</v>
      </c>
      <c r="K9" s="5">
        <v>72258.729999999981</v>
      </c>
      <c r="L9" s="115">
        <v>4369220</v>
      </c>
      <c r="M9" s="116">
        <v>0.14718000000000001</v>
      </c>
      <c r="N9" s="5">
        <v>643061.80000000005</v>
      </c>
      <c r="O9" s="115">
        <v>3333080</v>
      </c>
      <c r="P9" s="116">
        <v>0.10054</v>
      </c>
      <c r="Q9" s="5">
        <v>335107.8600000001</v>
      </c>
      <c r="R9" s="115">
        <v>5665250</v>
      </c>
      <c r="S9" s="116">
        <v>8.4750000000000006E-2</v>
      </c>
      <c r="T9" s="5">
        <v>480129.94000000006</v>
      </c>
      <c r="U9" s="115">
        <v>5065060.01</v>
      </c>
      <c r="V9" s="116">
        <v>9.962E-2</v>
      </c>
      <c r="W9" s="5">
        <f t="shared" si="0"/>
        <v>504581.28</v>
      </c>
      <c r="X9" s="115"/>
      <c r="Y9" s="116"/>
      <c r="Z9" s="5">
        <f t="shared" si="5"/>
        <v>0</v>
      </c>
      <c r="AA9" s="115"/>
      <c r="AB9" s="116"/>
      <c r="AC9" s="5">
        <f t="shared" si="1"/>
        <v>0</v>
      </c>
      <c r="AD9" s="115"/>
      <c r="AE9" s="116"/>
      <c r="AF9" s="5">
        <f t="shared" si="2"/>
        <v>0</v>
      </c>
      <c r="AG9" s="115"/>
      <c r="AH9" s="116"/>
      <c r="AI9" s="5">
        <f t="shared" si="3"/>
        <v>0</v>
      </c>
      <c r="AJ9" s="115"/>
      <c r="AK9" s="116"/>
      <c r="AL9" s="5">
        <f t="shared" si="4"/>
        <v>0</v>
      </c>
    </row>
    <row r="10" spans="2:38">
      <c r="B10" s="105" t="s">
        <v>5</v>
      </c>
      <c r="C10" s="115">
        <v>5673460</v>
      </c>
      <c r="D10" s="116">
        <v>0.11848</v>
      </c>
      <c r="E10" s="5">
        <v>672191.54</v>
      </c>
      <c r="F10" s="115">
        <v>5836836</v>
      </c>
      <c r="G10" s="116">
        <v>0.11896</v>
      </c>
      <c r="H10" s="5">
        <v>694350.00999999989</v>
      </c>
      <c r="I10" s="115">
        <v>2446170</v>
      </c>
      <c r="J10" s="116">
        <v>0.13728000000000001</v>
      </c>
      <c r="K10" s="5">
        <v>335810.2100000002</v>
      </c>
      <c r="L10" s="115">
        <v>4206240</v>
      </c>
      <c r="M10" s="116">
        <v>0.12839999999999999</v>
      </c>
      <c r="N10" s="5">
        <v>540081.22</v>
      </c>
      <c r="O10" s="115">
        <v>1333260</v>
      </c>
      <c r="P10" s="116">
        <v>8.6319999999999994E-2</v>
      </c>
      <c r="Q10" s="5">
        <v>115087.01000000001</v>
      </c>
      <c r="R10" s="115">
        <v>5632520</v>
      </c>
      <c r="S10" s="116">
        <v>7.868E-2</v>
      </c>
      <c r="T10" s="5">
        <v>443166.67999999993</v>
      </c>
      <c r="U10" s="115">
        <v>2509005.2799999998</v>
      </c>
      <c r="V10" s="116">
        <v>8.2930000000000004E-2</v>
      </c>
      <c r="W10" s="5">
        <f t="shared" si="0"/>
        <v>208071.81</v>
      </c>
      <c r="X10" s="115"/>
      <c r="Y10" s="116"/>
      <c r="Z10" s="5">
        <f t="shared" si="5"/>
        <v>0</v>
      </c>
      <c r="AA10" s="115"/>
      <c r="AB10" s="116"/>
      <c r="AC10" s="5">
        <f t="shared" si="1"/>
        <v>0</v>
      </c>
      <c r="AD10" s="115"/>
      <c r="AE10" s="116"/>
      <c r="AF10" s="5">
        <f t="shared" si="2"/>
        <v>0</v>
      </c>
      <c r="AG10" s="115"/>
      <c r="AH10" s="116"/>
      <c r="AI10" s="5">
        <f t="shared" si="3"/>
        <v>0</v>
      </c>
      <c r="AJ10" s="115"/>
      <c r="AK10" s="116"/>
      <c r="AL10" s="5">
        <f t="shared" si="4"/>
        <v>0</v>
      </c>
    </row>
    <row r="11" spans="2:38">
      <c r="B11" s="105" t="s">
        <v>6</v>
      </c>
      <c r="C11" s="115">
        <v>5380900</v>
      </c>
      <c r="D11" s="116">
        <v>0.1128</v>
      </c>
      <c r="E11" s="5">
        <v>606965.52</v>
      </c>
      <c r="F11" s="115">
        <v>2286590</v>
      </c>
      <c r="G11" s="116">
        <v>7.7369999999999994E-2</v>
      </c>
      <c r="H11" s="5">
        <v>176913.45999999996</v>
      </c>
      <c r="I11" s="115">
        <v>3676680</v>
      </c>
      <c r="J11" s="116">
        <v>9.6449999999999994E-2</v>
      </c>
      <c r="K11" s="5">
        <v>354615.79000000004</v>
      </c>
      <c r="L11" s="115">
        <v>3494520</v>
      </c>
      <c r="M11" s="116">
        <v>9.9019999999999997E-2</v>
      </c>
      <c r="N11" s="5">
        <v>346027.36999999988</v>
      </c>
      <c r="O11" s="115">
        <v>3685060</v>
      </c>
      <c r="P11" s="116">
        <v>7.3599999999999999E-2</v>
      </c>
      <c r="Q11" s="5">
        <v>271220.41000000003</v>
      </c>
      <c r="R11" s="115">
        <v>4101700</v>
      </c>
      <c r="S11" s="116">
        <v>4.0079999999999998E-2</v>
      </c>
      <c r="T11" s="5">
        <v>164396.14000000001</v>
      </c>
      <c r="U11" s="129">
        <v>5164020</v>
      </c>
      <c r="V11" s="116">
        <f>W11/U11</f>
        <v>4.9651248445978138E-2</v>
      </c>
      <c r="W11" s="114">
        <f>128200.02*2</f>
        <v>256400.04</v>
      </c>
      <c r="X11" s="115"/>
      <c r="Y11" s="116"/>
      <c r="Z11" s="5">
        <f t="shared" si="5"/>
        <v>0</v>
      </c>
      <c r="AA11" s="115"/>
      <c r="AB11" s="116"/>
      <c r="AC11" s="5">
        <f t="shared" si="1"/>
        <v>0</v>
      </c>
      <c r="AD11" s="115"/>
      <c r="AE11" s="116"/>
      <c r="AF11" s="5">
        <f t="shared" si="2"/>
        <v>0</v>
      </c>
      <c r="AG11" s="115"/>
      <c r="AH11" s="116"/>
      <c r="AI11" s="5">
        <f t="shared" si="3"/>
        <v>0</v>
      </c>
      <c r="AJ11" s="115"/>
      <c r="AK11" s="116"/>
      <c r="AL11" s="5">
        <f t="shared" si="4"/>
        <v>0</v>
      </c>
    </row>
    <row r="12" spans="2:38">
      <c r="B12" s="105" t="s">
        <v>7</v>
      </c>
      <c r="C12" s="115">
        <v>2756940</v>
      </c>
      <c r="D12" s="116">
        <v>0.10109</v>
      </c>
      <c r="E12" s="5">
        <v>278699.06000000006</v>
      </c>
      <c r="F12" s="115">
        <v>2719400</v>
      </c>
      <c r="G12" s="116">
        <v>7.4899999999999994E-2</v>
      </c>
      <c r="H12" s="5">
        <v>203683.05999999994</v>
      </c>
      <c r="I12" s="115">
        <v>3537380</v>
      </c>
      <c r="J12" s="116">
        <v>0.12606999999999999</v>
      </c>
      <c r="K12" s="5">
        <v>445957.5</v>
      </c>
      <c r="L12" s="115">
        <v>4660990</v>
      </c>
      <c r="M12" s="116">
        <v>0.10348</v>
      </c>
      <c r="N12" s="5">
        <v>482319.24</v>
      </c>
      <c r="O12" s="115">
        <v>4492060</v>
      </c>
      <c r="P12" s="116">
        <v>4.5990000000000003E-2</v>
      </c>
      <c r="Q12" s="5">
        <v>206589.83999999997</v>
      </c>
      <c r="R12" s="115">
        <v>2637510</v>
      </c>
      <c r="S12" s="116">
        <v>4.9899999999999996E-3</v>
      </c>
      <c r="T12" s="5">
        <v>13161.179999999993</v>
      </c>
      <c r="U12" s="115">
        <v>5107690</v>
      </c>
      <c r="V12" s="116">
        <f>W12/U12</f>
        <v>7.6059999725903493E-2</v>
      </c>
      <c r="W12" s="5">
        <f>194245.45*2</f>
        <v>388490.9</v>
      </c>
      <c r="X12" s="115"/>
      <c r="Y12" s="116"/>
      <c r="Z12" s="5">
        <f t="shared" si="5"/>
        <v>0</v>
      </c>
      <c r="AA12" s="115"/>
      <c r="AB12" s="116"/>
      <c r="AC12" s="5">
        <f t="shared" si="1"/>
        <v>0</v>
      </c>
      <c r="AD12" s="115"/>
      <c r="AE12" s="116"/>
      <c r="AF12" s="5">
        <f t="shared" si="2"/>
        <v>0</v>
      </c>
      <c r="AG12" s="115"/>
      <c r="AH12" s="116"/>
      <c r="AI12" s="5">
        <f t="shared" si="3"/>
        <v>0</v>
      </c>
      <c r="AJ12" s="115"/>
      <c r="AK12" s="116"/>
      <c r="AL12" s="5">
        <f t="shared" si="4"/>
        <v>0</v>
      </c>
    </row>
    <row r="13" spans="2:38">
      <c r="B13" s="105" t="s">
        <v>8</v>
      </c>
      <c r="C13" s="115">
        <v>3210200</v>
      </c>
      <c r="D13" s="116">
        <v>8.8639999999999997E-2</v>
      </c>
      <c r="E13" s="5">
        <v>284552.13</v>
      </c>
      <c r="F13" s="115">
        <v>3075670</v>
      </c>
      <c r="G13" s="116">
        <v>8.584E-2</v>
      </c>
      <c r="H13" s="5">
        <v>264015.50999999989</v>
      </c>
      <c r="I13" s="115">
        <v>2684440</v>
      </c>
      <c r="J13" s="116">
        <v>0.12263</v>
      </c>
      <c r="K13" s="5">
        <v>329192.87999999989</v>
      </c>
      <c r="L13" s="115">
        <v>4094420</v>
      </c>
      <c r="M13" s="116">
        <v>0.12175999999999999</v>
      </c>
      <c r="N13" s="5">
        <v>498536.58000000007</v>
      </c>
      <c r="O13" s="115">
        <v>2697760</v>
      </c>
      <c r="P13" s="116">
        <v>7.5649999999999995E-2</v>
      </c>
      <c r="Q13" s="5">
        <v>204085.54999999993</v>
      </c>
      <c r="R13" s="115">
        <v>4344770</v>
      </c>
      <c r="S13" s="116">
        <v>3.2410000000000001E-2</v>
      </c>
      <c r="T13" s="5">
        <v>140814</v>
      </c>
      <c r="U13" s="115">
        <v>3976555.51</v>
      </c>
      <c r="V13" s="116">
        <v>5.0930000000000003E-2</v>
      </c>
      <c r="W13" s="5">
        <v>202525.97</v>
      </c>
      <c r="X13" s="115"/>
      <c r="Y13" s="116"/>
      <c r="Z13" s="5">
        <f t="shared" si="5"/>
        <v>0</v>
      </c>
      <c r="AA13" s="115"/>
      <c r="AB13" s="116"/>
      <c r="AC13" s="5">
        <f t="shared" si="1"/>
        <v>0</v>
      </c>
      <c r="AD13" s="115"/>
      <c r="AE13" s="116"/>
      <c r="AF13" s="5">
        <f t="shared" si="2"/>
        <v>0</v>
      </c>
      <c r="AG13" s="115"/>
      <c r="AH13" s="116"/>
      <c r="AI13" s="5">
        <f t="shared" si="3"/>
        <v>0</v>
      </c>
      <c r="AJ13" s="115"/>
      <c r="AK13" s="116"/>
      <c r="AL13" s="5">
        <f t="shared" si="4"/>
        <v>0</v>
      </c>
    </row>
    <row r="14" spans="2:38">
      <c r="B14" s="105" t="s">
        <v>9</v>
      </c>
      <c r="C14" s="115">
        <v>2748080</v>
      </c>
      <c r="D14" s="116">
        <v>0.12562999999999999</v>
      </c>
      <c r="E14" s="5">
        <v>345241.29000000004</v>
      </c>
      <c r="F14" s="115">
        <v>1716320</v>
      </c>
      <c r="G14" s="116">
        <v>0.12059</v>
      </c>
      <c r="H14" s="5">
        <v>206971.03000000003</v>
      </c>
      <c r="I14" s="115">
        <v>2841830</v>
      </c>
      <c r="J14" s="116">
        <v>0.1368</v>
      </c>
      <c r="K14" s="5">
        <v>388762.34999999986</v>
      </c>
      <c r="L14" s="115">
        <v>3886120</v>
      </c>
      <c r="M14" s="116">
        <v>0.12806000000000001</v>
      </c>
      <c r="N14" s="5">
        <v>497656.53</v>
      </c>
      <c r="O14" s="115">
        <v>5203800</v>
      </c>
      <c r="P14" s="116">
        <v>5.2440000000000001E-2</v>
      </c>
      <c r="Q14" s="5">
        <v>272887.27999999997</v>
      </c>
      <c r="R14" s="115">
        <v>2424300</v>
      </c>
      <c r="S14" s="116">
        <v>5.7709999999999997E-2</v>
      </c>
      <c r="T14" s="5">
        <v>139906.34999999998</v>
      </c>
      <c r="U14" s="115">
        <v>2183556.4780000001</v>
      </c>
      <c r="V14" s="116">
        <v>8.498E-2</v>
      </c>
      <c r="W14" s="5">
        <f>U14*V14</f>
        <v>185558.62950044</v>
      </c>
      <c r="X14" s="115"/>
      <c r="Y14" s="116"/>
      <c r="Z14" s="5">
        <f t="shared" si="5"/>
        <v>0</v>
      </c>
      <c r="AA14" s="115"/>
      <c r="AB14" s="116"/>
      <c r="AC14" s="5">
        <f t="shared" si="1"/>
        <v>0</v>
      </c>
      <c r="AD14" s="115"/>
      <c r="AE14" s="116"/>
      <c r="AF14" s="5">
        <f t="shared" si="2"/>
        <v>0</v>
      </c>
      <c r="AG14" s="115"/>
      <c r="AH14" s="116"/>
      <c r="AI14" s="5">
        <f t="shared" si="3"/>
        <v>0</v>
      </c>
      <c r="AJ14" s="115"/>
      <c r="AK14" s="116"/>
      <c r="AL14" s="5">
        <f t="shared" si="4"/>
        <v>0</v>
      </c>
    </row>
    <row r="15" spans="2:38">
      <c r="B15" s="105" t="s">
        <v>10</v>
      </c>
      <c r="C15" s="115">
        <v>5298050</v>
      </c>
      <c r="D15" s="116">
        <v>9.7040000000000001E-2</v>
      </c>
      <c r="E15" s="5">
        <v>514122.77</v>
      </c>
      <c r="F15" s="115">
        <v>1807480</v>
      </c>
      <c r="G15" s="116">
        <v>9.8549999999999999E-2</v>
      </c>
      <c r="H15" s="5">
        <v>178127.15999999992</v>
      </c>
      <c r="I15" s="115">
        <v>1506800</v>
      </c>
      <c r="J15" s="116">
        <v>9.9529999999999993E-2</v>
      </c>
      <c r="K15" s="5">
        <v>149971.81000000006</v>
      </c>
      <c r="L15" s="115">
        <v>3140570</v>
      </c>
      <c r="M15" s="116">
        <v>0.11705</v>
      </c>
      <c r="N15" s="5">
        <v>367603.7200000002</v>
      </c>
      <c r="O15" s="115">
        <v>3090470</v>
      </c>
      <c r="P15" s="116">
        <v>5.4170000000000003E-2</v>
      </c>
      <c r="Q15" s="5">
        <v>167410.76</v>
      </c>
      <c r="R15" s="115">
        <v>419910</v>
      </c>
      <c r="S15" s="116">
        <v>6.9889999999999994E-2</v>
      </c>
      <c r="T15" s="5">
        <v>29347.509999999776</v>
      </c>
      <c r="U15" s="115">
        <v>1585461.12</v>
      </c>
      <c r="V15" s="116">
        <v>7.0900000000000005E-2</v>
      </c>
      <c r="W15" s="5">
        <f t="shared" ref="W15:W16" si="6">U15*V15</f>
        <v>112409.19340800002</v>
      </c>
      <c r="X15" s="115"/>
      <c r="Y15" s="116"/>
      <c r="Z15" s="5">
        <f t="shared" si="5"/>
        <v>0</v>
      </c>
      <c r="AA15" s="115"/>
      <c r="AB15" s="116"/>
      <c r="AC15" s="5">
        <f t="shared" si="1"/>
        <v>0</v>
      </c>
      <c r="AD15" s="115"/>
      <c r="AE15" s="116"/>
      <c r="AF15" s="5">
        <f t="shared" si="2"/>
        <v>0</v>
      </c>
      <c r="AG15" s="115"/>
      <c r="AH15" s="116"/>
      <c r="AI15" s="5">
        <f t="shared" si="3"/>
        <v>0</v>
      </c>
      <c r="AJ15" s="115"/>
      <c r="AK15" s="116"/>
      <c r="AL15" s="5">
        <f t="shared" si="4"/>
        <v>0</v>
      </c>
    </row>
    <row r="16" spans="2:38" ht="15.75" thickBot="1">
      <c r="B16" s="105" t="s">
        <v>11</v>
      </c>
      <c r="C16" s="117">
        <v>3896110</v>
      </c>
      <c r="D16" s="118">
        <v>9.2069999999999999E-2</v>
      </c>
      <c r="E16" s="6">
        <v>358714.85000000009</v>
      </c>
      <c r="F16" s="117">
        <v>3020740</v>
      </c>
      <c r="G16" s="118">
        <v>7.4039999999999995E-2</v>
      </c>
      <c r="H16" s="6">
        <v>223655.59000000008</v>
      </c>
      <c r="I16" s="117">
        <v>1996200</v>
      </c>
      <c r="J16" s="118">
        <v>9.3210000000000001E-2</v>
      </c>
      <c r="K16" s="6">
        <v>186065.80000000005</v>
      </c>
      <c r="L16" s="117">
        <v>1979050</v>
      </c>
      <c r="M16" s="118">
        <v>0.10557999999999999</v>
      </c>
      <c r="N16" s="6">
        <v>208948.10000000009</v>
      </c>
      <c r="O16" s="117">
        <v>2661390</v>
      </c>
      <c r="P16" s="118">
        <v>5.9679999999999997E-2</v>
      </c>
      <c r="Q16" s="6">
        <v>158831.75000000012</v>
      </c>
      <c r="R16" s="117">
        <v>947060</v>
      </c>
      <c r="S16" s="118">
        <v>3.4270000000000002E-2</v>
      </c>
      <c r="T16" s="6">
        <v>32455.75</v>
      </c>
      <c r="U16" s="117">
        <v>1881077.442</v>
      </c>
      <c r="V16" s="118">
        <v>6.6220000000000001E-2</v>
      </c>
      <c r="W16" s="5">
        <f t="shared" si="6"/>
        <v>124564.94820924</v>
      </c>
      <c r="X16" s="115"/>
      <c r="Y16" s="116"/>
      <c r="Z16" s="5">
        <f t="shared" si="5"/>
        <v>0</v>
      </c>
      <c r="AA16" s="115"/>
      <c r="AB16" s="116"/>
      <c r="AC16" s="5">
        <f t="shared" si="1"/>
        <v>0</v>
      </c>
      <c r="AD16" s="115"/>
      <c r="AE16" s="116"/>
      <c r="AF16" s="5">
        <f t="shared" si="2"/>
        <v>0</v>
      </c>
      <c r="AG16" s="115"/>
      <c r="AH16" s="116"/>
      <c r="AI16" s="5">
        <f t="shared" si="3"/>
        <v>0</v>
      </c>
      <c r="AJ16" s="115"/>
      <c r="AK16" s="116"/>
      <c r="AL16" s="5">
        <f t="shared" si="4"/>
        <v>0</v>
      </c>
    </row>
    <row r="17" spans="2:38" ht="15.75" thickBot="1">
      <c r="B17" s="106" t="s">
        <v>14</v>
      </c>
      <c r="C17" s="8">
        <f>SUM(C5:C16)</f>
        <v>47853390</v>
      </c>
      <c r="D17" s="107">
        <f>E17/C17</f>
        <v>0.10270473502504211</v>
      </c>
      <c r="E17" s="9">
        <f>SUM(E5:E16)</f>
        <v>4914769.74</v>
      </c>
      <c r="F17" s="8">
        <f>SUM(F5:F16)</f>
        <v>41098744</v>
      </c>
      <c r="G17" s="107">
        <f>H17/F17</f>
        <v>9.4424165127771298E-2</v>
      </c>
      <c r="H17" s="9">
        <f>SUM(H5:H16)</f>
        <v>3880714.59</v>
      </c>
      <c r="I17" s="8">
        <f>SUM(I5:I16)</f>
        <v>30634900</v>
      </c>
      <c r="J17" s="107">
        <f>K17/I17</f>
        <v>0.10741059053563094</v>
      </c>
      <c r="K17" s="9">
        <f>SUM(K5:K16)</f>
        <v>3290512.7</v>
      </c>
      <c r="L17" s="8">
        <f>SUM(L5:L16)</f>
        <v>40156590</v>
      </c>
      <c r="M17" s="107">
        <f>N17/L17</f>
        <v>0.12139438582807953</v>
      </c>
      <c r="N17" s="9">
        <f>SUM(N5:N16)</f>
        <v>4874784.58</v>
      </c>
      <c r="O17" s="8">
        <f>SUM(O5:O16)</f>
        <v>36799160</v>
      </c>
      <c r="P17" s="107">
        <f>Q17/O17</f>
        <v>7.2789713949992313E-2</v>
      </c>
      <c r="Q17" s="9">
        <f>SUM(Q5:Q16)</f>
        <v>2678600.3299999991</v>
      </c>
      <c r="R17" s="8">
        <f>SUM(R5:R16)</f>
        <v>34760990</v>
      </c>
      <c r="S17" s="107">
        <f>T17/R17</f>
        <v>5.8490251284557766E-2</v>
      </c>
      <c r="T17" s="9">
        <f>SUM(T5:T16)</f>
        <v>2033179.0399999996</v>
      </c>
      <c r="U17" s="8">
        <f>SUM(U5:U16)</f>
        <v>39126764.560000002</v>
      </c>
      <c r="V17" s="107">
        <f>W17/U17</f>
        <v>7.4937158849959357E-2</v>
      </c>
      <c r="W17" s="9">
        <f>SUM(W5:W16)</f>
        <v>2932048.5711176801</v>
      </c>
      <c r="X17" s="8">
        <f>SUM(X5:X16)</f>
        <v>11787916.640999999</v>
      </c>
      <c r="Y17" s="107">
        <f>Z17/X17</f>
        <v>7.0191721266431389E-2</v>
      </c>
      <c r="Z17" s="9">
        <f>SUM(Z5:Z16)</f>
        <v>827414.15917700005</v>
      </c>
      <c r="AA17" s="8">
        <f>SUM(AA5:AA16)</f>
        <v>0</v>
      </c>
      <c r="AB17" s="107" t="e">
        <f>AC17/AA17</f>
        <v>#DIV/0!</v>
      </c>
      <c r="AC17" s="9">
        <f>SUM(AC5:AC16)</f>
        <v>0</v>
      </c>
      <c r="AD17" s="8">
        <f>SUM(AD5:AD16)</f>
        <v>0</v>
      </c>
      <c r="AE17" s="107" t="e">
        <f>AF17/AD17</f>
        <v>#DIV/0!</v>
      </c>
      <c r="AF17" s="9">
        <f>SUM(AF5:AF16)</f>
        <v>0</v>
      </c>
      <c r="AG17" s="8">
        <f>SUM(AG5:AG16)</f>
        <v>0</v>
      </c>
      <c r="AH17" s="107" t="e">
        <f>AI17/AG17</f>
        <v>#DIV/0!</v>
      </c>
      <c r="AI17" s="9">
        <f>SUM(AI5:AI16)</f>
        <v>0</v>
      </c>
      <c r="AJ17" s="8">
        <f>SUM(AJ5:AJ16)</f>
        <v>0</v>
      </c>
      <c r="AK17" s="107" t="e">
        <f>AL17/AJ17</f>
        <v>#DIV/0!</v>
      </c>
      <c r="AL17" s="9">
        <f>SUM(AL5:AL16)</f>
        <v>0</v>
      </c>
    </row>
    <row r="18" spans="2:38">
      <c r="B18" s="2"/>
    </row>
    <row r="19" spans="2:38">
      <c r="B19" s="2"/>
      <c r="I19" s="128"/>
    </row>
    <row r="20" spans="2:38">
      <c r="B20" s="245" t="s">
        <v>210</v>
      </c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7"/>
    </row>
    <row r="21" spans="2:38">
      <c r="B21" s="26"/>
      <c r="C21" s="150">
        <v>2017</v>
      </c>
      <c r="D21" s="150">
        <v>2018</v>
      </c>
      <c r="E21" s="150">
        <v>2019</v>
      </c>
      <c r="F21" s="150">
        <v>2020</v>
      </c>
      <c r="G21" s="150">
        <v>2021</v>
      </c>
      <c r="H21" s="150">
        <v>2022</v>
      </c>
      <c r="I21" s="147">
        <v>2023</v>
      </c>
      <c r="J21" s="147">
        <v>2024</v>
      </c>
      <c r="K21" s="147">
        <v>2025</v>
      </c>
      <c r="L21" s="147">
        <v>2026</v>
      </c>
      <c r="M21" s="147">
        <v>2027</v>
      </c>
      <c r="N21" s="148">
        <v>2028</v>
      </c>
    </row>
    <row r="22" spans="2:38">
      <c r="B22" s="26" t="s">
        <v>0</v>
      </c>
      <c r="D22" s="126"/>
      <c r="E22" s="126"/>
      <c r="F22" s="91">
        <v>17722769</v>
      </c>
      <c r="G22" s="91">
        <v>17319254</v>
      </c>
      <c r="H22" s="91">
        <v>20867422</v>
      </c>
      <c r="I22" s="91">
        <v>17580194</v>
      </c>
      <c r="J22" s="91"/>
      <c r="K22" s="91"/>
      <c r="L22" s="91"/>
      <c r="M22" s="91"/>
      <c r="N22" s="119"/>
      <c r="Q22" s="3"/>
      <c r="R22" s="3"/>
      <c r="S22" s="3"/>
      <c r="T22" s="3"/>
      <c r="U22" s="3"/>
    </row>
    <row r="23" spans="2:38">
      <c r="B23" s="26" t="s">
        <v>1</v>
      </c>
      <c r="D23" s="126"/>
      <c r="E23" s="126"/>
      <c r="F23" s="91">
        <v>16373792</v>
      </c>
      <c r="G23" s="91">
        <v>16315431</v>
      </c>
      <c r="H23" s="91">
        <v>17796688</v>
      </c>
      <c r="I23" s="91">
        <v>16455199</v>
      </c>
      <c r="J23" s="91"/>
      <c r="K23" s="91"/>
      <c r="L23" s="91"/>
      <c r="M23" s="91"/>
      <c r="N23" s="119"/>
      <c r="Q23" s="3"/>
      <c r="R23" s="3"/>
      <c r="S23" s="3"/>
      <c r="T23" s="3"/>
      <c r="U23" s="3"/>
    </row>
    <row r="24" spans="2:38">
      <c r="B24" s="26" t="s">
        <v>2</v>
      </c>
      <c r="D24" s="126"/>
      <c r="E24" s="126"/>
      <c r="F24" s="91">
        <v>15547060</v>
      </c>
      <c r="G24" s="91">
        <v>16043912</v>
      </c>
      <c r="H24" s="91">
        <v>16712569</v>
      </c>
      <c r="I24" s="91">
        <v>12177305</v>
      </c>
      <c r="J24" s="91"/>
      <c r="K24" s="91"/>
      <c r="L24" s="91"/>
      <c r="M24" s="91"/>
      <c r="N24" s="119"/>
      <c r="Q24" s="3"/>
      <c r="R24" s="3"/>
      <c r="S24" s="3"/>
      <c r="T24" s="3"/>
      <c r="U24" s="3"/>
    </row>
    <row r="25" spans="2:38">
      <c r="B25" s="26" t="s">
        <v>3</v>
      </c>
      <c r="D25" s="126"/>
      <c r="E25" s="126"/>
      <c r="F25" s="91">
        <v>13549931</v>
      </c>
      <c r="G25" s="91">
        <v>12544217</v>
      </c>
      <c r="H25" s="91">
        <v>13793487</v>
      </c>
      <c r="I25" s="91">
        <v>17741437</v>
      </c>
      <c r="J25" s="91"/>
      <c r="K25" s="91"/>
      <c r="L25" s="91"/>
      <c r="M25" s="91"/>
      <c r="N25" s="119"/>
      <c r="Q25" s="3"/>
      <c r="R25" s="3"/>
      <c r="S25" s="3"/>
      <c r="T25" s="3"/>
      <c r="U25" s="3"/>
    </row>
    <row r="26" spans="2:38">
      <c r="B26" s="26" t="s">
        <v>4</v>
      </c>
      <c r="D26" s="126"/>
      <c r="E26" s="126"/>
      <c r="F26" s="91">
        <v>12987690</v>
      </c>
      <c r="G26" s="91">
        <v>12933951</v>
      </c>
      <c r="H26" s="91">
        <v>13147960</v>
      </c>
      <c r="I26" s="91">
        <v>12987938</v>
      </c>
      <c r="J26" s="91"/>
      <c r="K26" s="91"/>
      <c r="L26" s="91"/>
      <c r="M26" s="91"/>
      <c r="N26" s="119"/>
      <c r="Q26" s="3"/>
      <c r="R26" s="3"/>
      <c r="S26" s="3"/>
      <c r="T26" s="3"/>
      <c r="U26" s="3"/>
    </row>
    <row r="27" spans="2:38">
      <c r="B27" s="26" t="s">
        <v>5</v>
      </c>
      <c r="D27" s="126"/>
      <c r="E27" s="126"/>
      <c r="F27" s="91">
        <v>13685385</v>
      </c>
      <c r="G27" s="91">
        <v>14249094</v>
      </c>
      <c r="H27" s="91">
        <v>13414347</v>
      </c>
      <c r="I27" s="91">
        <v>13988580</v>
      </c>
      <c r="J27" s="91"/>
      <c r="K27" s="91"/>
      <c r="L27" s="91"/>
      <c r="M27" s="91"/>
      <c r="N27" s="119"/>
      <c r="Q27" s="3"/>
      <c r="R27" s="3"/>
      <c r="S27" s="3"/>
      <c r="T27" s="3"/>
      <c r="U27" s="3"/>
    </row>
    <row r="28" spans="2:38">
      <c r="B28" s="26" t="s">
        <v>6</v>
      </c>
      <c r="D28" s="126"/>
      <c r="E28" s="126"/>
      <c r="F28" s="91">
        <v>16924263</v>
      </c>
      <c r="G28" s="91">
        <v>14611670</v>
      </c>
      <c r="H28" s="91">
        <v>15241908</v>
      </c>
      <c r="I28" s="91">
        <v>16188568</v>
      </c>
      <c r="J28" s="91"/>
      <c r="K28" s="91"/>
      <c r="L28" s="91"/>
      <c r="M28" s="91"/>
      <c r="N28" s="119"/>
      <c r="Q28" s="3"/>
      <c r="R28" s="3"/>
      <c r="S28" s="3"/>
      <c r="T28" s="3"/>
      <c r="U28" s="3"/>
    </row>
    <row r="29" spans="2:38">
      <c r="B29" s="26" t="s">
        <v>7</v>
      </c>
      <c r="D29" s="126"/>
      <c r="E29" s="126"/>
      <c r="F29" s="91">
        <v>14515459</v>
      </c>
      <c r="G29" s="91">
        <v>18132186</v>
      </c>
      <c r="H29" s="91">
        <v>15263859</v>
      </c>
      <c r="I29" s="91">
        <v>14036049</v>
      </c>
      <c r="J29" s="91"/>
      <c r="K29" s="91"/>
      <c r="L29" s="91"/>
      <c r="M29" s="91"/>
      <c r="N29" s="119"/>
      <c r="Q29" s="3"/>
      <c r="R29" s="3"/>
      <c r="S29" s="3"/>
      <c r="T29" s="3"/>
      <c r="U29" s="3"/>
    </row>
    <row r="30" spans="2:38">
      <c r="B30" s="26" t="s">
        <v>8</v>
      </c>
      <c r="D30" s="126"/>
      <c r="E30" s="126"/>
      <c r="F30" s="91">
        <v>12079537</v>
      </c>
      <c r="G30" s="91">
        <v>14526431</v>
      </c>
      <c r="H30" s="91">
        <v>12740587</v>
      </c>
      <c r="I30" s="91">
        <v>13340574</v>
      </c>
      <c r="J30" s="91"/>
      <c r="K30" s="91"/>
      <c r="L30" s="91"/>
      <c r="M30" s="91"/>
      <c r="N30" s="119"/>
      <c r="Q30" s="3"/>
      <c r="R30" s="3"/>
      <c r="S30" s="3"/>
      <c r="T30" s="3"/>
      <c r="U30" s="3"/>
    </row>
    <row r="31" spans="2:38">
      <c r="B31" s="26" t="s">
        <v>9</v>
      </c>
      <c r="D31" s="126"/>
      <c r="E31" s="126"/>
      <c r="F31" s="91">
        <v>13218353</v>
      </c>
      <c r="G31" s="91">
        <v>13355368</v>
      </c>
      <c r="H31" s="91">
        <v>13373620</v>
      </c>
      <c r="I31" s="91">
        <v>13558247</v>
      </c>
      <c r="J31" s="91"/>
      <c r="K31" s="91"/>
      <c r="L31" s="91"/>
      <c r="M31" s="91"/>
      <c r="N31" s="119"/>
    </row>
    <row r="32" spans="2:38">
      <c r="B32" s="26" t="s">
        <v>10</v>
      </c>
      <c r="D32" s="126"/>
      <c r="E32" s="126"/>
      <c r="F32" s="91">
        <v>14152632</v>
      </c>
      <c r="G32" s="91">
        <v>14769348</v>
      </c>
      <c r="H32" s="91">
        <v>15434465</v>
      </c>
      <c r="I32" s="91">
        <v>15326571</v>
      </c>
      <c r="J32" s="91"/>
      <c r="K32" s="91"/>
      <c r="L32" s="91"/>
      <c r="M32" s="91"/>
      <c r="N32" s="119"/>
      <c r="Q32" s="3"/>
      <c r="R32" s="3"/>
      <c r="S32" s="3"/>
      <c r="T32" s="3"/>
      <c r="U32" s="3"/>
    </row>
    <row r="33" spans="2:26">
      <c r="B33" s="26" t="s">
        <v>11</v>
      </c>
      <c r="D33" s="126"/>
      <c r="E33" s="126"/>
      <c r="F33" s="91">
        <v>17596367</v>
      </c>
      <c r="G33" s="91">
        <v>17311632</v>
      </c>
      <c r="H33" s="91">
        <v>17303455</v>
      </c>
      <c r="I33" s="91">
        <v>17148516</v>
      </c>
      <c r="J33" s="91"/>
      <c r="K33" s="91"/>
      <c r="L33" s="91"/>
      <c r="M33" s="91"/>
      <c r="N33" s="119"/>
      <c r="Q33" s="3"/>
      <c r="R33" s="3"/>
      <c r="S33" s="3"/>
      <c r="T33" s="3"/>
      <c r="U33" s="3"/>
    </row>
    <row r="34" spans="2:26">
      <c r="B34" s="27" t="s">
        <v>14</v>
      </c>
      <c r="C34" s="122">
        <v>185695254.03</v>
      </c>
      <c r="D34" s="122">
        <v>193629869</v>
      </c>
      <c r="E34" s="122">
        <v>192262139.55000001</v>
      </c>
      <c r="F34" s="28">
        <f>SUM(F22:F33)</f>
        <v>178353238</v>
      </c>
      <c r="G34" s="28">
        <f>SUM(G22:G33)</f>
        <v>182112494</v>
      </c>
      <c r="H34" s="28">
        <f>SUM(H22:H33)</f>
        <v>185090367</v>
      </c>
      <c r="I34" s="28">
        <f>SUM(I22:I33)</f>
        <v>180529178</v>
      </c>
      <c r="J34" s="28">
        <f t="shared" ref="J34:N34" si="7">SUM(J22:J33)</f>
        <v>0</v>
      </c>
      <c r="K34" s="28">
        <f t="shared" si="7"/>
        <v>0</v>
      </c>
      <c r="L34" s="28">
        <f t="shared" si="7"/>
        <v>0</v>
      </c>
      <c r="M34" s="28">
        <f t="shared" si="7"/>
        <v>0</v>
      </c>
      <c r="N34" s="29">
        <f t="shared" si="7"/>
        <v>0</v>
      </c>
      <c r="Q34" s="3"/>
      <c r="R34" s="3"/>
      <c r="S34" s="3"/>
      <c r="T34" s="3"/>
      <c r="U34" s="3"/>
    </row>
    <row r="35" spans="2:26">
      <c r="B35" s="2"/>
      <c r="Q35" s="3"/>
      <c r="R35" s="3"/>
      <c r="S35" s="3"/>
      <c r="T35" s="3"/>
      <c r="U35" s="3"/>
    </row>
    <row r="36" spans="2:26">
      <c r="B36" s="245" t="s">
        <v>146</v>
      </c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7"/>
      <c r="Q36" s="3"/>
      <c r="R36" s="3"/>
      <c r="S36" s="3"/>
      <c r="T36" s="3"/>
      <c r="U36" s="3"/>
    </row>
    <row r="37" spans="2:26">
      <c r="B37" s="18"/>
      <c r="C37" s="150">
        <v>2017</v>
      </c>
      <c r="D37" s="150">
        <v>2018</v>
      </c>
      <c r="E37" s="150">
        <v>2019</v>
      </c>
      <c r="F37" s="150">
        <v>2020</v>
      </c>
      <c r="G37" s="150">
        <v>2021</v>
      </c>
      <c r="H37" s="150">
        <v>2022</v>
      </c>
      <c r="I37" s="150">
        <v>2023</v>
      </c>
      <c r="J37" s="150">
        <v>2024</v>
      </c>
      <c r="K37" s="150">
        <v>2025</v>
      </c>
      <c r="L37" s="150">
        <v>2026</v>
      </c>
      <c r="M37" s="150">
        <v>2027</v>
      </c>
      <c r="N37" s="100">
        <v>2028</v>
      </c>
      <c r="Q37" s="3"/>
      <c r="R37" s="3"/>
      <c r="S37" s="3"/>
      <c r="T37" s="3"/>
      <c r="U37" s="3"/>
    </row>
    <row r="38" spans="2:26">
      <c r="B38" s="27" t="s">
        <v>14</v>
      </c>
      <c r="C38" s="141">
        <v>177934181</v>
      </c>
      <c r="D38" s="141">
        <v>185198705</v>
      </c>
      <c r="E38" s="141">
        <v>183512928</v>
      </c>
      <c r="F38" s="141">
        <v>178353238</v>
      </c>
      <c r="G38" s="141">
        <v>182112496</v>
      </c>
      <c r="H38" s="142">
        <v>185090366</v>
      </c>
      <c r="I38" s="141">
        <f>I34</f>
        <v>180529178</v>
      </c>
      <c r="J38" s="141">
        <f>J34</f>
        <v>0</v>
      </c>
      <c r="K38" s="141">
        <f t="shared" ref="K38:N38" si="8">K34</f>
        <v>0</v>
      </c>
      <c r="L38" s="141">
        <f t="shared" si="8"/>
        <v>0</v>
      </c>
      <c r="M38" s="141">
        <f t="shared" si="8"/>
        <v>0</v>
      </c>
      <c r="N38" s="151">
        <f t="shared" si="8"/>
        <v>0</v>
      </c>
      <c r="Q38" s="3"/>
      <c r="R38" s="3"/>
      <c r="S38" s="3"/>
      <c r="T38" s="3"/>
      <c r="U38" s="3"/>
    </row>
    <row r="39" spans="2:26">
      <c r="B39" s="2"/>
      <c r="C39" s="25"/>
      <c r="D39" s="25"/>
      <c r="E39" s="25"/>
      <c r="Q39" s="3"/>
      <c r="R39" s="3"/>
      <c r="S39" s="3"/>
      <c r="T39" s="3"/>
      <c r="U39" s="3"/>
    </row>
    <row r="40" spans="2:26" ht="15" customHeight="1">
      <c r="B40" s="248" t="s">
        <v>52</v>
      </c>
      <c r="C40" s="249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50"/>
    </row>
    <row r="41" spans="2:26" ht="15" customHeight="1">
      <c r="B41" s="123" t="s">
        <v>119</v>
      </c>
      <c r="C41" s="245" t="s">
        <v>75</v>
      </c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7"/>
      <c r="O41" s="245" t="s">
        <v>145</v>
      </c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7"/>
    </row>
    <row r="42" spans="2:26" s="13" customFormat="1" ht="31.5" customHeight="1">
      <c r="B42" s="143"/>
      <c r="C42" s="146">
        <v>2017</v>
      </c>
      <c r="D42" s="146">
        <v>2018</v>
      </c>
      <c r="E42" s="146">
        <v>2019</v>
      </c>
      <c r="F42" s="146">
        <v>2020</v>
      </c>
      <c r="G42" s="146">
        <v>2021</v>
      </c>
      <c r="H42" s="146">
        <v>2022</v>
      </c>
      <c r="I42" s="146">
        <v>2023</v>
      </c>
      <c r="J42" s="146">
        <v>2024</v>
      </c>
      <c r="K42" s="146">
        <v>2025</v>
      </c>
      <c r="L42" s="146">
        <v>2026</v>
      </c>
      <c r="M42" s="146">
        <v>2027</v>
      </c>
      <c r="N42" s="146">
        <v>2028</v>
      </c>
      <c r="O42" s="50" t="str">
        <f>"Average "&amp;$C$42&amp;" to "&amp;C42</f>
        <v>Average 2017 to 2017</v>
      </c>
      <c r="P42" s="120" t="str">
        <f>"Average "&amp;$C$42&amp;" to "&amp;D42</f>
        <v>Average 2017 to 2018</v>
      </c>
      <c r="Q42" s="120" t="str">
        <f>"Average "&amp;$C$42&amp;" to "&amp;E42</f>
        <v>Average 2017 to 2019</v>
      </c>
      <c r="R42" s="120" t="str">
        <f>"Average "&amp;C42&amp;" to "&amp;F42</f>
        <v>Average 2017 to 2020</v>
      </c>
      <c r="S42" s="120" t="str">
        <f>"Average "&amp;D42&amp;" to "&amp;G42</f>
        <v>Average 2018 to 2021</v>
      </c>
      <c r="T42" s="120" t="str">
        <f>"Average "&amp;E42&amp;" to "&amp;H42</f>
        <v>Average 2019 to 2022</v>
      </c>
      <c r="U42" s="120" t="str">
        <f t="shared" ref="U42:W42" si="9">"Average "&amp;F42&amp;" to "&amp;I42</f>
        <v>Average 2020 to 2023</v>
      </c>
      <c r="V42" s="144" t="str">
        <f t="shared" si="9"/>
        <v>Average 2021 to 2024</v>
      </c>
      <c r="W42" s="144" t="str">
        <f t="shared" si="9"/>
        <v>Average 2022 to 2025</v>
      </c>
      <c r="X42" s="144" t="str">
        <f>"Average "&amp;I42&amp;" to "&amp;L42</f>
        <v>Average 2023 to 2026</v>
      </c>
      <c r="Y42" s="144" t="str">
        <f>"Average "&amp;J42&amp;" to "&amp;M42</f>
        <v>Average 2024 to 2027</v>
      </c>
      <c r="Z42" s="145" t="str">
        <f>"Average "&amp;K42&amp;" to "&amp;N42</f>
        <v>Average 2025 to 2028</v>
      </c>
    </row>
    <row r="43" spans="2:26">
      <c r="B43" s="44" t="s">
        <v>0</v>
      </c>
      <c r="C43" s="121">
        <f t="shared" ref="C43:C54" si="10">IF(C5=0,"",C5)</f>
        <v>2134510</v>
      </c>
      <c r="D43" s="121">
        <f t="shared" ref="D43:D54" si="11">IF(F5=0,"",F5)</f>
        <v>2813138</v>
      </c>
      <c r="E43" s="121">
        <f t="shared" ref="E43:E54" si="12">IF(I5=0,"",I5)</f>
        <v>2196000</v>
      </c>
      <c r="F43" s="121">
        <f t="shared" ref="F43:F54" si="13">IF(L5=0,"",L5)</f>
        <v>2089120</v>
      </c>
      <c r="G43" s="121">
        <f t="shared" ref="G43:G54" si="14">IF(O5=0,"",O5)</f>
        <v>1805830</v>
      </c>
      <c r="H43" s="121">
        <f t="shared" ref="H43:H54" si="15">IF(R5=0,"",R5)</f>
        <v>857320</v>
      </c>
      <c r="I43" s="121">
        <f t="shared" ref="I43:I54" si="16">IF(U5=0,"",U5)</f>
        <v>2581363.04</v>
      </c>
      <c r="J43" s="121">
        <f t="shared" ref="J43:J54" si="17">IF(X5=0,"",X5)</f>
        <v>1908629.7609999999</v>
      </c>
      <c r="K43" s="121" t="str">
        <f t="shared" ref="K43:K54" si="18">IF(AA5=0,"",AA5)</f>
        <v/>
      </c>
      <c r="L43" s="121" t="str">
        <f t="shared" ref="L43:L54" si="19">IF(AD5=0,"",AD5)</f>
        <v/>
      </c>
      <c r="M43" s="121" t="str">
        <f t="shared" ref="M43:M54" si="20">IF(AG5=0,"",AG5)</f>
        <v/>
      </c>
      <c r="N43" s="121" t="str">
        <f t="shared" ref="N43:N54" si="21">IF(AJ5=0,"",AJ5)</f>
        <v/>
      </c>
      <c r="O43" s="124">
        <f>AVERAGE($C43:C43)</f>
        <v>2134510</v>
      </c>
      <c r="P43" s="121">
        <f>AVERAGE($C43:D43)</f>
        <v>2473824</v>
      </c>
      <c r="Q43" s="121">
        <f>AVERAGE($C43:E43)</f>
        <v>2381216</v>
      </c>
      <c r="R43" s="121">
        <f t="shared" ref="R43:U54" si="22">IFERROR(AVERAGE(C43:F43),"")</f>
        <v>2308192</v>
      </c>
      <c r="S43" s="121">
        <f t="shared" si="22"/>
        <v>2226022</v>
      </c>
      <c r="T43" s="121">
        <f t="shared" si="22"/>
        <v>1737067.5</v>
      </c>
      <c r="U43" s="121">
        <f t="shared" si="22"/>
        <v>1833408.26</v>
      </c>
      <c r="V43" s="121"/>
      <c r="W43" s="121"/>
      <c r="X43" s="121"/>
      <c r="Y43" s="121"/>
      <c r="Z43" s="30"/>
    </row>
    <row r="44" spans="2:26">
      <c r="B44" s="44" t="s">
        <v>1</v>
      </c>
      <c r="C44" s="121">
        <f t="shared" si="10"/>
        <v>2975320</v>
      </c>
      <c r="D44" s="121">
        <f t="shared" si="11"/>
        <v>3302320</v>
      </c>
      <c r="E44" s="121">
        <f t="shared" si="12"/>
        <v>2533990</v>
      </c>
      <c r="F44" s="121">
        <f t="shared" si="13"/>
        <v>1688900</v>
      </c>
      <c r="G44" s="121">
        <f t="shared" si="14"/>
        <v>1373740</v>
      </c>
      <c r="H44" s="121">
        <f t="shared" si="15"/>
        <v>640680</v>
      </c>
      <c r="I44" s="121">
        <f t="shared" si="16"/>
        <v>2016686.24</v>
      </c>
      <c r="J44" s="121">
        <f t="shared" si="17"/>
        <v>2155770</v>
      </c>
      <c r="K44" s="121" t="str">
        <f t="shared" si="18"/>
        <v/>
      </c>
      <c r="L44" s="121" t="str">
        <f t="shared" si="19"/>
        <v/>
      </c>
      <c r="M44" s="121" t="str">
        <f t="shared" si="20"/>
        <v/>
      </c>
      <c r="N44" s="121" t="str">
        <f t="shared" si="21"/>
        <v/>
      </c>
      <c r="O44" s="124">
        <f>AVERAGE($C44:C44)</f>
        <v>2975320</v>
      </c>
      <c r="P44" s="121">
        <f>AVERAGE($C44:D44)</f>
        <v>3138820</v>
      </c>
      <c r="Q44" s="121">
        <f>AVERAGE($C44:E44)</f>
        <v>2937210</v>
      </c>
      <c r="R44" s="121">
        <f t="shared" si="22"/>
        <v>2625132.5</v>
      </c>
      <c r="S44" s="121">
        <f t="shared" si="22"/>
        <v>2224737.5</v>
      </c>
      <c r="T44" s="121">
        <f t="shared" si="22"/>
        <v>1559327.5</v>
      </c>
      <c r="U44" s="121">
        <f t="shared" si="22"/>
        <v>1430001.56</v>
      </c>
      <c r="V44" s="121"/>
      <c r="W44" s="121"/>
      <c r="X44" s="121"/>
      <c r="Y44" s="121"/>
      <c r="Z44" s="30"/>
    </row>
    <row r="45" spans="2:26">
      <c r="B45" s="44" t="s">
        <v>2</v>
      </c>
      <c r="C45" s="121">
        <f t="shared" si="10"/>
        <v>3883530</v>
      </c>
      <c r="D45" s="121">
        <f t="shared" si="11"/>
        <v>4336290</v>
      </c>
      <c r="E45" s="121">
        <f t="shared" si="12"/>
        <v>4480180</v>
      </c>
      <c r="F45" s="121">
        <f t="shared" si="13"/>
        <v>3223950</v>
      </c>
      <c r="G45" s="121">
        <f t="shared" si="14"/>
        <v>2724430</v>
      </c>
      <c r="H45" s="121">
        <f t="shared" si="15"/>
        <v>2937880</v>
      </c>
      <c r="I45" s="121">
        <f t="shared" si="16"/>
        <v>2797296</v>
      </c>
      <c r="J45" s="121">
        <f t="shared" si="17"/>
        <v>3124994.713</v>
      </c>
      <c r="K45" s="121" t="str">
        <f t="shared" si="18"/>
        <v/>
      </c>
      <c r="L45" s="121" t="str">
        <f t="shared" si="19"/>
        <v/>
      </c>
      <c r="M45" s="121" t="str">
        <f t="shared" si="20"/>
        <v/>
      </c>
      <c r="N45" s="121" t="str">
        <f t="shared" si="21"/>
        <v/>
      </c>
      <c r="O45" s="124">
        <f>AVERAGE($C45:C45)</f>
        <v>3883530</v>
      </c>
      <c r="P45" s="121">
        <f>AVERAGE($C45:D45)</f>
        <v>4109910</v>
      </c>
      <c r="Q45" s="121">
        <f>AVERAGE($C45:E45)</f>
        <v>4233333.333333333</v>
      </c>
      <c r="R45" s="121">
        <f>IFERROR(AVERAGE(C45:F45),"")</f>
        <v>3980987.5</v>
      </c>
      <c r="S45" s="121">
        <f t="shared" si="22"/>
        <v>3691212.5</v>
      </c>
      <c r="T45" s="121">
        <f t="shared" si="22"/>
        <v>3341610</v>
      </c>
      <c r="U45" s="121">
        <f t="shared" si="22"/>
        <v>2920889</v>
      </c>
      <c r="V45" s="121"/>
      <c r="W45" s="121"/>
      <c r="X45" s="121"/>
      <c r="Y45" s="121"/>
      <c r="Z45" s="30"/>
    </row>
    <row r="46" spans="2:26">
      <c r="B46" s="44" t="s">
        <v>3</v>
      </c>
      <c r="C46" s="121">
        <f t="shared" si="10"/>
        <v>4799720</v>
      </c>
      <c r="D46" s="121">
        <f t="shared" si="11"/>
        <v>4359310</v>
      </c>
      <c r="E46" s="121">
        <f t="shared" si="12"/>
        <v>2161930</v>
      </c>
      <c r="F46" s="121">
        <f t="shared" si="13"/>
        <v>3323490</v>
      </c>
      <c r="G46" s="121">
        <f t="shared" si="14"/>
        <v>4398280</v>
      </c>
      <c r="H46" s="121">
        <f t="shared" si="15"/>
        <v>4152090</v>
      </c>
      <c r="I46" s="121">
        <f t="shared" si="16"/>
        <v>4258993.4400000004</v>
      </c>
      <c r="J46" s="121">
        <f t="shared" si="17"/>
        <v>4598522.1670000004</v>
      </c>
      <c r="K46" s="121" t="str">
        <f t="shared" si="18"/>
        <v/>
      </c>
      <c r="L46" s="121" t="str">
        <f t="shared" si="19"/>
        <v/>
      </c>
      <c r="M46" s="121" t="str">
        <f t="shared" si="20"/>
        <v/>
      </c>
      <c r="N46" s="121" t="str">
        <f t="shared" si="21"/>
        <v/>
      </c>
      <c r="O46" s="124">
        <f>AVERAGE($C46:C46)</f>
        <v>4799720</v>
      </c>
      <c r="P46" s="121">
        <f>AVERAGE($C46:D46)</f>
        <v>4579515</v>
      </c>
      <c r="Q46" s="121">
        <f>AVERAGE($C46:E46)</f>
        <v>3773653.3333333335</v>
      </c>
      <c r="R46" s="121">
        <f t="shared" si="22"/>
        <v>3661112.5</v>
      </c>
      <c r="S46" s="121">
        <f t="shared" si="22"/>
        <v>3560752.5</v>
      </c>
      <c r="T46" s="121">
        <f t="shared" si="22"/>
        <v>3508947.5</v>
      </c>
      <c r="U46" s="121">
        <f t="shared" si="22"/>
        <v>4033213.3600000003</v>
      </c>
      <c r="V46" s="121"/>
      <c r="W46" s="121"/>
      <c r="X46" s="121"/>
      <c r="Y46" s="121"/>
      <c r="Z46" s="30"/>
    </row>
    <row r="47" spans="2:26">
      <c r="B47" s="44" t="s">
        <v>4</v>
      </c>
      <c r="C47" s="121">
        <f t="shared" si="10"/>
        <v>5096570</v>
      </c>
      <c r="D47" s="121">
        <f t="shared" si="11"/>
        <v>5824650</v>
      </c>
      <c r="E47" s="121">
        <f t="shared" si="12"/>
        <v>573300</v>
      </c>
      <c r="F47" s="121">
        <f t="shared" si="13"/>
        <v>4369220</v>
      </c>
      <c r="G47" s="121">
        <f t="shared" si="14"/>
        <v>3333080</v>
      </c>
      <c r="H47" s="121">
        <f t="shared" si="15"/>
        <v>5665250</v>
      </c>
      <c r="I47" s="121">
        <f t="shared" si="16"/>
        <v>5065060.01</v>
      </c>
      <c r="J47" s="121" t="str">
        <f>IF(X9=0,"",X9)</f>
        <v/>
      </c>
      <c r="K47" s="121" t="str">
        <f t="shared" si="18"/>
        <v/>
      </c>
      <c r="L47" s="121" t="str">
        <f t="shared" si="19"/>
        <v/>
      </c>
      <c r="M47" s="121" t="str">
        <f t="shared" si="20"/>
        <v/>
      </c>
      <c r="N47" s="121" t="str">
        <f t="shared" si="21"/>
        <v/>
      </c>
      <c r="O47" s="124">
        <f>AVERAGE($C47:C47)</f>
        <v>5096570</v>
      </c>
      <c r="P47" s="121">
        <f>AVERAGE($C47:D47)</f>
        <v>5460610</v>
      </c>
      <c r="Q47" s="121">
        <f>AVERAGE($C47:E47)</f>
        <v>3831506.6666666665</v>
      </c>
      <c r="R47" s="121">
        <f t="shared" si="22"/>
        <v>3965935</v>
      </c>
      <c r="S47" s="121">
        <f t="shared" si="22"/>
        <v>3525062.5</v>
      </c>
      <c r="T47" s="121">
        <f t="shared" si="22"/>
        <v>3485212.5</v>
      </c>
      <c r="U47" s="121">
        <f t="shared" si="22"/>
        <v>4608152.5024999995</v>
      </c>
      <c r="V47" s="121"/>
      <c r="W47" s="121"/>
      <c r="X47" s="121"/>
      <c r="Y47" s="121"/>
      <c r="Z47" s="30"/>
    </row>
    <row r="48" spans="2:26">
      <c r="B48" s="44" t="s">
        <v>5</v>
      </c>
      <c r="C48" s="121">
        <f t="shared" si="10"/>
        <v>5673460</v>
      </c>
      <c r="D48" s="121">
        <f t="shared" si="11"/>
        <v>5836836</v>
      </c>
      <c r="E48" s="121">
        <f t="shared" si="12"/>
        <v>2446170</v>
      </c>
      <c r="F48" s="121">
        <f t="shared" si="13"/>
        <v>4206240</v>
      </c>
      <c r="G48" s="121">
        <f t="shared" si="14"/>
        <v>1333260</v>
      </c>
      <c r="H48" s="121">
        <f t="shared" si="15"/>
        <v>5632520</v>
      </c>
      <c r="I48" s="121">
        <f t="shared" si="16"/>
        <v>2509005.2799999998</v>
      </c>
      <c r="J48" s="121" t="str">
        <f t="shared" si="17"/>
        <v/>
      </c>
      <c r="K48" s="121" t="str">
        <f t="shared" si="18"/>
        <v/>
      </c>
      <c r="L48" s="121" t="str">
        <f t="shared" si="19"/>
        <v/>
      </c>
      <c r="M48" s="121" t="str">
        <f t="shared" si="20"/>
        <v/>
      </c>
      <c r="N48" s="121" t="str">
        <f t="shared" si="21"/>
        <v/>
      </c>
      <c r="O48" s="124">
        <f>AVERAGE($C48:C48)</f>
        <v>5673460</v>
      </c>
      <c r="P48" s="121">
        <f>AVERAGE($C48:D48)</f>
        <v>5755148</v>
      </c>
      <c r="Q48" s="121">
        <f>AVERAGE($C48:E48)</f>
        <v>4652155.333333333</v>
      </c>
      <c r="R48" s="121">
        <f t="shared" si="22"/>
        <v>4540676.5</v>
      </c>
      <c r="S48" s="121">
        <f t="shared" si="22"/>
        <v>3455626.5</v>
      </c>
      <c r="T48" s="121">
        <f t="shared" si="22"/>
        <v>3404547.5</v>
      </c>
      <c r="U48" s="121">
        <f t="shared" si="22"/>
        <v>3420256.32</v>
      </c>
      <c r="V48" s="121"/>
      <c r="W48" s="121"/>
      <c r="X48" s="121"/>
      <c r="Y48" s="121"/>
      <c r="Z48" s="30"/>
    </row>
    <row r="49" spans="2:26">
      <c r="B49" s="44" t="s">
        <v>6</v>
      </c>
      <c r="C49" s="121">
        <f t="shared" si="10"/>
        <v>5380900</v>
      </c>
      <c r="D49" s="121">
        <f t="shared" si="11"/>
        <v>2286590</v>
      </c>
      <c r="E49" s="121">
        <f t="shared" si="12"/>
        <v>3676680</v>
      </c>
      <c r="F49" s="121">
        <f t="shared" si="13"/>
        <v>3494520</v>
      </c>
      <c r="G49" s="121">
        <f t="shared" si="14"/>
        <v>3685060</v>
      </c>
      <c r="H49" s="121">
        <f t="shared" si="15"/>
        <v>4101700</v>
      </c>
      <c r="I49" s="121">
        <f t="shared" si="16"/>
        <v>5164020</v>
      </c>
      <c r="J49" s="121" t="str">
        <f t="shared" si="17"/>
        <v/>
      </c>
      <c r="K49" s="121" t="str">
        <f t="shared" si="18"/>
        <v/>
      </c>
      <c r="L49" s="121" t="str">
        <f t="shared" si="19"/>
        <v/>
      </c>
      <c r="M49" s="121" t="str">
        <f t="shared" si="20"/>
        <v/>
      </c>
      <c r="N49" s="121" t="str">
        <f t="shared" si="21"/>
        <v/>
      </c>
      <c r="O49" s="124">
        <f>AVERAGE($C49:C49)</f>
        <v>5380900</v>
      </c>
      <c r="P49" s="121">
        <f>AVERAGE($C49:D49)</f>
        <v>3833745</v>
      </c>
      <c r="Q49" s="121">
        <f>AVERAGE($C49:E49)</f>
        <v>3781390</v>
      </c>
      <c r="R49" s="121">
        <f t="shared" si="22"/>
        <v>3709672.5</v>
      </c>
      <c r="S49" s="121">
        <f t="shared" si="22"/>
        <v>3285712.5</v>
      </c>
      <c r="T49" s="121">
        <f t="shared" si="22"/>
        <v>3739490</v>
      </c>
      <c r="U49" s="121">
        <f t="shared" si="22"/>
        <v>4111325</v>
      </c>
      <c r="V49" s="121"/>
      <c r="W49" s="121"/>
      <c r="X49" s="121"/>
      <c r="Y49" s="121"/>
      <c r="Z49" s="30"/>
    </row>
    <row r="50" spans="2:26">
      <c r="B50" s="44" t="s">
        <v>7</v>
      </c>
      <c r="C50" s="121">
        <f t="shared" si="10"/>
        <v>2756940</v>
      </c>
      <c r="D50" s="121">
        <f t="shared" si="11"/>
        <v>2719400</v>
      </c>
      <c r="E50" s="121">
        <f t="shared" si="12"/>
        <v>3537380</v>
      </c>
      <c r="F50" s="121">
        <f t="shared" si="13"/>
        <v>4660990</v>
      </c>
      <c r="G50" s="121">
        <f t="shared" si="14"/>
        <v>4492060</v>
      </c>
      <c r="H50" s="121">
        <f t="shared" si="15"/>
        <v>2637510</v>
      </c>
      <c r="I50" s="121">
        <f t="shared" si="16"/>
        <v>5107690</v>
      </c>
      <c r="J50" s="121" t="str">
        <f t="shared" si="17"/>
        <v/>
      </c>
      <c r="K50" s="121" t="str">
        <f t="shared" si="18"/>
        <v/>
      </c>
      <c r="L50" s="121" t="str">
        <f t="shared" si="19"/>
        <v/>
      </c>
      <c r="M50" s="121" t="str">
        <f t="shared" si="20"/>
        <v/>
      </c>
      <c r="N50" s="121" t="str">
        <f t="shared" si="21"/>
        <v/>
      </c>
      <c r="O50" s="124">
        <f>AVERAGE($C50:C50)</f>
        <v>2756940</v>
      </c>
      <c r="P50" s="121">
        <f>AVERAGE($C50:D50)</f>
        <v>2738170</v>
      </c>
      <c r="Q50" s="121">
        <f>AVERAGE($C50:E50)</f>
        <v>3004573.3333333335</v>
      </c>
      <c r="R50" s="121">
        <f t="shared" si="22"/>
        <v>3418677.5</v>
      </c>
      <c r="S50" s="121">
        <f t="shared" si="22"/>
        <v>3852457.5</v>
      </c>
      <c r="T50" s="121">
        <f t="shared" si="22"/>
        <v>3831985</v>
      </c>
      <c r="U50" s="121">
        <f t="shared" si="22"/>
        <v>4224562.5</v>
      </c>
      <c r="V50" s="121"/>
      <c r="W50" s="121"/>
      <c r="X50" s="121"/>
      <c r="Y50" s="121"/>
      <c r="Z50" s="30"/>
    </row>
    <row r="51" spans="2:26">
      <c r="B51" s="44" t="s">
        <v>8</v>
      </c>
      <c r="C51" s="121">
        <f t="shared" si="10"/>
        <v>3210200</v>
      </c>
      <c r="D51" s="121">
        <f t="shared" si="11"/>
        <v>3075670</v>
      </c>
      <c r="E51" s="121">
        <f t="shared" si="12"/>
        <v>2684440</v>
      </c>
      <c r="F51" s="121">
        <f t="shared" si="13"/>
        <v>4094420</v>
      </c>
      <c r="G51" s="121">
        <f t="shared" si="14"/>
        <v>2697760</v>
      </c>
      <c r="H51" s="121">
        <f t="shared" si="15"/>
        <v>4344770</v>
      </c>
      <c r="I51" s="121">
        <f t="shared" si="16"/>
        <v>3976555.51</v>
      </c>
      <c r="J51" s="121" t="str">
        <f t="shared" si="17"/>
        <v/>
      </c>
      <c r="K51" s="121" t="str">
        <f t="shared" si="18"/>
        <v/>
      </c>
      <c r="L51" s="121" t="str">
        <f t="shared" si="19"/>
        <v/>
      </c>
      <c r="M51" s="121" t="str">
        <f t="shared" si="20"/>
        <v/>
      </c>
      <c r="N51" s="121" t="str">
        <f t="shared" si="21"/>
        <v/>
      </c>
      <c r="O51" s="124">
        <f>AVERAGE($C51:C51)</f>
        <v>3210200</v>
      </c>
      <c r="P51" s="121">
        <f>AVERAGE($C51:D51)</f>
        <v>3142935</v>
      </c>
      <c r="Q51" s="121">
        <f>AVERAGE($C51:E51)</f>
        <v>2990103.3333333335</v>
      </c>
      <c r="R51" s="121">
        <f t="shared" si="22"/>
        <v>3266182.5</v>
      </c>
      <c r="S51" s="121">
        <f t="shared" si="22"/>
        <v>3138072.5</v>
      </c>
      <c r="T51" s="121">
        <f t="shared" si="22"/>
        <v>3455347.5</v>
      </c>
      <c r="U51" s="121">
        <f t="shared" si="22"/>
        <v>3778376.3774999999</v>
      </c>
      <c r="V51" s="121"/>
      <c r="W51" s="121"/>
      <c r="X51" s="121"/>
      <c r="Y51" s="121"/>
      <c r="Z51" s="30"/>
    </row>
    <row r="52" spans="2:26">
      <c r="B52" s="44" t="s">
        <v>9</v>
      </c>
      <c r="C52" s="121">
        <f t="shared" si="10"/>
        <v>2748080</v>
      </c>
      <c r="D52" s="121">
        <f t="shared" si="11"/>
        <v>1716320</v>
      </c>
      <c r="E52" s="121">
        <f t="shared" si="12"/>
        <v>2841830</v>
      </c>
      <c r="F52" s="121">
        <f t="shared" si="13"/>
        <v>3886120</v>
      </c>
      <c r="G52" s="121">
        <f t="shared" si="14"/>
        <v>5203800</v>
      </c>
      <c r="H52" s="121">
        <f t="shared" si="15"/>
        <v>2424300</v>
      </c>
      <c r="I52" s="121">
        <f t="shared" si="16"/>
        <v>2183556.4780000001</v>
      </c>
      <c r="J52" s="121" t="str">
        <f t="shared" si="17"/>
        <v/>
      </c>
      <c r="K52" s="121" t="str">
        <f t="shared" si="18"/>
        <v/>
      </c>
      <c r="L52" s="121" t="str">
        <f t="shared" si="19"/>
        <v/>
      </c>
      <c r="M52" s="121" t="str">
        <f t="shared" si="20"/>
        <v/>
      </c>
      <c r="N52" s="121" t="str">
        <f t="shared" si="21"/>
        <v/>
      </c>
      <c r="O52" s="124">
        <f>AVERAGE($C52:C52)</f>
        <v>2748080</v>
      </c>
      <c r="P52" s="121">
        <f>AVERAGE($C52:D52)</f>
        <v>2232200</v>
      </c>
      <c r="Q52" s="121">
        <f>AVERAGE($C52:E52)</f>
        <v>2435410</v>
      </c>
      <c r="R52" s="121">
        <f t="shared" si="22"/>
        <v>2798087.5</v>
      </c>
      <c r="S52" s="121">
        <f t="shared" si="22"/>
        <v>3412017.5</v>
      </c>
      <c r="T52" s="121">
        <f t="shared" si="22"/>
        <v>3589012.5</v>
      </c>
      <c r="U52" s="121">
        <f t="shared" si="22"/>
        <v>3424444.1195</v>
      </c>
      <c r="V52" s="121"/>
      <c r="W52" s="121"/>
      <c r="X52" s="121"/>
      <c r="Y52" s="121"/>
      <c r="Z52" s="30"/>
    </row>
    <row r="53" spans="2:26">
      <c r="B53" s="44" t="s">
        <v>10</v>
      </c>
      <c r="C53" s="121">
        <f t="shared" si="10"/>
        <v>5298050</v>
      </c>
      <c r="D53" s="121">
        <f t="shared" si="11"/>
        <v>1807480</v>
      </c>
      <c r="E53" s="121">
        <f t="shared" si="12"/>
        <v>1506800</v>
      </c>
      <c r="F53" s="121">
        <f t="shared" si="13"/>
        <v>3140570</v>
      </c>
      <c r="G53" s="121">
        <f t="shared" si="14"/>
        <v>3090470</v>
      </c>
      <c r="H53" s="121">
        <f t="shared" si="15"/>
        <v>419910</v>
      </c>
      <c r="I53" s="121">
        <f t="shared" si="16"/>
        <v>1585461.12</v>
      </c>
      <c r="J53" s="121" t="str">
        <f t="shared" si="17"/>
        <v/>
      </c>
      <c r="K53" s="121" t="str">
        <f t="shared" si="18"/>
        <v/>
      </c>
      <c r="L53" s="121" t="str">
        <f t="shared" si="19"/>
        <v/>
      </c>
      <c r="M53" s="121" t="str">
        <f t="shared" si="20"/>
        <v/>
      </c>
      <c r="N53" s="121" t="str">
        <f t="shared" si="21"/>
        <v/>
      </c>
      <c r="O53" s="124">
        <f>AVERAGE($C53:C53)</f>
        <v>5298050</v>
      </c>
      <c r="P53" s="121">
        <f>AVERAGE($C53:D53)</f>
        <v>3552765</v>
      </c>
      <c r="Q53" s="121">
        <f>AVERAGE($C53:E53)</f>
        <v>2870776.6666666665</v>
      </c>
      <c r="R53" s="121">
        <f t="shared" si="22"/>
        <v>2938225</v>
      </c>
      <c r="S53" s="121">
        <f t="shared" si="22"/>
        <v>2386330</v>
      </c>
      <c r="T53" s="121">
        <f t="shared" si="22"/>
        <v>2039437.5</v>
      </c>
      <c r="U53" s="121">
        <f t="shared" si="22"/>
        <v>2059102.78</v>
      </c>
      <c r="V53" s="121"/>
      <c r="W53" s="121"/>
      <c r="X53" s="121"/>
      <c r="Y53" s="121"/>
      <c r="Z53" s="30"/>
    </row>
    <row r="54" spans="2:26">
      <c r="B54" s="44" t="s">
        <v>11</v>
      </c>
      <c r="C54" s="121">
        <f t="shared" si="10"/>
        <v>3896110</v>
      </c>
      <c r="D54" s="121">
        <f t="shared" si="11"/>
        <v>3020740</v>
      </c>
      <c r="E54" s="121">
        <f t="shared" si="12"/>
        <v>1996200</v>
      </c>
      <c r="F54" s="121">
        <f t="shared" si="13"/>
        <v>1979050</v>
      </c>
      <c r="G54" s="121">
        <f t="shared" si="14"/>
        <v>2661390</v>
      </c>
      <c r="H54" s="121">
        <f t="shared" si="15"/>
        <v>947060</v>
      </c>
      <c r="I54" s="121">
        <f t="shared" si="16"/>
        <v>1881077.442</v>
      </c>
      <c r="J54" s="121" t="str">
        <f t="shared" si="17"/>
        <v/>
      </c>
      <c r="K54" s="121" t="str">
        <f t="shared" si="18"/>
        <v/>
      </c>
      <c r="L54" s="121" t="str">
        <f t="shared" si="19"/>
        <v/>
      </c>
      <c r="M54" s="121" t="str">
        <f t="shared" si="20"/>
        <v/>
      </c>
      <c r="N54" s="121" t="str">
        <f t="shared" si="21"/>
        <v/>
      </c>
      <c r="O54" s="124">
        <f>AVERAGE($C54:C54)</f>
        <v>3896110</v>
      </c>
      <c r="P54" s="121">
        <f>AVERAGE($C54:D54)</f>
        <v>3458425</v>
      </c>
      <c r="Q54" s="121">
        <f>AVERAGE($C54:E54)</f>
        <v>2971016.6666666665</v>
      </c>
      <c r="R54" s="121">
        <f t="shared" si="22"/>
        <v>2723025</v>
      </c>
      <c r="S54" s="121">
        <f t="shared" si="22"/>
        <v>2414345</v>
      </c>
      <c r="T54" s="121">
        <f t="shared" si="22"/>
        <v>1895925</v>
      </c>
      <c r="U54" s="121">
        <f t="shared" si="22"/>
        <v>1867144.3605</v>
      </c>
      <c r="V54" s="121"/>
      <c r="W54" s="121"/>
      <c r="X54" s="121"/>
      <c r="Y54" s="121"/>
      <c r="Z54" s="30"/>
    </row>
    <row r="55" spans="2:26">
      <c r="B55" s="46" t="s">
        <v>14</v>
      </c>
      <c r="C55" s="28">
        <f t="shared" ref="C55:N55" si="23">SUM(C43:C54)</f>
        <v>47853390</v>
      </c>
      <c r="D55" s="28">
        <f t="shared" si="23"/>
        <v>41098744</v>
      </c>
      <c r="E55" s="28">
        <f t="shared" si="23"/>
        <v>30634900</v>
      </c>
      <c r="F55" s="28">
        <f t="shared" si="23"/>
        <v>40156590</v>
      </c>
      <c r="G55" s="28">
        <f t="shared" si="23"/>
        <v>36799160</v>
      </c>
      <c r="H55" s="28">
        <f t="shared" si="23"/>
        <v>34760990</v>
      </c>
      <c r="I55" s="28">
        <f t="shared" si="23"/>
        <v>39126764.560000002</v>
      </c>
      <c r="J55" s="28">
        <f t="shared" si="23"/>
        <v>11787916.640999999</v>
      </c>
      <c r="K55" s="28">
        <f t="shared" si="23"/>
        <v>0</v>
      </c>
      <c r="L55" s="28">
        <f t="shared" si="23"/>
        <v>0</v>
      </c>
      <c r="M55" s="28">
        <f t="shared" si="23"/>
        <v>0</v>
      </c>
      <c r="N55" s="28">
        <f t="shared" si="23"/>
        <v>0</v>
      </c>
      <c r="O55" s="125">
        <f>SUM(O43:O54)</f>
        <v>47853390</v>
      </c>
      <c r="P55" s="28">
        <f>SUM(P43:P54)</f>
        <v>44476067</v>
      </c>
      <c r="Q55" s="28">
        <f>SUM(Q43:Q54)</f>
        <v>39862344.666666657</v>
      </c>
      <c r="R55" s="28">
        <f t="shared" ref="R55:X55" si="24">SUM(R43:R54)</f>
        <v>39935906</v>
      </c>
      <c r="S55" s="28">
        <f t="shared" si="24"/>
        <v>37172348.5</v>
      </c>
      <c r="T55" s="28">
        <f t="shared" si="24"/>
        <v>35587910</v>
      </c>
      <c r="U55" s="28">
        <f t="shared" si="24"/>
        <v>37710876.140000001</v>
      </c>
      <c r="V55" s="28">
        <f t="shared" si="24"/>
        <v>0</v>
      </c>
      <c r="W55" s="28">
        <f t="shared" si="24"/>
        <v>0</v>
      </c>
      <c r="X55" s="28">
        <f t="shared" si="24"/>
        <v>0</v>
      </c>
      <c r="Y55" s="28">
        <f>SUM(Y43:Y54)</f>
        <v>0</v>
      </c>
      <c r="Z55" s="29">
        <f>SUM(Z43:Z54)</f>
        <v>0</v>
      </c>
    </row>
    <row r="56" spans="2:26">
      <c r="B56" s="2"/>
    </row>
    <row r="57" spans="2:26">
      <c r="B57" s="242" t="s">
        <v>66</v>
      </c>
      <c r="C57" s="243"/>
      <c r="D57" s="244"/>
    </row>
    <row r="58" spans="2:26">
      <c r="B58" s="33" t="s">
        <v>51</v>
      </c>
      <c r="C58" s="14" t="s">
        <v>53</v>
      </c>
      <c r="D58" s="34" t="s">
        <v>51</v>
      </c>
    </row>
    <row r="59" spans="2:26" ht="18">
      <c r="B59" s="18">
        <v>2019</v>
      </c>
      <c r="C59" s="112">
        <v>102.22</v>
      </c>
      <c r="D59" s="19" t="s">
        <v>59</v>
      </c>
      <c r="H59" s="231" t="s">
        <v>233</v>
      </c>
      <c r="I59" s="16"/>
      <c r="J59" s="16"/>
      <c r="K59" s="17"/>
    </row>
    <row r="60" spans="2:26">
      <c r="B60" s="18">
        <v>2020</v>
      </c>
      <c r="C60" s="112">
        <v>106.94</v>
      </c>
      <c r="D60" s="19" t="s">
        <v>54</v>
      </c>
      <c r="H60" s="232">
        <v>2024</v>
      </c>
      <c r="I60" t="s">
        <v>230</v>
      </c>
      <c r="J60" t="s">
        <v>231</v>
      </c>
      <c r="K60" s="19" t="s">
        <v>232</v>
      </c>
    </row>
    <row r="61" spans="2:26">
      <c r="B61" s="31">
        <v>2021</v>
      </c>
      <c r="C61" s="112">
        <v>109.47</v>
      </c>
      <c r="D61" s="19" t="s">
        <v>55</v>
      </c>
      <c r="H61" s="18" t="s">
        <v>218</v>
      </c>
      <c r="I61">
        <v>5.41</v>
      </c>
      <c r="J61">
        <v>5.01</v>
      </c>
      <c r="K61" s="19">
        <v>4.59</v>
      </c>
    </row>
    <row r="62" spans="2:26">
      <c r="B62" s="31">
        <v>2022</v>
      </c>
      <c r="C62" s="112">
        <v>68.78</v>
      </c>
      <c r="D62" s="19" t="s">
        <v>56</v>
      </c>
      <c r="H62" s="18" t="s">
        <v>219</v>
      </c>
      <c r="I62">
        <v>8.5</v>
      </c>
      <c r="J62">
        <v>6.87</v>
      </c>
      <c r="K62" s="19">
        <v>6.63</v>
      </c>
      <c r="M62" t="s">
        <v>237</v>
      </c>
    </row>
    <row r="63" spans="2:26">
      <c r="B63" s="31">
        <v>2023</v>
      </c>
      <c r="C63" s="112">
        <v>36.04</v>
      </c>
      <c r="D63" s="19" t="s">
        <v>57</v>
      </c>
      <c r="H63" s="18" t="s">
        <v>220</v>
      </c>
      <c r="I63">
        <v>8.3699999999999992</v>
      </c>
      <c r="J63">
        <v>8.31</v>
      </c>
      <c r="K63" s="19">
        <v>8.17</v>
      </c>
      <c r="M63" s="205">
        <f>AVERAGE(K61:K67,J68,I69)</f>
        <v>6.7688888888888892</v>
      </c>
      <c r="N63" t="s">
        <v>238</v>
      </c>
    </row>
    <row r="64" spans="2:26">
      <c r="B64" s="31">
        <v>2024</v>
      </c>
      <c r="C64" s="112">
        <v>72.86</v>
      </c>
      <c r="D64" s="19" t="s">
        <v>131</v>
      </c>
      <c r="H64" s="18" t="s">
        <v>221</v>
      </c>
      <c r="I64">
        <v>8.5</v>
      </c>
      <c r="J64">
        <v>6.91</v>
      </c>
      <c r="K64" s="19">
        <v>7.43</v>
      </c>
    </row>
    <row r="65" spans="2:11">
      <c r="B65" s="31">
        <v>2025</v>
      </c>
      <c r="C65" s="153">
        <f>M63*10</f>
        <v>67.688888888888897</v>
      </c>
      <c r="D65" s="19" t="s">
        <v>166</v>
      </c>
      <c r="E65" t="s">
        <v>236</v>
      </c>
      <c r="H65" s="18" t="s">
        <v>222</v>
      </c>
      <c r="I65">
        <v>4.59</v>
      </c>
      <c r="J65">
        <v>7.98</v>
      </c>
      <c r="K65" s="19">
        <v>7.76</v>
      </c>
    </row>
    <row r="66" spans="2:11">
      <c r="B66" s="31">
        <v>2026</v>
      </c>
      <c r="C66" s="149"/>
      <c r="D66" s="19" t="s">
        <v>167</v>
      </c>
      <c r="H66" s="18" t="s">
        <v>223</v>
      </c>
      <c r="I66">
        <v>4.59</v>
      </c>
      <c r="J66">
        <v>7.43</v>
      </c>
      <c r="K66" s="19">
        <v>7.84</v>
      </c>
    </row>
    <row r="67" spans="2:11">
      <c r="B67" s="31">
        <v>2027</v>
      </c>
      <c r="C67" s="149"/>
      <c r="D67" s="19" t="s">
        <v>168</v>
      </c>
      <c r="H67" s="18" t="s">
        <v>224</v>
      </c>
      <c r="I67">
        <v>4.59</v>
      </c>
      <c r="J67">
        <v>6.46</v>
      </c>
      <c r="K67" s="19">
        <v>6.37</v>
      </c>
    </row>
    <row r="68" spans="2:11">
      <c r="B68" s="32">
        <v>2028</v>
      </c>
      <c r="C68" s="152"/>
      <c r="D68" s="22" t="s">
        <v>169</v>
      </c>
      <c r="H68" s="18" t="s">
        <v>225</v>
      </c>
      <c r="I68">
        <v>5.55</v>
      </c>
      <c r="J68">
        <v>5.38</v>
      </c>
      <c r="K68" s="19"/>
    </row>
    <row r="69" spans="2:11">
      <c r="H69" s="18" t="s">
        <v>226</v>
      </c>
      <c r="I69">
        <v>6.75</v>
      </c>
      <c r="K69" s="19"/>
    </row>
    <row r="70" spans="2:11">
      <c r="B70" s="242" t="s">
        <v>58</v>
      </c>
      <c r="C70" s="244"/>
      <c r="H70" s="18" t="s">
        <v>227</v>
      </c>
      <c r="K70" s="19"/>
    </row>
    <row r="71" spans="2:11">
      <c r="B71" s="33"/>
      <c r="C71" s="34" t="s">
        <v>19</v>
      </c>
      <c r="H71" s="18" t="s">
        <v>228</v>
      </c>
      <c r="K71" s="19"/>
    </row>
    <row r="72" spans="2:11">
      <c r="B72" s="33" t="s">
        <v>60</v>
      </c>
      <c r="C72" s="130">
        <v>2.4500000000000002</v>
      </c>
      <c r="H72" s="20" t="s">
        <v>229</v>
      </c>
      <c r="I72" s="21"/>
      <c r="J72" s="21"/>
      <c r="K72" s="22"/>
    </row>
    <row r="73" spans="2:11">
      <c r="B73" s="33" t="s">
        <v>61</v>
      </c>
      <c r="C73" s="130">
        <v>2.1800000000000002</v>
      </c>
      <c r="H73" t="s">
        <v>234</v>
      </c>
    </row>
    <row r="74" spans="2:11">
      <c r="B74" s="33" t="s">
        <v>62</v>
      </c>
      <c r="C74" s="130">
        <v>2.1800000000000002</v>
      </c>
      <c r="H74" t="s">
        <v>235</v>
      </c>
    </row>
    <row r="75" spans="2:11">
      <c r="B75" s="33" t="s">
        <v>63</v>
      </c>
      <c r="C75" s="130">
        <v>2.1800000000000002</v>
      </c>
    </row>
    <row r="76" spans="2:11">
      <c r="B76" s="33" t="s">
        <v>50</v>
      </c>
      <c r="C76" s="130">
        <v>2.1800000000000002</v>
      </c>
      <c r="F76" s="3"/>
    </row>
    <row r="77" spans="2:11">
      <c r="B77" s="33" t="s">
        <v>49</v>
      </c>
      <c r="C77" s="130">
        <v>2.1800000000000002</v>
      </c>
      <c r="F77" s="3"/>
    </row>
    <row r="78" spans="2:11">
      <c r="B78" s="33" t="s">
        <v>48</v>
      </c>
      <c r="C78" s="130">
        <v>0.56999999999999995</v>
      </c>
      <c r="F78" s="3"/>
    </row>
    <row r="79" spans="2:11">
      <c r="B79" s="33" t="s">
        <v>47</v>
      </c>
      <c r="C79" s="130">
        <v>0.56999999999999995</v>
      </c>
      <c r="F79" s="3"/>
    </row>
    <row r="80" spans="2:11">
      <c r="B80" s="33" t="s">
        <v>46</v>
      </c>
      <c r="C80" s="130">
        <v>0.56999999999999995</v>
      </c>
      <c r="F80" s="3"/>
    </row>
    <row r="81" spans="2:6">
      <c r="B81" s="33" t="s">
        <v>45</v>
      </c>
      <c r="C81" s="130">
        <v>0.56999999999999995</v>
      </c>
      <c r="F81" s="3"/>
    </row>
    <row r="82" spans="2:6">
      <c r="B82" s="33" t="s">
        <v>44</v>
      </c>
      <c r="C82" s="130">
        <v>0.56999999999999995</v>
      </c>
      <c r="F82" s="3"/>
    </row>
    <row r="83" spans="2:6">
      <c r="B83" s="33" t="s">
        <v>43</v>
      </c>
      <c r="C83" s="130">
        <v>0.56999999999999995</v>
      </c>
    </row>
    <row r="84" spans="2:6">
      <c r="B84" s="33" t="s">
        <v>42</v>
      </c>
      <c r="C84" s="130">
        <v>0.56999999999999995</v>
      </c>
      <c r="F84" s="3"/>
    </row>
    <row r="85" spans="2:6">
      <c r="B85" s="33" t="s">
        <v>41</v>
      </c>
      <c r="C85" s="130">
        <v>1.02</v>
      </c>
      <c r="F85" s="3"/>
    </row>
    <row r="86" spans="2:6">
      <c r="B86" s="33" t="s">
        <v>40</v>
      </c>
      <c r="C86" s="130">
        <v>2.2000000000000002</v>
      </c>
      <c r="F86" s="3"/>
    </row>
    <row r="87" spans="2:6">
      <c r="B87" s="33" t="s">
        <v>39</v>
      </c>
      <c r="C87" s="130">
        <v>3.87</v>
      </c>
      <c r="F87" s="3"/>
    </row>
    <row r="88" spans="2:6">
      <c r="B88" s="33" t="s">
        <v>38</v>
      </c>
      <c r="C88" s="130">
        <v>4.7300000000000004</v>
      </c>
    </row>
    <row r="89" spans="2:6">
      <c r="B89" s="33" t="s">
        <v>37</v>
      </c>
      <c r="C89" s="130">
        <v>4.9800000000000004</v>
      </c>
    </row>
    <row r="90" spans="2:6">
      <c r="B90" s="33" t="s">
        <v>36</v>
      </c>
      <c r="C90" s="130">
        <v>4.9800000000000004</v>
      </c>
    </row>
    <row r="91" spans="2:6">
      <c r="B91" s="33" t="s">
        <v>35</v>
      </c>
      <c r="C91" s="130">
        <v>5.49</v>
      </c>
    </row>
    <row r="92" spans="2:6">
      <c r="B92" s="33" t="s">
        <v>161</v>
      </c>
      <c r="C92" s="130">
        <v>5.49</v>
      </c>
    </row>
    <row r="93" spans="2:6">
      <c r="B93" s="33" t="s">
        <v>170</v>
      </c>
      <c r="C93" s="130">
        <v>5.49</v>
      </c>
    </row>
    <row r="94" spans="2:6">
      <c r="B94" s="33" t="s">
        <v>171</v>
      </c>
      <c r="C94" s="130">
        <v>5.2</v>
      </c>
    </row>
    <row r="95" spans="2:6">
      <c r="B95" s="33" t="s">
        <v>172</v>
      </c>
      <c r="C95" s="154">
        <f>C94</f>
        <v>5.2</v>
      </c>
      <c r="D95" t="s">
        <v>211</v>
      </c>
    </row>
    <row r="96" spans="2:6">
      <c r="B96" s="33" t="s">
        <v>173</v>
      </c>
      <c r="C96" s="130"/>
    </row>
    <row r="97" spans="2:16">
      <c r="B97" s="33" t="s">
        <v>174</v>
      </c>
      <c r="C97" s="130"/>
    </row>
    <row r="98" spans="2:16">
      <c r="B98" s="33" t="s">
        <v>175</v>
      </c>
      <c r="C98" s="130"/>
    </row>
    <row r="99" spans="2:16">
      <c r="B99" s="33" t="s">
        <v>176</v>
      </c>
      <c r="C99" s="130"/>
    </row>
    <row r="100" spans="2:16">
      <c r="B100" s="33" t="s">
        <v>177</v>
      </c>
      <c r="C100" s="130"/>
    </row>
    <row r="101" spans="2:16">
      <c r="B101" s="33" t="s">
        <v>178</v>
      </c>
      <c r="C101" s="130"/>
    </row>
    <row r="102" spans="2:16">
      <c r="B102" s="33" t="s">
        <v>179</v>
      </c>
      <c r="C102" s="130"/>
    </row>
    <row r="103" spans="2:16">
      <c r="B103" s="33" t="s">
        <v>180</v>
      </c>
      <c r="C103" s="130"/>
    </row>
    <row r="104" spans="2:16">
      <c r="B104" s="33" t="s">
        <v>181</v>
      </c>
      <c r="C104" s="130"/>
    </row>
    <row r="105" spans="2:16">
      <c r="B105" s="33" t="s">
        <v>182</v>
      </c>
      <c r="C105" s="130"/>
    </row>
    <row r="106" spans="2:16">
      <c r="B106" s="33" t="s">
        <v>183</v>
      </c>
      <c r="C106" s="130"/>
      <c r="G106" s="11"/>
      <c r="H106" s="2"/>
    </row>
    <row r="107" spans="2:16">
      <c r="B107" s="33" t="s">
        <v>184</v>
      </c>
      <c r="C107" s="130"/>
      <c r="G107" s="2"/>
      <c r="H107" s="11"/>
      <c r="O107" s="2"/>
    </row>
    <row r="108" spans="2:16">
      <c r="B108" s="33" t="s">
        <v>185</v>
      </c>
      <c r="C108" s="130"/>
      <c r="G108" s="2"/>
      <c r="H108" s="11"/>
      <c r="O108" s="2"/>
      <c r="P108" s="7"/>
    </row>
    <row r="109" spans="2:16">
      <c r="B109" s="33" t="s">
        <v>186</v>
      </c>
      <c r="C109" s="130"/>
      <c r="G109" s="2"/>
      <c r="H109" s="2"/>
      <c r="O109" s="2"/>
      <c r="P109" s="12"/>
    </row>
    <row r="110" spans="2:16">
      <c r="B110" s="33" t="s">
        <v>187</v>
      </c>
      <c r="C110" s="130"/>
      <c r="H110" s="12"/>
    </row>
    <row r="111" spans="2:16">
      <c r="B111" s="35" t="s">
        <v>188</v>
      </c>
      <c r="C111" s="131"/>
    </row>
  </sheetData>
  <mergeCells count="20">
    <mergeCell ref="B57:D57"/>
    <mergeCell ref="B70:C70"/>
    <mergeCell ref="AD3:AF3"/>
    <mergeCell ref="B20:N20"/>
    <mergeCell ref="B36:N36"/>
    <mergeCell ref="B40:Z40"/>
    <mergeCell ref="C41:N41"/>
    <mergeCell ref="O41:Z41"/>
    <mergeCell ref="C2:AL2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G3:AI3"/>
    <mergeCell ref="AJ3:A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17142-AF63-4447-9CB7-12767767B750}">
  <sheetPr codeName="Sheet2"/>
  <dimension ref="A1:Z71"/>
  <sheetViews>
    <sheetView tabSelected="1" topLeftCell="M5" zoomScaleNormal="100" workbookViewId="0">
      <selection activeCell="X24" sqref="X24"/>
    </sheetView>
    <sheetView topLeftCell="A3" workbookViewId="1">
      <selection activeCell="H19" sqref="H19"/>
    </sheetView>
  </sheetViews>
  <sheetFormatPr defaultRowHeight="15"/>
  <cols>
    <col min="3" max="3" width="35.140625" bestFit="1" customWidth="1"/>
    <col min="4" max="4" width="16.42578125" customWidth="1"/>
    <col min="5" max="5" width="11.5703125" bestFit="1" customWidth="1"/>
    <col min="6" max="6" width="49.42578125" style="133" customWidth="1"/>
    <col min="7" max="7" width="12.28515625" bestFit="1" customWidth="1"/>
    <col min="8" max="8" width="14.28515625" style="25" bestFit="1" customWidth="1"/>
    <col min="9" max="9" width="10.28515625" bestFit="1" customWidth="1"/>
    <col min="10" max="10" width="12.28515625" bestFit="1" customWidth="1"/>
    <col min="11" max="11" width="11.5703125" bestFit="1" customWidth="1"/>
    <col min="12" max="13" width="12.28515625" bestFit="1" customWidth="1"/>
    <col min="14" max="14" width="14.85546875" customWidth="1"/>
    <col min="15" max="15" width="16" customWidth="1"/>
    <col min="16" max="16" width="13" customWidth="1"/>
    <col min="17" max="17" width="14.42578125" customWidth="1"/>
    <col min="18" max="18" width="8.42578125" bestFit="1" customWidth="1"/>
    <col min="19" max="19" width="11.140625" customWidth="1"/>
    <col min="20" max="20" width="11" customWidth="1"/>
    <col min="23" max="23" width="28.7109375" bestFit="1" customWidth="1"/>
    <col min="24" max="24" width="14.140625" customWidth="1"/>
    <col min="25" max="25" width="13" customWidth="1"/>
    <col min="26" max="26" width="84.140625" bestFit="1" customWidth="1"/>
  </cols>
  <sheetData>
    <row r="1" spans="2:26" ht="15.75" thickBot="1"/>
    <row r="2" spans="2:26" ht="15.75">
      <c r="G2" s="251" t="s">
        <v>160</v>
      </c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3"/>
    </row>
    <row r="3" spans="2:26" ht="45">
      <c r="G3" s="53"/>
      <c r="H3" s="63" t="s">
        <v>17</v>
      </c>
      <c r="I3" s="64" t="s">
        <v>16</v>
      </c>
      <c r="J3" s="65" t="s">
        <v>33</v>
      </c>
      <c r="K3" s="66" t="s">
        <v>15</v>
      </c>
      <c r="L3" s="67" t="s">
        <v>216</v>
      </c>
      <c r="M3" s="67" t="s">
        <v>135</v>
      </c>
      <c r="N3" s="67" t="s">
        <v>139</v>
      </c>
      <c r="O3" s="65" t="s">
        <v>32</v>
      </c>
      <c r="P3" s="66" t="s">
        <v>18</v>
      </c>
      <c r="Q3" s="64" t="s">
        <v>20</v>
      </c>
      <c r="R3" s="64" t="s">
        <v>22</v>
      </c>
      <c r="S3" s="64" t="s">
        <v>21</v>
      </c>
      <c r="T3" s="68" t="s">
        <v>86</v>
      </c>
    </row>
    <row r="4" spans="2:26" ht="15.75" thickBot="1">
      <c r="G4" s="113"/>
      <c r="H4" s="57" t="s">
        <v>23</v>
      </c>
      <c r="I4" s="58" t="s">
        <v>24</v>
      </c>
      <c r="J4" s="59" t="s">
        <v>28</v>
      </c>
      <c r="K4" s="60" t="s">
        <v>25</v>
      </c>
      <c r="L4" s="61" t="s">
        <v>29</v>
      </c>
      <c r="M4" s="61" t="s">
        <v>30</v>
      </c>
      <c r="N4" s="61" t="s">
        <v>26</v>
      </c>
      <c r="O4" s="59" t="s">
        <v>70</v>
      </c>
      <c r="P4" s="60" t="s">
        <v>71</v>
      </c>
      <c r="Q4" s="58" t="s">
        <v>27</v>
      </c>
      <c r="R4" s="58" t="s">
        <v>72</v>
      </c>
      <c r="S4" s="58" t="s">
        <v>73</v>
      </c>
      <c r="T4" s="62"/>
    </row>
    <row r="5" spans="2:26" ht="120.75" thickBot="1">
      <c r="C5" s="254" t="s">
        <v>147</v>
      </c>
      <c r="D5" s="255"/>
      <c r="E5" s="256"/>
      <c r="F5" s="137" t="s">
        <v>133</v>
      </c>
      <c r="G5" s="55"/>
      <c r="H5" s="80" t="s">
        <v>159</v>
      </c>
      <c r="I5" s="81" t="s">
        <v>95</v>
      </c>
      <c r="J5" s="82" t="s">
        <v>96</v>
      </c>
      <c r="K5" s="83" t="s">
        <v>97</v>
      </c>
      <c r="L5" s="84" t="s">
        <v>98</v>
      </c>
      <c r="M5" s="84" t="s">
        <v>99</v>
      </c>
      <c r="N5" s="84" t="s">
        <v>195</v>
      </c>
      <c r="O5" s="82" t="s">
        <v>140</v>
      </c>
      <c r="P5" s="83" t="s">
        <v>100</v>
      </c>
      <c r="Q5" s="81" t="s">
        <v>101</v>
      </c>
      <c r="R5" s="108" t="s">
        <v>102</v>
      </c>
      <c r="S5" s="81" t="s">
        <v>103</v>
      </c>
      <c r="T5" s="140" t="s">
        <v>163</v>
      </c>
      <c r="W5" s="233" t="s">
        <v>251</v>
      </c>
    </row>
    <row r="6" spans="2:26">
      <c r="B6" s="257" t="s">
        <v>212</v>
      </c>
      <c r="C6" s="109"/>
      <c r="D6" s="132" t="s">
        <v>144</v>
      </c>
      <c r="E6" s="109"/>
      <c r="F6" s="135"/>
      <c r="G6" s="78" t="s">
        <v>0</v>
      </c>
      <c r="H6" s="48"/>
      <c r="I6" s="139"/>
      <c r="J6" s="49"/>
      <c r="K6" s="51"/>
      <c r="L6" s="10"/>
      <c r="M6" s="10"/>
      <c r="N6" s="10"/>
      <c r="O6" s="39"/>
      <c r="P6" s="51"/>
      <c r="Q6" s="10"/>
      <c r="R6" s="10"/>
      <c r="S6" s="79"/>
      <c r="T6" s="114"/>
      <c r="U6" s="10"/>
    </row>
    <row r="7" spans="2:26">
      <c r="B7" s="258"/>
      <c r="C7" s="78" t="s">
        <v>81</v>
      </c>
      <c r="D7" s="91">
        <f>'Input Data'!T55</f>
        <v>35587910</v>
      </c>
      <c r="F7" s="133" t="s">
        <v>123</v>
      </c>
      <c r="G7" s="78" t="s">
        <v>1</v>
      </c>
      <c r="H7" s="48"/>
      <c r="I7" s="139"/>
      <c r="J7" s="49"/>
      <c r="K7" s="51"/>
      <c r="L7" s="10"/>
      <c r="M7" s="10"/>
      <c r="N7" s="10"/>
      <c r="O7" s="39"/>
      <c r="P7" s="51"/>
      <c r="Q7" s="10"/>
      <c r="R7" s="10"/>
      <c r="S7" s="79"/>
      <c r="T7" s="114"/>
      <c r="U7" s="10"/>
      <c r="V7" s="260" t="s">
        <v>241</v>
      </c>
      <c r="W7" s="16"/>
      <c r="X7" s="16"/>
      <c r="Y7" s="17"/>
    </row>
    <row r="8" spans="2:26">
      <c r="B8" s="258"/>
      <c r="C8" s="78" t="s">
        <v>107</v>
      </c>
      <c r="D8" s="90">
        <f>'Input Data'!C64/1000</f>
        <v>7.2859999999999994E-2</v>
      </c>
      <c r="F8" s="133" t="s">
        <v>87</v>
      </c>
      <c r="G8" s="78" t="s">
        <v>2</v>
      </c>
      <c r="H8" s="48"/>
      <c r="I8" s="139"/>
      <c r="J8" s="49"/>
      <c r="K8" s="51"/>
      <c r="L8" s="10"/>
      <c r="M8" s="10"/>
      <c r="N8" s="10"/>
      <c r="O8" s="39"/>
      <c r="P8" s="51"/>
      <c r="Q8" s="10"/>
      <c r="R8" s="10"/>
      <c r="S8" s="79"/>
      <c r="T8" s="114"/>
      <c r="U8" s="10"/>
      <c r="V8" s="261"/>
      <c r="W8" t="s">
        <v>94</v>
      </c>
      <c r="Y8" s="39">
        <f>K18</f>
        <v>0</v>
      </c>
      <c r="Z8" t="s">
        <v>104</v>
      </c>
    </row>
    <row r="9" spans="2:26">
      <c r="B9" s="258"/>
      <c r="C9" s="78" t="s">
        <v>120</v>
      </c>
      <c r="D9" s="4">
        <f>D7*D8</f>
        <v>2592935.1225999999</v>
      </c>
      <c r="G9" s="78" t="s">
        <v>3</v>
      </c>
      <c r="H9" s="48"/>
      <c r="I9" s="139"/>
      <c r="J9" s="49"/>
      <c r="K9" s="51"/>
      <c r="L9" s="10"/>
      <c r="M9" s="10"/>
      <c r="N9" s="10"/>
      <c r="O9" s="39"/>
      <c r="P9" s="51"/>
      <c r="Q9" s="10"/>
      <c r="R9" s="10"/>
      <c r="S9" s="79"/>
      <c r="T9" s="114"/>
      <c r="U9" s="10"/>
      <c r="V9" s="261"/>
      <c r="W9" t="s">
        <v>92</v>
      </c>
      <c r="Y9" s="39">
        <f>L18</f>
        <v>0</v>
      </c>
      <c r="Z9" t="s">
        <v>31</v>
      </c>
    </row>
    <row r="10" spans="2:26">
      <c r="B10" s="258"/>
      <c r="C10" s="78" t="s">
        <v>121</v>
      </c>
      <c r="E10" s="4">
        <f>D9/2</f>
        <v>1296467.5612999999</v>
      </c>
      <c r="F10" s="133" t="s">
        <v>132</v>
      </c>
      <c r="G10" s="78" t="s">
        <v>4</v>
      </c>
      <c r="H10" s="87">
        <f>'Input Data'!J26</f>
        <v>0</v>
      </c>
      <c r="I10" s="139">
        <f>E17</f>
        <v>-7.0000000000000001E-3</v>
      </c>
      <c r="J10" s="49">
        <f t="shared" ref="J10:J17" si="0">H10*I10</f>
        <v>0</v>
      </c>
      <c r="K10" s="86">
        <f>'Input Data'!Z9</f>
        <v>0</v>
      </c>
      <c r="L10" s="10">
        <f t="shared" ref="L10:L17" si="1">-K10/2</f>
        <v>0</v>
      </c>
      <c r="M10" s="10">
        <f t="shared" ref="M10:M17" si="2">-K10/2</f>
        <v>0</v>
      </c>
      <c r="N10" s="10"/>
      <c r="O10" s="39">
        <f t="shared" ref="O10:O17" si="3">M10+N10</f>
        <v>0</v>
      </c>
      <c r="P10" s="51">
        <f>O10-J10</f>
        <v>0</v>
      </c>
      <c r="Q10" s="10">
        <f t="shared" ref="Q10:Q17" si="4">P10+Q9</f>
        <v>0</v>
      </c>
      <c r="R10" s="89">
        <f>'Input Data'!$C$93/100/12</f>
        <v>4.5750000000000001E-3</v>
      </c>
      <c r="S10" s="79"/>
      <c r="T10" s="114"/>
      <c r="U10" s="10"/>
      <c r="V10" s="261"/>
      <c r="W10" t="s">
        <v>67</v>
      </c>
      <c r="X10" s="10">
        <f>M18</f>
        <v>0</v>
      </c>
      <c r="Y10" s="19"/>
      <c r="Z10" t="s">
        <v>105</v>
      </c>
    </row>
    <row r="11" spans="2:26">
      <c r="B11" s="258"/>
      <c r="C11" s="78" t="s">
        <v>109</v>
      </c>
      <c r="E11" s="4"/>
      <c r="F11" s="133" t="s">
        <v>134</v>
      </c>
      <c r="G11" s="78" t="s">
        <v>5</v>
      </c>
      <c r="H11" s="87">
        <f>'Input Data'!J27</f>
        <v>0</v>
      </c>
      <c r="I11" s="139">
        <f>I10</f>
        <v>-7.0000000000000001E-3</v>
      </c>
      <c r="J11" s="49">
        <f t="shared" si="0"/>
        <v>0</v>
      </c>
      <c r="K11" s="86">
        <f>'Input Data'!Z10</f>
        <v>0</v>
      </c>
      <c r="L11" s="10">
        <f t="shared" si="1"/>
        <v>0</v>
      </c>
      <c r="M11" s="10">
        <f t="shared" si="2"/>
        <v>0</v>
      </c>
      <c r="N11" s="10"/>
      <c r="O11" s="39">
        <f t="shared" si="3"/>
        <v>0</v>
      </c>
      <c r="P11" s="51">
        <f t="shared" ref="P11:P17" si="5">O11-J11</f>
        <v>0</v>
      </c>
      <c r="Q11" s="10">
        <f t="shared" si="4"/>
        <v>0</v>
      </c>
      <c r="R11" s="89">
        <f>'Input Data'!$C$93/100/12</f>
        <v>4.5750000000000001E-3</v>
      </c>
      <c r="S11" s="79">
        <f>Q10*R11</f>
        <v>0</v>
      </c>
      <c r="T11" s="114"/>
      <c r="U11" s="10"/>
      <c r="V11" s="261"/>
      <c r="X11" s="36"/>
      <c r="Y11" s="19"/>
    </row>
    <row r="12" spans="2:26">
      <c r="B12" s="258"/>
      <c r="C12" s="78" t="s">
        <v>110</v>
      </c>
      <c r="E12" s="4"/>
      <c r="F12" s="133" t="str">
        <f>F11</f>
        <v>(No variance in this year)</v>
      </c>
      <c r="G12" s="78" t="s">
        <v>6</v>
      </c>
      <c r="H12" s="87">
        <f>'Input Data'!J28</f>
        <v>0</v>
      </c>
      <c r="I12" s="139">
        <f t="shared" ref="I12:I13" si="6">I11</f>
        <v>-7.0000000000000001E-3</v>
      </c>
      <c r="J12" s="49">
        <f t="shared" si="0"/>
        <v>0</v>
      </c>
      <c r="K12" s="86">
        <f>'Input Data'!Z11</f>
        <v>0</v>
      </c>
      <c r="L12" s="10">
        <f t="shared" si="1"/>
        <v>0</v>
      </c>
      <c r="M12" s="10">
        <f t="shared" si="2"/>
        <v>0</v>
      </c>
      <c r="N12" s="10"/>
      <c r="O12" s="39">
        <f t="shared" si="3"/>
        <v>0</v>
      </c>
      <c r="P12" s="51">
        <f t="shared" si="5"/>
        <v>0</v>
      </c>
      <c r="Q12" s="10">
        <f t="shared" si="4"/>
        <v>0</v>
      </c>
      <c r="R12" s="89">
        <f>'Input Data'!$C$94/100/12</f>
        <v>4.333333333333334E-3</v>
      </c>
      <c r="S12" s="79">
        <f t="shared" ref="S12" si="7">Q11*R12</f>
        <v>0</v>
      </c>
      <c r="T12" s="114"/>
      <c r="U12" s="10"/>
      <c r="V12" s="261"/>
      <c r="W12" t="s">
        <v>32</v>
      </c>
      <c r="Y12" s="39">
        <f>X11+X10</f>
        <v>0</v>
      </c>
      <c r="Z12" t="s">
        <v>106</v>
      </c>
    </row>
    <row r="13" spans="2:26">
      <c r="B13" s="258"/>
      <c r="C13" s="53" t="s">
        <v>148</v>
      </c>
      <c r="E13" s="24">
        <f>SUM(E10:E12)</f>
        <v>1296467.5612999999</v>
      </c>
      <c r="G13" s="78" t="s">
        <v>7</v>
      </c>
      <c r="H13" s="87">
        <f>'Input Data'!J29</f>
        <v>0</v>
      </c>
      <c r="I13" s="139">
        <f t="shared" si="6"/>
        <v>-7.0000000000000001E-3</v>
      </c>
      <c r="J13" s="49">
        <f t="shared" si="0"/>
        <v>0</v>
      </c>
      <c r="K13" s="86">
        <f>'Input Data'!Z12</f>
        <v>0</v>
      </c>
      <c r="L13" s="10">
        <f t="shared" si="1"/>
        <v>0</v>
      </c>
      <c r="M13" s="10">
        <f t="shared" si="2"/>
        <v>0</v>
      </c>
      <c r="N13" s="10"/>
      <c r="O13" s="39">
        <f t="shared" si="3"/>
        <v>0</v>
      </c>
      <c r="P13" s="51">
        <f t="shared" si="5"/>
        <v>0</v>
      </c>
      <c r="Q13" s="10">
        <f t="shared" si="4"/>
        <v>0</v>
      </c>
      <c r="R13" s="89">
        <f>'Input Data'!$C$94/100/12</f>
        <v>4.333333333333334E-3</v>
      </c>
      <c r="S13" s="79">
        <f>Q12*R13</f>
        <v>0</v>
      </c>
      <c r="T13" s="114"/>
      <c r="U13" s="10"/>
      <c r="V13" s="261"/>
      <c r="W13" t="s">
        <v>33</v>
      </c>
      <c r="Y13" s="56">
        <f>J18</f>
        <v>0</v>
      </c>
      <c r="Z13" t="s">
        <v>149</v>
      </c>
    </row>
    <row r="14" spans="2:26">
      <c r="B14" s="258"/>
      <c r="C14" s="78"/>
      <c r="G14" s="78" t="s">
        <v>8</v>
      </c>
      <c r="H14" s="87">
        <f>'Input Data'!J30</f>
        <v>0</v>
      </c>
      <c r="I14" s="139">
        <f>I13</f>
        <v>-7.0000000000000001E-3</v>
      </c>
      <c r="J14" s="49">
        <f t="shared" si="0"/>
        <v>0</v>
      </c>
      <c r="K14" s="86">
        <f>'Input Data'!Z13</f>
        <v>0</v>
      </c>
      <c r="L14" s="10">
        <f t="shared" si="1"/>
        <v>0</v>
      </c>
      <c r="M14" s="10">
        <f t="shared" si="2"/>
        <v>0</v>
      </c>
      <c r="N14" s="10"/>
      <c r="O14" s="39">
        <f t="shared" si="3"/>
        <v>0</v>
      </c>
      <c r="P14" s="51">
        <f t="shared" si="5"/>
        <v>0</v>
      </c>
      <c r="Q14" s="10">
        <f t="shared" si="4"/>
        <v>0</v>
      </c>
      <c r="R14" s="89">
        <f>'Input Data'!$C$94/100/12</f>
        <v>4.333333333333334E-3</v>
      </c>
      <c r="S14" s="79">
        <f t="shared" ref="S14:S17" si="8">Q13*R14</f>
        <v>0</v>
      </c>
      <c r="T14" s="114"/>
      <c r="U14" s="10"/>
      <c r="V14" s="261"/>
      <c r="W14" t="s">
        <v>18</v>
      </c>
      <c r="Y14" s="69">
        <f>Y12-Y13</f>
        <v>0</v>
      </c>
      <c r="Z14" t="s">
        <v>207</v>
      </c>
    </row>
    <row r="15" spans="2:26">
      <c r="B15" s="258"/>
      <c r="C15" s="78" t="s">
        <v>108</v>
      </c>
      <c r="D15" s="91">
        <f>'Input Data'!H38</f>
        <v>185090366</v>
      </c>
      <c r="F15" s="133" t="s">
        <v>88</v>
      </c>
      <c r="G15" s="78" t="s">
        <v>9</v>
      </c>
      <c r="H15" s="87">
        <f>'Input Data'!J31</f>
        <v>0</v>
      </c>
      <c r="I15" s="139">
        <f>I14</f>
        <v>-7.0000000000000001E-3</v>
      </c>
      <c r="J15" s="49">
        <f t="shared" si="0"/>
        <v>0</v>
      </c>
      <c r="K15" s="86">
        <f>'Input Data'!Z14</f>
        <v>0</v>
      </c>
      <c r="L15" s="10">
        <f t="shared" si="1"/>
        <v>0</v>
      </c>
      <c r="M15" s="10">
        <f t="shared" si="2"/>
        <v>0</v>
      </c>
      <c r="N15" s="10"/>
      <c r="O15" s="39">
        <f t="shared" si="3"/>
        <v>0</v>
      </c>
      <c r="P15" s="51">
        <f t="shared" si="5"/>
        <v>0</v>
      </c>
      <c r="Q15" s="10">
        <f t="shared" si="4"/>
        <v>0</v>
      </c>
      <c r="R15" s="89">
        <f>'Input Data'!$C$95/100/12</f>
        <v>4.333333333333334E-3</v>
      </c>
      <c r="S15" s="79">
        <f t="shared" si="8"/>
        <v>0</v>
      </c>
      <c r="T15" s="114"/>
      <c r="U15" s="10"/>
      <c r="V15" s="261"/>
      <c r="W15" t="s">
        <v>34</v>
      </c>
      <c r="Y15" s="39">
        <f>S18+T31</f>
        <v>0</v>
      </c>
      <c r="Z15" t="s">
        <v>208</v>
      </c>
    </row>
    <row r="16" spans="2:26">
      <c r="B16" s="258"/>
      <c r="C16" s="53"/>
      <c r="D16" s="4"/>
      <c r="G16" s="78" t="s">
        <v>10</v>
      </c>
      <c r="H16" s="87">
        <f>'Input Data'!J32</f>
        <v>0</v>
      </c>
      <c r="I16" s="139">
        <f>I15</f>
        <v>-7.0000000000000001E-3</v>
      </c>
      <c r="J16" s="49">
        <f t="shared" si="0"/>
        <v>0</v>
      </c>
      <c r="K16" s="86">
        <f>'Input Data'!Z15</f>
        <v>0</v>
      </c>
      <c r="L16" s="10">
        <f t="shared" si="1"/>
        <v>0</v>
      </c>
      <c r="M16" s="10">
        <f t="shared" si="2"/>
        <v>0</v>
      </c>
      <c r="N16" s="10"/>
      <c r="O16" s="39">
        <f t="shared" si="3"/>
        <v>0</v>
      </c>
      <c r="P16" s="51">
        <f t="shared" si="5"/>
        <v>0</v>
      </c>
      <c r="Q16" s="10">
        <f t="shared" si="4"/>
        <v>0</v>
      </c>
      <c r="R16" s="89">
        <f>'Input Data'!$C$95/100/12</f>
        <v>4.333333333333334E-3</v>
      </c>
      <c r="S16" s="79">
        <f t="shared" si="8"/>
        <v>0</v>
      </c>
      <c r="T16" s="114"/>
      <c r="U16" s="10"/>
      <c r="V16" s="262"/>
      <c r="W16" s="21"/>
      <c r="X16" s="21"/>
      <c r="Y16" s="22"/>
    </row>
    <row r="17" spans="1:26">
      <c r="B17" s="258"/>
      <c r="C17" s="53" t="s">
        <v>151</v>
      </c>
      <c r="E17" s="23">
        <f>ROUND(-E13/D15,4)</f>
        <v>-7.0000000000000001E-3</v>
      </c>
      <c r="G17" s="78" t="s">
        <v>11</v>
      </c>
      <c r="H17" s="87">
        <f>'Input Data'!J33</f>
        <v>0</v>
      </c>
      <c r="I17" s="139">
        <f>I16</f>
        <v>-7.0000000000000001E-3</v>
      </c>
      <c r="J17" s="49">
        <f t="shared" si="0"/>
        <v>0</v>
      </c>
      <c r="K17" s="86">
        <f>'Input Data'!Z16</f>
        <v>0</v>
      </c>
      <c r="L17" s="10">
        <f t="shared" si="1"/>
        <v>0</v>
      </c>
      <c r="M17" s="10">
        <f t="shared" si="2"/>
        <v>0</v>
      </c>
      <c r="N17" s="10"/>
      <c r="O17" s="39">
        <f t="shared" si="3"/>
        <v>0</v>
      </c>
      <c r="P17" s="51">
        <f t="shared" si="5"/>
        <v>0</v>
      </c>
      <c r="Q17" s="10">
        <f t="shared" si="4"/>
        <v>0</v>
      </c>
      <c r="R17" s="89">
        <f>'Input Data'!$C$95/100/12</f>
        <v>4.333333333333334E-3</v>
      </c>
      <c r="S17" s="79">
        <f t="shared" si="8"/>
        <v>0</v>
      </c>
      <c r="T17" s="114"/>
      <c r="U17" s="10"/>
    </row>
    <row r="18" spans="1:26" ht="15.75" thickBot="1">
      <c r="B18" s="259"/>
      <c r="G18" s="92" t="s">
        <v>14</v>
      </c>
      <c r="H18" s="93">
        <f>SUM(H6:H17)</f>
        <v>0</v>
      </c>
      <c r="I18" s="94"/>
      <c r="J18" s="95">
        <f t="shared" ref="J18:P18" si="9">SUM(J6:J17)</f>
        <v>0</v>
      </c>
      <c r="K18" s="96">
        <f t="shared" si="9"/>
        <v>0</v>
      </c>
      <c r="L18" s="97">
        <f t="shared" si="9"/>
        <v>0</v>
      </c>
      <c r="M18" s="97">
        <f t="shared" si="9"/>
        <v>0</v>
      </c>
      <c r="N18" s="97">
        <f t="shared" si="9"/>
        <v>0</v>
      </c>
      <c r="O18" s="95">
        <f t="shared" si="9"/>
        <v>0</v>
      </c>
      <c r="P18" s="96">
        <f t="shared" si="9"/>
        <v>0</v>
      </c>
      <c r="Q18" s="98"/>
      <c r="R18" s="94"/>
      <c r="S18" s="97">
        <f>SUM(S6:S17)</f>
        <v>0</v>
      </c>
      <c r="T18" s="136"/>
      <c r="U18" s="11"/>
    </row>
    <row r="19" spans="1:26">
      <c r="B19" s="257" t="s">
        <v>213</v>
      </c>
      <c r="C19" s="109"/>
      <c r="D19" s="109"/>
      <c r="E19" s="109"/>
      <c r="F19" s="135"/>
      <c r="G19" s="78" t="s">
        <v>0</v>
      </c>
      <c r="H19" s="87">
        <f>'Input Data'!K22</f>
        <v>0</v>
      </c>
      <c r="I19" s="139">
        <f>I17</f>
        <v>-7.0000000000000001E-3</v>
      </c>
      <c r="J19" s="49">
        <f t="shared" ref="J19:J30" si="10">H19*I19</f>
        <v>0</v>
      </c>
      <c r="K19" s="86">
        <f>'Input Data'!AC5</f>
        <v>0</v>
      </c>
      <c r="L19" s="10">
        <f t="shared" ref="L19:L30" si="11">-K19/2</f>
        <v>0</v>
      </c>
      <c r="M19" s="10">
        <f t="shared" ref="M19:M30" si="12">-K19/2</f>
        <v>0</v>
      </c>
      <c r="N19" s="10"/>
      <c r="O19" s="39">
        <f t="shared" ref="O19:O21" si="13">M19+N19</f>
        <v>0</v>
      </c>
      <c r="P19" s="51">
        <f t="shared" ref="P19:P30" si="14">O19-J19</f>
        <v>0</v>
      </c>
      <c r="Q19" s="10">
        <f>P19</f>
        <v>0</v>
      </c>
      <c r="R19" s="89">
        <f>'Input Data'!$C$96/100/12</f>
        <v>0</v>
      </c>
      <c r="S19" s="79"/>
      <c r="T19" s="114">
        <f>$P$18*R19</f>
        <v>0</v>
      </c>
      <c r="U19" s="10"/>
    </row>
    <row r="20" spans="1:26" ht="14.45" customHeight="1">
      <c r="B20" s="258"/>
      <c r="C20" s="78" t="s">
        <v>81</v>
      </c>
      <c r="D20" s="91">
        <f>'Input Data'!U55</f>
        <v>37710876.140000001</v>
      </c>
      <c r="F20" s="133" t="s">
        <v>124</v>
      </c>
      <c r="G20" s="78" t="s">
        <v>1</v>
      </c>
      <c r="H20" s="87">
        <f>'Input Data'!K23</f>
        <v>0</v>
      </c>
      <c r="I20" s="139">
        <f>I19</f>
        <v>-7.0000000000000001E-3</v>
      </c>
      <c r="J20" s="49">
        <f t="shared" si="10"/>
        <v>0</v>
      </c>
      <c r="K20" s="86">
        <f>'Input Data'!AC6</f>
        <v>0</v>
      </c>
      <c r="L20" s="10">
        <f t="shared" si="11"/>
        <v>0</v>
      </c>
      <c r="M20" s="10">
        <f t="shared" si="12"/>
        <v>0</v>
      </c>
      <c r="N20" s="10"/>
      <c r="O20" s="39">
        <f>M20+N20</f>
        <v>0</v>
      </c>
      <c r="P20" s="51">
        <f t="shared" si="14"/>
        <v>0</v>
      </c>
      <c r="Q20" s="10">
        <f t="shared" ref="Q20:Q30" si="15">P20+Q19</f>
        <v>0</v>
      </c>
      <c r="R20" s="89">
        <f>'Input Data'!$C$96/100/12</f>
        <v>0</v>
      </c>
      <c r="S20" s="79">
        <f>Q19*R20</f>
        <v>0</v>
      </c>
      <c r="T20" s="114">
        <f t="shared" ref="T20:T30" si="16">$P$18*R20</f>
        <v>0</v>
      </c>
      <c r="U20" s="10"/>
      <c r="V20" s="260" t="s">
        <v>242</v>
      </c>
      <c r="W20" s="16"/>
      <c r="X20" s="16"/>
      <c r="Y20" s="17"/>
    </row>
    <row r="21" spans="1:26">
      <c r="B21" s="258"/>
      <c r="C21" s="78" t="s">
        <v>107</v>
      </c>
      <c r="D21" s="90">
        <f>'Input Data'!C65/1000</f>
        <v>6.7688888888888896E-2</v>
      </c>
      <c r="F21" s="234" t="s">
        <v>239</v>
      </c>
      <c r="G21" s="78" t="s">
        <v>2</v>
      </c>
      <c r="H21" s="87">
        <f>'Input Data'!K24</f>
        <v>0</v>
      </c>
      <c r="I21" s="139">
        <f>I20</f>
        <v>-7.0000000000000001E-3</v>
      </c>
      <c r="J21" s="49">
        <f t="shared" si="10"/>
        <v>0</v>
      </c>
      <c r="K21" s="86">
        <f>'Input Data'!AC7</f>
        <v>0</v>
      </c>
      <c r="L21" s="10">
        <f t="shared" si="11"/>
        <v>0</v>
      </c>
      <c r="M21" s="10">
        <f t="shared" si="12"/>
        <v>0</v>
      </c>
      <c r="N21" s="10"/>
      <c r="O21" s="39">
        <f t="shared" si="13"/>
        <v>0</v>
      </c>
      <c r="P21" s="51">
        <f>O21-J21</f>
        <v>0</v>
      </c>
      <c r="Q21" s="10">
        <f t="shared" si="15"/>
        <v>0</v>
      </c>
      <c r="R21" s="89">
        <f>'Input Data'!$C$96/100/12</f>
        <v>0</v>
      </c>
      <c r="S21" s="79">
        <f t="shared" ref="S21:S30" si="17">Q20*R21</f>
        <v>0</v>
      </c>
      <c r="T21" s="114">
        <f t="shared" si="16"/>
        <v>0</v>
      </c>
      <c r="U21" s="10"/>
      <c r="V21" s="261"/>
      <c r="W21" t="s">
        <v>15</v>
      </c>
      <c r="Y21" s="39">
        <f>K31</f>
        <v>0</v>
      </c>
      <c r="Z21" t="s">
        <v>104</v>
      </c>
    </row>
    <row r="22" spans="1:26">
      <c r="B22" s="258"/>
      <c r="C22" s="78" t="s">
        <v>120</v>
      </c>
      <c r="D22" s="4">
        <f>D20*D21</f>
        <v>2552607.3049431113</v>
      </c>
      <c r="G22" s="78" t="s">
        <v>3</v>
      </c>
      <c r="H22" s="87">
        <f>'Input Data'!K25</f>
        <v>0</v>
      </c>
      <c r="I22" s="139">
        <f>I21</f>
        <v>-7.0000000000000001E-3</v>
      </c>
      <c r="J22" s="49">
        <f t="shared" si="10"/>
        <v>0</v>
      </c>
      <c r="K22" s="86">
        <f>'Input Data'!AC8</f>
        <v>0</v>
      </c>
      <c r="L22" s="10">
        <f t="shared" si="11"/>
        <v>0</v>
      </c>
      <c r="M22" s="10">
        <f t="shared" si="12"/>
        <v>0</v>
      </c>
      <c r="N22" s="10"/>
      <c r="O22" s="39">
        <f t="shared" ref="O22:O30" si="18">M22+N22</f>
        <v>0</v>
      </c>
      <c r="P22" s="51">
        <f t="shared" si="14"/>
        <v>0</v>
      </c>
      <c r="Q22" s="10">
        <f t="shared" si="15"/>
        <v>0</v>
      </c>
      <c r="R22" s="89">
        <f>'Input Data'!$C$97/100/12</f>
        <v>0</v>
      </c>
      <c r="S22" s="79">
        <f t="shared" si="17"/>
        <v>0</v>
      </c>
      <c r="T22" s="114">
        <f t="shared" si="16"/>
        <v>0</v>
      </c>
      <c r="U22" s="10"/>
      <c r="V22" s="261"/>
      <c r="W22" t="s">
        <v>92</v>
      </c>
      <c r="Y22" s="39">
        <f>L31</f>
        <v>0</v>
      </c>
      <c r="Z22" t="s">
        <v>31</v>
      </c>
    </row>
    <row r="23" spans="1:26">
      <c r="B23" s="258"/>
      <c r="C23" s="78" t="s">
        <v>121</v>
      </c>
      <c r="E23" s="4">
        <f>D22/2</f>
        <v>1276303.6524715556</v>
      </c>
      <c r="F23" s="133" t="s">
        <v>132</v>
      </c>
      <c r="G23" s="78" t="s">
        <v>4</v>
      </c>
      <c r="H23" s="87">
        <f>'Input Data'!K26</f>
        <v>0</v>
      </c>
      <c r="I23" s="139">
        <f>E30</f>
        <v>-1.0800000000000001E-2</v>
      </c>
      <c r="J23" s="49">
        <f t="shared" si="10"/>
        <v>0</v>
      </c>
      <c r="K23" s="86">
        <f>'Input Data'!AC9</f>
        <v>0</v>
      </c>
      <c r="L23" s="10">
        <f t="shared" si="11"/>
        <v>0</v>
      </c>
      <c r="M23" s="10">
        <f t="shared" si="12"/>
        <v>0</v>
      </c>
      <c r="N23" s="10">
        <f>IF(D34=0,0,-$H$23/12)</f>
        <v>0</v>
      </c>
      <c r="O23" s="39">
        <f t="shared" si="18"/>
        <v>0</v>
      </c>
      <c r="P23" s="51">
        <f>O23-J23</f>
        <v>0</v>
      </c>
      <c r="Q23" s="10">
        <f t="shared" si="15"/>
        <v>0</v>
      </c>
      <c r="R23" s="89">
        <f>'Input Data'!$C$97/100/12</f>
        <v>0</v>
      </c>
      <c r="S23" s="79">
        <f t="shared" si="17"/>
        <v>0</v>
      </c>
      <c r="T23" s="114">
        <f t="shared" si="16"/>
        <v>0</v>
      </c>
      <c r="U23" s="10"/>
      <c r="V23" s="261"/>
      <c r="W23" t="s">
        <v>67</v>
      </c>
      <c r="X23" s="10">
        <f>M31</f>
        <v>0</v>
      </c>
      <c r="Y23" s="19"/>
      <c r="Z23" t="s">
        <v>105</v>
      </c>
    </row>
    <row r="24" spans="1:26">
      <c r="A24" s="181"/>
      <c r="B24" s="258"/>
      <c r="C24" s="78" t="s">
        <v>109</v>
      </c>
      <c r="E24" s="4"/>
      <c r="F24" s="133" t="s">
        <v>134</v>
      </c>
      <c r="G24" s="78" t="s">
        <v>5</v>
      </c>
      <c r="H24" s="87">
        <f>'Input Data'!K27</f>
        <v>0</v>
      </c>
      <c r="I24" s="139">
        <f>I23</f>
        <v>-1.0800000000000001E-2</v>
      </c>
      <c r="J24" s="49">
        <f t="shared" si="10"/>
        <v>0</v>
      </c>
      <c r="K24" s="86">
        <f>'Input Data'!AC10</f>
        <v>0</v>
      </c>
      <c r="L24" s="10">
        <f t="shared" si="11"/>
        <v>0</v>
      </c>
      <c r="M24" s="10">
        <f t="shared" si="12"/>
        <v>0</v>
      </c>
      <c r="N24" s="10">
        <f t="shared" ref="N24:N30" si="19">IF(D35=0,0,-$H$23/12)</f>
        <v>0</v>
      </c>
      <c r="O24" s="39">
        <f t="shared" si="18"/>
        <v>0</v>
      </c>
      <c r="P24" s="51">
        <f t="shared" si="14"/>
        <v>0</v>
      </c>
      <c r="Q24" s="10">
        <f t="shared" si="15"/>
        <v>0</v>
      </c>
      <c r="R24" s="89">
        <f>'Input Data'!$C$97/100/12</f>
        <v>0</v>
      </c>
      <c r="S24" s="79">
        <f t="shared" si="17"/>
        <v>0</v>
      </c>
      <c r="T24" s="114">
        <f t="shared" si="16"/>
        <v>0</v>
      </c>
      <c r="U24" s="10"/>
      <c r="V24" s="261"/>
      <c r="W24" t="s">
        <v>255</v>
      </c>
      <c r="X24" s="36">
        <f>N31</f>
        <v>0</v>
      </c>
      <c r="Y24" s="19"/>
      <c r="Z24" t="s">
        <v>256</v>
      </c>
    </row>
    <row r="25" spans="1:26">
      <c r="B25" s="258"/>
      <c r="C25" s="78" t="s">
        <v>110</v>
      </c>
      <c r="E25" s="4"/>
      <c r="F25" s="133" t="str">
        <f>F24</f>
        <v>(No variance in this year)</v>
      </c>
      <c r="G25" s="78" t="s">
        <v>6</v>
      </c>
      <c r="H25" s="87">
        <f>'Input Data'!K28</f>
        <v>0</v>
      </c>
      <c r="I25" s="139">
        <f t="shared" ref="I25:I30" si="20">I24</f>
        <v>-1.0800000000000001E-2</v>
      </c>
      <c r="J25" s="49">
        <f t="shared" si="10"/>
        <v>0</v>
      </c>
      <c r="K25" s="86">
        <f>'Input Data'!AC11</f>
        <v>0</v>
      </c>
      <c r="L25" s="10">
        <f t="shared" si="11"/>
        <v>0</v>
      </c>
      <c r="M25" s="10">
        <f t="shared" si="12"/>
        <v>0</v>
      </c>
      <c r="N25" s="10">
        <f t="shared" si="19"/>
        <v>0</v>
      </c>
      <c r="O25" s="39">
        <f t="shared" si="18"/>
        <v>0</v>
      </c>
      <c r="P25" s="51">
        <f t="shared" si="14"/>
        <v>0</v>
      </c>
      <c r="Q25" s="10">
        <f t="shared" si="15"/>
        <v>0</v>
      </c>
      <c r="R25" s="89">
        <f>'Input Data'!$C$98/100/12</f>
        <v>0</v>
      </c>
      <c r="S25" s="79">
        <f t="shared" si="17"/>
        <v>0</v>
      </c>
      <c r="T25" s="114">
        <f t="shared" si="16"/>
        <v>0</v>
      </c>
      <c r="U25" s="10"/>
      <c r="V25" s="261"/>
      <c r="W25" t="s">
        <v>32</v>
      </c>
      <c r="Y25" s="39">
        <f>X24+X23</f>
        <v>0</v>
      </c>
      <c r="Z25" t="s">
        <v>106</v>
      </c>
    </row>
    <row r="26" spans="1:26">
      <c r="B26" s="258"/>
      <c r="C26" s="78" t="s">
        <v>214</v>
      </c>
      <c r="E26" s="79">
        <f>IF(D21=0,0,-'2023-24 Overcollection'!O9-'2023-24 Overcollection'!O10)</f>
        <v>677705.88987497042</v>
      </c>
      <c r="F26" s="133" t="s">
        <v>262</v>
      </c>
      <c r="G26" s="78" t="s">
        <v>7</v>
      </c>
      <c r="H26" s="87">
        <f>'Input Data'!K29</f>
        <v>0</v>
      </c>
      <c r="I26" s="139">
        <f t="shared" si="20"/>
        <v>-1.0800000000000001E-2</v>
      </c>
      <c r="J26" s="49">
        <f t="shared" si="10"/>
        <v>0</v>
      </c>
      <c r="K26" s="86">
        <f>'Input Data'!AC12</f>
        <v>0</v>
      </c>
      <c r="L26" s="10">
        <f t="shared" si="11"/>
        <v>0</v>
      </c>
      <c r="M26" s="10">
        <f t="shared" si="12"/>
        <v>0</v>
      </c>
      <c r="N26" s="10">
        <f t="shared" si="19"/>
        <v>0</v>
      </c>
      <c r="O26" s="39">
        <f t="shared" si="18"/>
        <v>0</v>
      </c>
      <c r="P26" s="51">
        <f t="shared" si="14"/>
        <v>0</v>
      </c>
      <c r="Q26" s="10">
        <f t="shared" si="15"/>
        <v>0</v>
      </c>
      <c r="R26" s="89">
        <f>'Input Data'!$C$98/100/12</f>
        <v>0</v>
      </c>
      <c r="S26" s="79">
        <f>Q25*R26</f>
        <v>0</v>
      </c>
      <c r="T26" s="114">
        <f t="shared" si="16"/>
        <v>0</v>
      </c>
      <c r="U26" s="10"/>
      <c r="V26" s="261"/>
      <c r="W26" t="s">
        <v>33</v>
      </c>
      <c r="Y26" s="56">
        <f>J31</f>
        <v>0</v>
      </c>
      <c r="Z26" t="s">
        <v>149</v>
      </c>
    </row>
    <row r="27" spans="1:26">
      <c r="B27" s="258"/>
      <c r="C27" s="53" t="s">
        <v>148</v>
      </c>
      <c r="E27" s="24">
        <f>SUM(E23:E26)</f>
        <v>1954009.5423465259</v>
      </c>
      <c r="G27" s="78" t="s">
        <v>8</v>
      </c>
      <c r="H27" s="87">
        <f>'Input Data'!K30</f>
        <v>0</v>
      </c>
      <c r="I27" s="139">
        <f t="shared" si="20"/>
        <v>-1.0800000000000001E-2</v>
      </c>
      <c r="J27" s="49">
        <f t="shared" si="10"/>
        <v>0</v>
      </c>
      <c r="K27" s="86">
        <f>'Input Data'!AC13</f>
        <v>0</v>
      </c>
      <c r="L27" s="10">
        <f t="shared" si="11"/>
        <v>0</v>
      </c>
      <c r="M27" s="10">
        <f t="shared" si="12"/>
        <v>0</v>
      </c>
      <c r="N27" s="10">
        <f t="shared" si="19"/>
        <v>0</v>
      </c>
      <c r="O27" s="39">
        <f t="shared" si="18"/>
        <v>0</v>
      </c>
      <c r="P27" s="51">
        <f t="shared" si="14"/>
        <v>0</v>
      </c>
      <c r="Q27" s="10">
        <f t="shared" si="15"/>
        <v>0</v>
      </c>
      <c r="R27" s="89">
        <f>'Input Data'!$C$98/100/12</f>
        <v>0</v>
      </c>
      <c r="S27" s="79">
        <f t="shared" si="17"/>
        <v>0</v>
      </c>
      <c r="T27" s="114">
        <f t="shared" si="16"/>
        <v>0</v>
      </c>
      <c r="U27" s="10"/>
      <c r="V27" s="261"/>
      <c r="W27" t="s">
        <v>18</v>
      </c>
      <c r="Y27" s="69">
        <f>Y25-Y26</f>
        <v>0</v>
      </c>
      <c r="Z27" t="s">
        <v>196</v>
      </c>
    </row>
    <row r="28" spans="1:26">
      <c r="B28" s="258"/>
      <c r="C28" s="18"/>
      <c r="G28" s="78" t="s">
        <v>9</v>
      </c>
      <c r="H28" s="87">
        <f>'Input Data'!K31</f>
        <v>0</v>
      </c>
      <c r="I28" s="139">
        <f t="shared" si="20"/>
        <v>-1.0800000000000001E-2</v>
      </c>
      <c r="J28" s="49">
        <f t="shared" si="10"/>
        <v>0</v>
      </c>
      <c r="K28" s="86">
        <f>'Input Data'!AC14</f>
        <v>0</v>
      </c>
      <c r="L28" s="10">
        <f t="shared" si="11"/>
        <v>0</v>
      </c>
      <c r="M28" s="10">
        <f t="shared" si="12"/>
        <v>0</v>
      </c>
      <c r="N28" s="10">
        <f t="shared" si="19"/>
        <v>0</v>
      </c>
      <c r="O28" s="39">
        <f t="shared" si="18"/>
        <v>0</v>
      </c>
      <c r="P28" s="51">
        <f t="shared" si="14"/>
        <v>0</v>
      </c>
      <c r="Q28" s="10">
        <f t="shared" si="15"/>
        <v>0</v>
      </c>
      <c r="R28" s="89">
        <f>'Input Data'!$C$99/100/12</f>
        <v>0</v>
      </c>
      <c r="S28" s="79">
        <f t="shared" si="17"/>
        <v>0</v>
      </c>
      <c r="T28" s="114">
        <f t="shared" si="16"/>
        <v>0</v>
      </c>
      <c r="U28" s="10"/>
      <c r="V28" s="261"/>
      <c r="W28" t="s">
        <v>34</v>
      </c>
      <c r="Y28" s="39">
        <f>S31+T44</f>
        <v>0</v>
      </c>
      <c r="Z28" t="s">
        <v>197</v>
      </c>
    </row>
    <row r="29" spans="1:26">
      <c r="B29" s="258"/>
      <c r="C29" s="18" t="s">
        <v>108</v>
      </c>
      <c r="D29" s="91">
        <f>'Input Data'!I38</f>
        <v>180529178</v>
      </c>
      <c r="F29" s="133" t="s">
        <v>89</v>
      </c>
      <c r="G29" s="78" t="s">
        <v>10</v>
      </c>
      <c r="H29" s="87">
        <f>'Input Data'!K32</f>
        <v>0</v>
      </c>
      <c r="I29" s="139">
        <f t="shared" si="20"/>
        <v>-1.0800000000000001E-2</v>
      </c>
      <c r="J29" s="49">
        <f t="shared" si="10"/>
        <v>0</v>
      </c>
      <c r="K29" s="86">
        <f>'Input Data'!AC15</f>
        <v>0</v>
      </c>
      <c r="L29" s="10">
        <f t="shared" si="11"/>
        <v>0</v>
      </c>
      <c r="M29" s="10">
        <f t="shared" si="12"/>
        <v>0</v>
      </c>
      <c r="N29" s="10">
        <f t="shared" si="19"/>
        <v>0</v>
      </c>
      <c r="O29" s="39">
        <f t="shared" si="18"/>
        <v>0</v>
      </c>
      <c r="P29" s="51">
        <f t="shared" si="14"/>
        <v>0</v>
      </c>
      <c r="Q29" s="10">
        <f t="shared" si="15"/>
        <v>0</v>
      </c>
      <c r="R29" s="89">
        <f>'Input Data'!$C$99/100/12</f>
        <v>0</v>
      </c>
      <c r="S29" s="79">
        <f t="shared" si="17"/>
        <v>0</v>
      </c>
      <c r="T29" s="114">
        <f t="shared" si="16"/>
        <v>0</v>
      </c>
      <c r="U29" s="10"/>
      <c r="V29" s="262"/>
      <c r="W29" s="21"/>
      <c r="X29" s="21"/>
      <c r="Y29" s="22"/>
    </row>
    <row r="30" spans="1:26">
      <c r="B30" s="258"/>
      <c r="C30" s="53" t="s">
        <v>152</v>
      </c>
      <c r="E30" s="138">
        <f>IFERROR(ROUND(-E27/D29,4),0)</f>
        <v>-1.0800000000000001E-2</v>
      </c>
      <c r="G30" s="78" t="s">
        <v>11</v>
      </c>
      <c r="H30" s="87">
        <f>'Input Data'!K33</f>
        <v>0</v>
      </c>
      <c r="I30" s="139">
        <f t="shared" si="20"/>
        <v>-1.0800000000000001E-2</v>
      </c>
      <c r="J30" s="49">
        <f t="shared" si="10"/>
        <v>0</v>
      </c>
      <c r="K30" s="86">
        <f>'Input Data'!AC16</f>
        <v>0</v>
      </c>
      <c r="L30" s="10">
        <f t="shared" si="11"/>
        <v>0</v>
      </c>
      <c r="M30" s="10">
        <f t="shared" si="12"/>
        <v>0</v>
      </c>
      <c r="N30" s="10">
        <f t="shared" si="19"/>
        <v>0</v>
      </c>
      <c r="O30" s="39">
        <f t="shared" si="18"/>
        <v>0</v>
      </c>
      <c r="P30" s="51">
        <f t="shared" si="14"/>
        <v>0</v>
      </c>
      <c r="Q30" s="10">
        <f t="shared" si="15"/>
        <v>0</v>
      </c>
      <c r="R30" s="89">
        <f>'Input Data'!$C$99/100/12</f>
        <v>0</v>
      </c>
      <c r="S30" s="79">
        <f t="shared" si="17"/>
        <v>0</v>
      </c>
      <c r="T30" s="114">
        <f t="shared" si="16"/>
        <v>0</v>
      </c>
      <c r="U30" s="10"/>
    </row>
    <row r="31" spans="1:26" ht="15.75" thickBot="1">
      <c r="B31" s="259"/>
      <c r="C31" s="110"/>
      <c r="D31" s="110"/>
      <c r="E31" s="110"/>
      <c r="F31" s="134"/>
      <c r="G31" s="92" t="s">
        <v>14</v>
      </c>
      <c r="H31" s="93">
        <f>SUM(H19:H30)</f>
        <v>0</v>
      </c>
      <c r="I31" s="94"/>
      <c r="J31" s="95">
        <f t="shared" ref="J31:O31" si="21">SUM(J19:J30)</f>
        <v>0</v>
      </c>
      <c r="K31" s="96">
        <f t="shared" si="21"/>
        <v>0</v>
      </c>
      <c r="L31" s="97">
        <f t="shared" si="21"/>
        <v>0</v>
      </c>
      <c r="M31" s="97">
        <f t="shared" si="21"/>
        <v>0</v>
      </c>
      <c r="N31" s="97">
        <f>SUM(N19:N30)</f>
        <v>0</v>
      </c>
      <c r="O31" s="95">
        <f t="shared" si="21"/>
        <v>0</v>
      </c>
      <c r="P31" s="96">
        <f>SUM(P19:P30)</f>
        <v>0</v>
      </c>
      <c r="Q31" s="98"/>
      <c r="R31" s="94"/>
      <c r="S31" s="97">
        <f>SUM(S19:S30)</f>
        <v>0</v>
      </c>
      <c r="T31" s="136">
        <f>SUM(T19:T30)</f>
        <v>0</v>
      </c>
      <c r="U31" s="11"/>
    </row>
    <row r="32" spans="1:26">
      <c r="B32" s="263">
        <v>2026</v>
      </c>
      <c r="C32" s="155"/>
      <c r="D32" s="155"/>
      <c r="E32" s="155"/>
      <c r="F32" s="135"/>
      <c r="G32" s="156" t="s">
        <v>0</v>
      </c>
      <c r="H32" s="157">
        <f>'Input Data'!L22</f>
        <v>0</v>
      </c>
      <c r="I32" s="158">
        <f>I30</f>
        <v>-1.0800000000000001E-2</v>
      </c>
      <c r="J32" s="159">
        <f t="shared" ref="J32:J43" si="22">H32*I32</f>
        <v>0</v>
      </c>
      <c r="K32" s="160">
        <f>'Input Data'!AF5</f>
        <v>0</v>
      </c>
      <c r="L32" s="161">
        <f t="shared" ref="L32:L56" si="23">-K32/2</f>
        <v>0</v>
      </c>
      <c r="M32" s="161">
        <f t="shared" ref="M32:M43" si="24">-K32/2</f>
        <v>0</v>
      </c>
      <c r="N32" s="10">
        <f>IF(D43=0,0,-$H$23/12)</f>
        <v>0</v>
      </c>
      <c r="O32" s="162">
        <f t="shared" ref="O32:O43" si="25">M32+N32</f>
        <v>0</v>
      </c>
      <c r="P32" s="163">
        <f t="shared" ref="P32:P43" si="26">O32-J32</f>
        <v>0</v>
      </c>
      <c r="Q32" s="161">
        <f>P32</f>
        <v>0</v>
      </c>
      <c r="R32" s="89">
        <f>'Input Data'!$C$100/100/12</f>
        <v>0</v>
      </c>
      <c r="S32" s="164"/>
      <c r="T32" s="165">
        <f>$P$31*R32</f>
        <v>0</v>
      </c>
      <c r="U32" s="10"/>
    </row>
    <row r="33" spans="2:26" ht="14.45" customHeight="1">
      <c r="B33" s="264"/>
      <c r="C33" s="156" t="s">
        <v>81</v>
      </c>
      <c r="D33" s="166">
        <f>'Input Data'!V55</f>
        <v>0</v>
      </c>
      <c r="E33" s="132"/>
      <c r="F33" s="133" t="s">
        <v>125</v>
      </c>
      <c r="G33" s="156" t="s">
        <v>1</v>
      </c>
      <c r="H33" s="157">
        <f>'Input Data'!L23</f>
        <v>0</v>
      </c>
      <c r="I33" s="158">
        <f>I32</f>
        <v>-1.0800000000000001E-2</v>
      </c>
      <c r="J33" s="159">
        <f t="shared" si="22"/>
        <v>0</v>
      </c>
      <c r="K33" s="160">
        <f>'Input Data'!AF6</f>
        <v>0</v>
      </c>
      <c r="L33" s="161">
        <f t="shared" si="23"/>
        <v>0</v>
      </c>
      <c r="M33" s="161">
        <f t="shared" si="24"/>
        <v>0</v>
      </c>
      <c r="N33" s="10">
        <f t="shared" ref="N33:N35" si="27">IF(D44=0,0,-$H$23/12)</f>
        <v>0</v>
      </c>
      <c r="O33" s="162">
        <f t="shared" si="25"/>
        <v>0</v>
      </c>
      <c r="P33" s="163">
        <f t="shared" si="26"/>
        <v>0</v>
      </c>
      <c r="Q33" s="161">
        <f t="shared" ref="Q33:Q43" si="28">P33+Q32</f>
        <v>0</v>
      </c>
      <c r="R33" s="89">
        <f>'Input Data'!$C$100/100/12</f>
        <v>0</v>
      </c>
      <c r="S33" s="164">
        <f>Q32*R33</f>
        <v>0</v>
      </c>
      <c r="T33" s="165">
        <f t="shared" ref="T33:T43" si="29">$P$31*R33</f>
        <v>0</v>
      </c>
      <c r="U33" s="10"/>
      <c r="V33" s="260" t="s">
        <v>243</v>
      </c>
      <c r="W33" s="16"/>
      <c r="X33" s="16"/>
      <c r="Y33" s="17"/>
    </row>
    <row r="34" spans="2:26">
      <c r="B34" s="264"/>
      <c r="C34" s="156" t="s">
        <v>107</v>
      </c>
      <c r="D34" s="167">
        <f>'Input Data'!C66/1000</f>
        <v>0</v>
      </c>
      <c r="E34" s="132"/>
      <c r="F34" s="133" t="s">
        <v>137</v>
      </c>
      <c r="G34" s="156" t="s">
        <v>2</v>
      </c>
      <c r="H34" s="157">
        <f>'Input Data'!L24</f>
        <v>0</v>
      </c>
      <c r="I34" s="158">
        <f>I33</f>
        <v>-1.0800000000000001E-2</v>
      </c>
      <c r="J34" s="159">
        <f t="shared" si="22"/>
        <v>0</v>
      </c>
      <c r="K34" s="160">
        <f>'Input Data'!AF7</f>
        <v>0</v>
      </c>
      <c r="L34" s="161">
        <f t="shared" si="23"/>
        <v>0</v>
      </c>
      <c r="M34" s="161">
        <f t="shared" si="24"/>
        <v>0</v>
      </c>
      <c r="N34" s="10">
        <f t="shared" si="27"/>
        <v>0</v>
      </c>
      <c r="O34" s="162">
        <f t="shared" si="25"/>
        <v>0</v>
      </c>
      <c r="P34" s="163">
        <f t="shared" si="26"/>
        <v>0</v>
      </c>
      <c r="Q34" s="161">
        <f t="shared" si="28"/>
        <v>0</v>
      </c>
      <c r="R34" s="89">
        <f>'Input Data'!$C$100/100/12</f>
        <v>0</v>
      </c>
      <c r="S34" s="164">
        <f t="shared" ref="S34:S43" si="30">Q33*R34</f>
        <v>0</v>
      </c>
      <c r="T34" s="165">
        <f t="shared" si="29"/>
        <v>0</v>
      </c>
      <c r="U34" s="10"/>
      <c r="V34" s="261"/>
      <c r="W34" t="s">
        <v>15</v>
      </c>
      <c r="Y34" s="39">
        <f>K44</f>
        <v>0</v>
      </c>
      <c r="Z34" t="s">
        <v>104</v>
      </c>
    </row>
    <row r="35" spans="2:26">
      <c r="B35" s="264"/>
      <c r="C35" s="156" t="s">
        <v>120</v>
      </c>
      <c r="D35" s="164">
        <f>D33*D34</f>
        <v>0</v>
      </c>
      <c r="E35" s="132"/>
      <c r="G35" s="156" t="s">
        <v>3</v>
      </c>
      <c r="H35" s="157">
        <f>'Input Data'!L25</f>
        <v>0</v>
      </c>
      <c r="I35" s="158">
        <f>I34</f>
        <v>-1.0800000000000001E-2</v>
      </c>
      <c r="J35" s="159">
        <f t="shared" si="22"/>
        <v>0</v>
      </c>
      <c r="K35" s="160">
        <f>'Input Data'!AF8</f>
        <v>0</v>
      </c>
      <c r="L35" s="161">
        <f t="shared" si="23"/>
        <v>0</v>
      </c>
      <c r="M35" s="161">
        <f t="shared" si="24"/>
        <v>0</v>
      </c>
      <c r="N35" s="10">
        <f t="shared" si="27"/>
        <v>0</v>
      </c>
      <c r="O35" s="162">
        <f t="shared" si="25"/>
        <v>0</v>
      </c>
      <c r="P35" s="163">
        <f t="shared" si="26"/>
        <v>0</v>
      </c>
      <c r="Q35" s="161">
        <f t="shared" si="28"/>
        <v>0</v>
      </c>
      <c r="R35" s="89">
        <f>'Input Data'!$C$101/100/12</f>
        <v>0</v>
      </c>
      <c r="S35" s="164">
        <f t="shared" si="30"/>
        <v>0</v>
      </c>
      <c r="T35" s="165">
        <f t="shared" si="29"/>
        <v>0</v>
      </c>
      <c r="U35" s="10"/>
      <c r="V35" s="261"/>
      <c r="W35" t="s">
        <v>92</v>
      </c>
      <c r="Y35" s="39">
        <f>L44</f>
        <v>0</v>
      </c>
      <c r="Z35" t="s">
        <v>31</v>
      </c>
    </row>
    <row r="36" spans="2:26">
      <c r="B36" s="264"/>
      <c r="C36" s="156" t="s">
        <v>121</v>
      </c>
      <c r="D36" s="132"/>
      <c r="E36" s="164">
        <f>D35/2</f>
        <v>0</v>
      </c>
      <c r="F36" s="133" t="s">
        <v>132</v>
      </c>
      <c r="G36" s="156" t="s">
        <v>4</v>
      </c>
      <c r="H36" s="157">
        <f>'Input Data'!L26</f>
        <v>0</v>
      </c>
      <c r="I36" s="158">
        <f>E43</f>
        <v>0</v>
      </c>
      <c r="J36" s="159">
        <f t="shared" si="22"/>
        <v>0</v>
      </c>
      <c r="K36" s="160">
        <f>'Input Data'!AF9</f>
        <v>0</v>
      </c>
      <c r="L36" s="161">
        <f t="shared" si="23"/>
        <v>0</v>
      </c>
      <c r="M36" s="161">
        <f t="shared" si="24"/>
        <v>0</v>
      </c>
      <c r="N36" s="10">
        <f>IF(D34=0,0,-$H$36/12)</f>
        <v>0</v>
      </c>
      <c r="O36" s="162">
        <f t="shared" si="25"/>
        <v>0</v>
      </c>
      <c r="P36" s="163">
        <f t="shared" si="26"/>
        <v>0</v>
      </c>
      <c r="Q36" s="161">
        <f t="shared" si="28"/>
        <v>0</v>
      </c>
      <c r="R36" s="89">
        <f>'Input Data'!$C$101/100/12</f>
        <v>0</v>
      </c>
      <c r="S36" s="164">
        <f t="shared" si="30"/>
        <v>0</v>
      </c>
      <c r="T36" s="165">
        <f t="shared" si="29"/>
        <v>0</v>
      </c>
      <c r="U36" s="10"/>
      <c r="V36" s="261"/>
      <c r="W36" t="s">
        <v>67</v>
      </c>
      <c r="X36" s="10">
        <f>M44</f>
        <v>0</v>
      </c>
      <c r="Y36" s="19"/>
      <c r="Z36" t="s">
        <v>105</v>
      </c>
    </row>
    <row r="37" spans="2:26">
      <c r="B37" s="264"/>
      <c r="C37" s="156" t="s">
        <v>109</v>
      </c>
      <c r="D37" s="132"/>
      <c r="E37" s="164">
        <f>-Y14</f>
        <v>0</v>
      </c>
      <c r="F37" s="133" t="s">
        <v>141</v>
      </c>
      <c r="G37" s="156" t="s">
        <v>5</v>
      </c>
      <c r="H37" s="157">
        <f>'Input Data'!L27</f>
        <v>0</v>
      </c>
      <c r="I37" s="158">
        <f>I36</f>
        <v>0</v>
      </c>
      <c r="J37" s="159">
        <f t="shared" si="22"/>
        <v>0</v>
      </c>
      <c r="K37" s="160">
        <f>'Input Data'!AF10</f>
        <v>0</v>
      </c>
      <c r="L37" s="161">
        <f t="shared" si="23"/>
        <v>0</v>
      </c>
      <c r="M37" s="161">
        <f t="shared" si="24"/>
        <v>0</v>
      </c>
      <c r="N37" s="10">
        <f t="shared" ref="N37:N48" si="31">IF(D35=0,0,-$H$36/12)</f>
        <v>0</v>
      </c>
      <c r="O37" s="162">
        <f t="shared" si="25"/>
        <v>0</v>
      </c>
      <c r="P37" s="163">
        <f t="shared" si="26"/>
        <v>0</v>
      </c>
      <c r="Q37" s="161">
        <f t="shared" si="28"/>
        <v>0</v>
      </c>
      <c r="R37" s="89">
        <f>'Input Data'!$C$101/100/12</f>
        <v>0</v>
      </c>
      <c r="S37" s="164">
        <f t="shared" si="30"/>
        <v>0</v>
      </c>
      <c r="T37" s="165">
        <f t="shared" si="29"/>
        <v>0</v>
      </c>
      <c r="U37" s="10"/>
      <c r="V37" s="261"/>
      <c r="W37" t="s">
        <v>258</v>
      </c>
      <c r="X37" s="36">
        <f>N44</f>
        <v>0</v>
      </c>
      <c r="Y37" s="19"/>
      <c r="Z37" t="s">
        <v>257</v>
      </c>
    </row>
    <row r="38" spans="2:26">
      <c r="B38" s="264"/>
      <c r="C38" s="156" t="s">
        <v>110</v>
      </c>
      <c r="D38" s="132"/>
      <c r="E38" s="164">
        <f>-Y15</f>
        <v>0</v>
      </c>
      <c r="F38" s="133" t="s">
        <v>142</v>
      </c>
      <c r="G38" s="156" t="s">
        <v>6</v>
      </c>
      <c r="H38" s="157">
        <f>'Input Data'!L28</f>
        <v>0</v>
      </c>
      <c r="I38" s="158">
        <f t="shared" ref="I38:I43" si="32">I37</f>
        <v>0</v>
      </c>
      <c r="J38" s="159">
        <f t="shared" si="22"/>
        <v>0</v>
      </c>
      <c r="K38" s="160">
        <f>'Input Data'!AF11</f>
        <v>0</v>
      </c>
      <c r="L38" s="161">
        <f t="shared" si="23"/>
        <v>0</v>
      </c>
      <c r="M38" s="161">
        <f t="shared" si="24"/>
        <v>0</v>
      </c>
      <c r="N38" s="10">
        <f t="shared" si="31"/>
        <v>0</v>
      </c>
      <c r="O38" s="162">
        <f t="shared" si="25"/>
        <v>0</v>
      </c>
      <c r="P38" s="163">
        <f t="shared" si="26"/>
        <v>0</v>
      </c>
      <c r="Q38" s="161">
        <f t="shared" si="28"/>
        <v>0</v>
      </c>
      <c r="R38" s="89">
        <f>'Input Data'!$C$102/100/12</f>
        <v>0</v>
      </c>
      <c r="S38" s="164">
        <f t="shared" si="30"/>
        <v>0</v>
      </c>
      <c r="T38" s="165">
        <f t="shared" si="29"/>
        <v>0</v>
      </c>
      <c r="U38" s="10"/>
      <c r="V38" s="261"/>
      <c r="W38" t="s">
        <v>32</v>
      </c>
      <c r="Y38" s="39">
        <f>X37+X36</f>
        <v>0</v>
      </c>
      <c r="Z38" t="s">
        <v>106</v>
      </c>
    </row>
    <row r="39" spans="2:26">
      <c r="B39" s="264"/>
      <c r="C39" s="156" t="s">
        <v>215</v>
      </c>
      <c r="D39" s="132"/>
      <c r="E39" s="164">
        <f>IF(D34=0,0,-'2023-24 Overcollection'!O22-'2023-24 Overcollection'!O23)</f>
        <v>0</v>
      </c>
      <c r="F39" s="133" t="s">
        <v>263</v>
      </c>
      <c r="G39" s="156" t="s">
        <v>7</v>
      </c>
      <c r="H39" s="157">
        <f>'Input Data'!L29</f>
        <v>0</v>
      </c>
      <c r="I39" s="158">
        <f t="shared" si="32"/>
        <v>0</v>
      </c>
      <c r="J39" s="159">
        <f t="shared" si="22"/>
        <v>0</v>
      </c>
      <c r="K39" s="160">
        <f>'Input Data'!AF12</f>
        <v>0</v>
      </c>
      <c r="L39" s="161">
        <f t="shared" si="23"/>
        <v>0</v>
      </c>
      <c r="M39" s="161">
        <f t="shared" si="24"/>
        <v>0</v>
      </c>
      <c r="N39" s="10">
        <f t="shared" si="31"/>
        <v>0</v>
      </c>
      <c r="O39" s="162">
        <f t="shared" si="25"/>
        <v>0</v>
      </c>
      <c r="P39" s="163">
        <f t="shared" si="26"/>
        <v>0</v>
      </c>
      <c r="Q39" s="161">
        <f t="shared" si="28"/>
        <v>0</v>
      </c>
      <c r="R39" s="89">
        <f>'Input Data'!$C$102/100/12</f>
        <v>0</v>
      </c>
      <c r="S39" s="164">
        <f t="shared" si="30"/>
        <v>0</v>
      </c>
      <c r="T39" s="165">
        <f t="shared" si="29"/>
        <v>0</v>
      </c>
      <c r="U39" s="10"/>
      <c r="V39" s="261"/>
      <c r="W39" t="s">
        <v>33</v>
      </c>
      <c r="Y39" s="56">
        <f>J44</f>
        <v>0</v>
      </c>
      <c r="Z39" t="s">
        <v>149</v>
      </c>
    </row>
    <row r="40" spans="2:26">
      <c r="B40" s="264"/>
      <c r="C40" s="168" t="s">
        <v>148</v>
      </c>
      <c r="D40" s="132"/>
      <c r="E40" s="169">
        <f>SUM(E36:E39)</f>
        <v>0</v>
      </c>
      <c r="G40" s="156" t="s">
        <v>8</v>
      </c>
      <c r="H40" s="157">
        <f>'Input Data'!L30</f>
        <v>0</v>
      </c>
      <c r="I40" s="158">
        <f t="shared" si="32"/>
        <v>0</v>
      </c>
      <c r="J40" s="159">
        <f t="shared" si="22"/>
        <v>0</v>
      </c>
      <c r="K40" s="160">
        <f>'Input Data'!AF13</f>
        <v>0</v>
      </c>
      <c r="L40" s="161">
        <f t="shared" si="23"/>
        <v>0</v>
      </c>
      <c r="M40" s="161">
        <f t="shared" si="24"/>
        <v>0</v>
      </c>
      <c r="N40" s="10">
        <f t="shared" si="31"/>
        <v>0</v>
      </c>
      <c r="O40" s="162">
        <f t="shared" si="25"/>
        <v>0</v>
      </c>
      <c r="P40" s="163">
        <f t="shared" si="26"/>
        <v>0</v>
      </c>
      <c r="Q40" s="161">
        <f t="shared" si="28"/>
        <v>0</v>
      </c>
      <c r="R40" s="89">
        <f>'Input Data'!$C$102/100/12</f>
        <v>0</v>
      </c>
      <c r="S40" s="164">
        <f t="shared" si="30"/>
        <v>0</v>
      </c>
      <c r="T40" s="165">
        <f t="shared" si="29"/>
        <v>0</v>
      </c>
      <c r="U40" s="10"/>
      <c r="V40" s="261"/>
      <c r="W40" t="s">
        <v>18</v>
      </c>
      <c r="Y40" s="69">
        <f>Y38-Y39</f>
        <v>0</v>
      </c>
      <c r="Z40" t="s">
        <v>198</v>
      </c>
    </row>
    <row r="41" spans="2:26">
      <c r="B41" s="264"/>
      <c r="C41" s="170"/>
      <c r="D41" s="132"/>
      <c r="E41" s="132"/>
      <c r="G41" s="156" t="s">
        <v>9</v>
      </c>
      <c r="H41" s="157">
        <f>'Input Data'!L31</f>
        <v>0</v>
      </c>
      <c r="I41" s="158">
        <f t="shared" si="32"/>
        <v>0</v>
      </c>
      <c r="J41" s="159">
        <f t="shared" si="22"/>
        <v>0</v>
      </c>
      <c r="K41" s="160">
        <f>'Input Data'!AF14</f>
        <v>0</v>
      </c>
      <c r="L41" s="161">
        <f t="shared" si="23"/>
        <v>0</v>
      </c>
      <c r="M41" s="161">
        <f t="shared" si="24"/>
        <v>0</v>
      </c>
      <c r="N41" s="10">
        <f t="shared" si="31"/>
        <v>0</v>
      </c>
      <c r="O41" s="162">
        <f t="shared" si="25"/>
        <v>0</v>
      </c>
      <c r="P41" s="163">
        <f t="shared" si="26"/>
        <v>0</v>
      </c>
      <c r="Q41" s="161">
        <f t="shared" si="28"/>
        <v>0</v>
      </c>
      <c r="R41" s="89">
        <f>'Input Data'!$C$103/100/12</f>
        <v>0</v>
      </c>
      <c r="S41" s="164">
        <f t="shared" si="30"/>
        <v>0</v>
      </c>
      <c r="T41" s="165">
        <f t="shared" si="29"/>
        <v>0</v>
      </c>
      <c r="U41" s="10"/>
      <c r="V41" s="261"/>
      <c r="W41" t="s">
        <v>34</v>
      </c>
      <c r="Y41" s="39">
        <f>S44+T57</f>
        <v>0</v>
      </c>
      <c r="Z41" t="s">
        <v>199</v>
      </c>
    </row>
    <row r="42" spans="2:26">
      <c r="B42" s="264"/>
      <c r="C42" s="170" t="s">
        <v>108</v>
      </c>
      <c r="D42" s="166">
        <f>'Input Data'!J38</f>
        <v>0</v>
      </c>
      <c r="E42" s="132"/>
      <c r="F42" s="133" t="s">
        <v>209</v>
      </c>
      <c r="G42" s="156" t="s">
        <v>10</v>
      </c>
      <c r="H42" s="157">
        <f>'Input Data'!L32</f>
        <v>0</v>
      </c>
      <c r="I42" s="158">
        <f t="shared" si="32"/>
        <v>0</v>
      </c>
      <c r="J42" s="159">
        <f t="shared" si="22"/>
        <v>0</v>
      </c>
      <c r="K42" s="160">
        <f>'Input Data'!AF15</f>
        <v>0</v>
      </c>
      <c r="L42" s="161">
        <f t="shared" si="23"/>
        <v>0</v>
      </c>
      <c r="M42" s="161">
        <f t="shared" si="24"/>
        <v>0</v>
      </c>
      <c r="N42" s="10">
        <f t="shared" si="31"/>
        <v>0</v>
      </c>
      <c r="O42" s="162">
        <f t="shared" si="25"/>
        <v>0</v>
      </c>
      <c r="P42" s="163">
        <f t="shared" si="26"/>
        <v>0</v>
      </c>
      <c r="Q42" s="161">
        <f t="shared" si="28"/>
        <v>0</v>
      </c>
      <c r="R42" s="89">
        <f>'Input Data'!$C$103/100/12</f>
        <v>0</v>
      </c>
      <c r="S42" s="164">
        <f t="shared" si="30"/>
        <v>0</v>
      </c>
      <c r="T42" s="165">
        <f t="shared" si="29"/>
        <v>0</v>
      </c>
      <c r="U42" s="10"/>
      <c r="V42" s="262"/>
      <c r="W42" s="21"/>
      <c r="X42" s="21"/>
      <c r="Y42" s="22"/>
    </row>
    <row r="43" spans="2:26">
      <c r="B43" s="264"/>
      <c r="C43" s="168" t="s">
        <v>153</v>
      </c>
      <c r="D43" s="132"/>
      <c r="E43" s="171">
        <f>IFERROR(ROUND(-E40/D42,4),0)</f>
        <v>0</v>
      </c>
      <c r="G43" s="156" t="s">
        <v>11</v>
      </c>
      <c r="H43" s="157">
        <f>'Input Data'!L33</f>
        <v>0</v>
      </c>
      <c r="I43" s="158">
        <f t="shared" si="32"/>
        <v>0</v>
      </c>
      <c r="J43" s="159">
        <f t="shared" si="22"/>
        <v>0</v>
      </c>
      <c r="K43" s="160">
        <f>'Input Data'!AF16</f>
        <v>0</v>
      </c>
      <c r="L43" s="161">
        <f t="shared" si="23"/>
        <v>0</v>
      </c>
      <c r="M43" s="161">
        <f t="shared" si="24"/>
        <v>0</v>
      </c>
      <c r="N43" s="10">
        <f t="shared" si="31"/>
        <v>0</v>
      </c>
      <c r="O43" s="162">
        <f t="shared" si="25"/>
        <v>0</v>
      </c>
      <c r="P43" s="163">
        <f t="shared" si="26"/>
        <v>0</v>
      </c>
      <c r="Q43" s="161">
        <f t="shared" si="28"/>
        <v>0</v>
      </c>
      <c r="R43" s="89">
        <f>'Input Data'!$C$103/100/12</f>
        <v>0</v>
      </c>
      <c r="S43" s="164">
        <f t="shared" si="30"/>
        <v>0</v>
      </c>
      <c r="T43" s="165">
        <f t="shared" si="29"/>
        <v>0</v>
      </c>
      <c r="U43" s="10"/>
    </row>
    <row r="44" spans="2:26" ht="15.75" thickBot="1">
      <c r="B44" s="265"/>
      <c r="C44" s="172"/>
      <c r="D44" s="172"/>
      <c r="E44" s="172"/>
      <c r="F44" s="134"/>
      <c r="G44" s="173" t="s">
        <v>14</v>
      </c>
      <c r="H44" s="174">
        <f>SUM(H32:H43)</f>
        <v>0</v>
      </c>
      <c r="I44" s="175"/>
      <c r="J44" s="176">
        <f t="shared" ref="J44:P44" si="33">SUM(J32:J43)</f>
        <v>0</v>
      </c>
      <c r="K44" s="177">
        <f t="shared" si="33"/>
        <v>0</v>
      </c>
      <c r="L44" s="178">
        <f t="shared" si="33"/>
        <v>0</v>
      </c>
      <c r="M44" s="178">
        <f t="shared" si="33"/>
        <v>0</v>
      </c>
      <c r="N44" s="178">
        <f t="shared" si="33"/>
        <v>0</v>
      </c>
      <c r="O44" s="176">
        <f t="shared" si="33"/>
        <v>0</v>
      </c>
      <c r="P44" s="177">
        <f t="shared" si="33"/>
        <v>0</v>
      </c>
      <c r="Q44" s="179"/>
      <c r="R44" s="175"/>
      <c r="S44" s="178">
        <f>SUM(S32:S43)</f>
        <v>0</v>
      </c>
      <c r="T44" s="180">
        <f>SUM(T32:T43)</f>
        <v>0</v>
      </c>
      <c r="U44" s="11"/>
    </row>
    <row r="45" spans="2:26">
      <c r="B45" s="263">
        <v>2027</v>
      </c>
      <c r="C45" s="155"/>
      <c r="D45" s="155"/>
      <c r="E45" s="155"/>
      <c r="F45" s="135"/>
      <c r="G45" s="156" t="s">
        <v>0</v>
      </c>
      <c r="H45" s="157">
        <f>'Input Data'!M22</f>
        <v>0</v>
      </c>
      <c r="I45" s="158">
        <f>I43</f>
        <v>0</v>
      </c>
      <c r="J45" s="159">
        <f t="shared" ref="J45:J56" si="34">H45*I45</f>
        <v>0</v>
      </c>
      <c r="K45" s="160">
        <f>'Input Data'!AI5</f>
        <v>0</v>
      </c>
      <c r="L45" s="161">
        <f t="shared" si="23"/>
        <v>0</v>
      </c>
      <c r="M45" s="161">
        <f t="shared" ref="M45:M56" si="35">-K45/2</f>
        <v>0</v>
      </c>
      <c r="N45" s="10">
        <f t="shared" si="31"/>
        <v>0</v>
      </c>
      <c r="O45" s="162">
        <f t="shared" ref="O45:O56" si="36">M45+N45</f>
        <v>0</v>
      </c>
      <c r="P45" s="163">
        <f t="shared" ref="P45:P56" si="37">O45-J45</f>
        <v>0</v>
      </c>
      <c r="Q45" s="161">
        <f>P45</f>
        <v>0</v>
      </c>
      <c r="R45" s="89">
        <f>'Input Data'!$C$104/100/12</f>
        <v>0</v>
      </c>
      <c r="S45" s="164"/>
      <c r="T45" s="165">
        <f>$P$44*R45</f>
        <v>0</v>
      </c>
      <c r="U45" s="10"/>
    </row>
    <row r="46" spans="2:26" ht="14.45" customHeight="1">
      <c r="B46" s="264"/>
      <c r="C46" s="156" t="s">
        <v>81</v>
      </c>
      <c r="D46" s="166">
        <f>'Input Data'!W55</f>
        <v>0</v>
      </c>
      <c r="E46" s="132"/>
      <c r="F46" s="133" t="s">
        <v>136</v>
      </c>
      <c r="G46" s="156" t="s">
        <v>1</v>
      </c>
      <c r="H46" s="157">
        <f>'Input Data'!M23</f>
        <v>0</v>
      </c>
      <c r="I46" s="158">
        <f>I45</f>
        <v>0</v>
      </c>
      <c r="J46" s="159">
        <f t="shared" si="34"/>
        <v>0</v>
      </c>
      <c r="K46" s="160">
        <f>'Input Data'!AI6</f>
        <v>0</v>
      </c>
      <c r="L46" s="161">
        <f t="shared" si="23"/>
        <v>0</v>
      </c>
      <c r="M46" s="161">
        <f t="shared" si="35"/>
        <v>0</v>
      </c>
      <c r="N46" s="10">
        <f t="shared" si="31"/>
        <v>0</v>
      </c>
      <c r="O46" s="162">
        <f t="shared" si="36"/>
        <v>0</v>
      </c>
      <c r="P46" s="163">
        <f t="shared" si="37"/>
        <v>0</v>
      </c>
      <c r="Q46" s="161">
        <f t="shared" ref="Q46:Q56" si="38">P46+Q45</f>
        <v>0</v>
      </c>
      <c r="R46" s="89">
        <f>'Input Data'!$C$104/100/12</f>
        <v>0</v>
      </c>
      <c r="S46" s="164">
        <f>Q45*R46</f>
        <v>0</v>
      </c>
      <c r="T46" s="165">
        <f t="shared" ref="T46:T56" si="39">$P$44*R46</f>
        <v>0</v>
      </c>
      <c r="U46" s="10"/>
      <c r="V46" s="260" t="s">
        <v>244</v>
      </c>
      <c r="W46" s="16"/>
      <c r="X46" s="16"/>
      <c r="Y46" s="17"/>
    </row>
    <row r="47" spans="2:26">
      <c r="B47" s="264"/>
      <c r="C47" s="156" t="s">
        <v>107</v>
      </c>
      <c r="D47" s="167">
        <f>'Input Data'!C67/1000</f>
        <v>0</v>
      </c>
      <c r="E47" s="132"/>
      <c r="F47" s="133" t="s">
        <v>191</v>
      </c>
      <c r="G47" s="156" t="s">
        <v>2</v>
      </c>
      <c r="H47" s="157">
        <f>'Input Data'!M24</f>
        <v>0</v>
      </c>
      <c r="I47" s="158">
        <f>I46</f>
        <v>0</v>
      </c>
      <c r="J47" s="159">
        <f t="shared" si="34"/>
        <v>0</v>
      </c>
      <c r="K47" s="160">
        <f>'Input Data'!AI7</f>
        <v>0</v>
      </c>
      <c r="L47" s="161">
        <f t="shared" si="23"/>
        <v>0</v>
      </c>
      <c r="M47" s="161">
        <f t="shared" si="35"/>
        <v>0</v>
      </c>
      <c r="N47" s="10">
        <f t="shared" si="31"/>
        <v>0</v>
      </c>
      <c r="O47" s="162">
        <f t="shared" si="36"/>
        <v>0</v>
      </c>
      <c r="P47" s="163">
        <f t="shared" si="37"/>
        <v>0</v>
      </c>
      <c r="Q47" s="161">
        <f t="shared" si="38"/>
        <v>0</v>
      </c>
      <c r="R47" s="89">
        <f>'Input Data'!$C$104/100/12</f>
        <v>0</v>
      </c>
      <c r="S47" s="164">
        <f t="shared" ref="S47:S56" si="40">Q46*R47</f>
        <v>0</v>
      </c>
      <c r="T47" s="165">
        <f t="shared" si="39"/>
        <v>0</v>
      </c>
      <c r="U47" s="10"/>
      <c r="V47" s="261"/>
      <c r="W47" t="s">
        <v>15</v>
      </c>
      <c r="Y47" s="39">
        <f>K57</f>
        <v>0</v>
      </c>
      <c r="Z47" t="s">
        <v>104</v>
      </c>
    </row>
    <row r="48" spans="2:26">
      <c r="B48" s="264"/>
      <c r="C48" s="156" t="s">
        <v>120</v>
      </c>
      <c r="D48" s="164">
        <f>D46*D47</f>
        <v>0</v>
      </c>
      <c r="E48" s="132"/>
      <c r="G48" s="156" t="s">
        <v>3</v>
      </c>
      <c r="H48" s="157">
        <f>'Input Data'!M25</f>
        <v>0</v>
      </c>
      <c r="I48" s="158">
        <f>I47</f>
        <v>0</v>
      </c>
      <c r="J48" s="159">
        <f t="shared" si="34"/>
        <v>0</v>
      </c>
      <c r="K48" s="160">
        <f>'Input Data'!AI8</f>
        <v>0</v>
      </c>
      <c r="L48" s="161">
        <f t="shared" si="23"/>
        <v>0</v>
      </c>
      <c r="M48" s="161">
        <f t="shared" si="35"/>
        <v>0</v>
      </c>
      <c r="N48" s="10">
        <f t="shared" si="31"/>
        <v>0</v>
      </c>
      <c r="O48" s="162">
        <f t="shared" si="36"/>
        <v>0</v>
      </c>
      <c r="P48" s="163">
        <f t="shared" si="37"/>
        <v>0</v>
      </c>
      <c r="Q48" s="161">
        <f t="shared" si="38"/>
        <v>0</v>
      </c>
      <c r="R48" s="89">
        <f>'Input Data'!$C$105/100/12</f>
        <v>0</v>
      </c>
      <c r="S48" s="164">
        <f t="shared" si="40"/>
        <v>0</v>
      </c>
      <c r="T48" s="165">
        <f t="shared" si="39"/>
        <v>0</v>
      </c>
      <c r="U48" s="10"/>
      <c r="V48" s="261"/>
      <c r="W48" t="s">
        <v>92</v>
      </c>
      <c r="Y48" s="39">
        <f>L57</f>
        <v>0</v>
      </c>
      <c r="Z48" t="s">
        <v>31</v>
      </c>
    </row>
    <row r="49" spans="2:26">
      <c r="B49" s="264"/>
      <c r="C49" s="156" t="s">
        <v>121</v>
      </c>
      <c r="D49" s="132"/>
      <c r="E49" s="164">
        <f>D48/2</f>
        <v>0</v>
      </c>
      <c r="F49" s="133" t="s">
        <v>132</v>
      </c>
      <c r="G49" s="156" t="s">
        <v>4</v>
      </c>
      <c r="H49" s="157">
        <f>'Input Data'!M26</f>
        <v>0</v>
      </c>
      <c r="I49" s="158">
        <f>E55</f>
        <v>0</v>
      </c>
      <c r="J49" s="159">
        <f t="shared" si="34"/>
        <v>0</v>
      </c>
      <c r="K49" s="160">
        <f>'Input Data'!AI9</f>
        <v>0</v>
      </c>
      <c r="L49" s="161">
        <f t="shared" si="23"/>
        <v>0</v>
      </c>
      <c r="M49" s="161">
        <f t="shared" si="35"/>
        <v>0</v>
      </c>
      <c r="N49" s="161">
        <f>IF(H49=0,0,-($E$50+$E$51)/12)</f>
        <v>0</v>
      </c>
      <c r="O49" s="162">
        <f t="shared" si="36"/>
        <v>0</v>
      </c>
      <c r="P49" s="163">
        <f t="shared" si="37"/>
        <v>0</v>
      </c>
      <c r="Q49" s="161">
        <f t="shared" si="38"/>
        <v>0</v>
      </c>
      <c r="R49" s="89">
        <f>'Input Data'!$C$105/100/12</f>
        <v>0</v>
      </c>
      <c r="S49" s="164">
        <f t="shared" si="40"/>
        <v>0</v>
      </c>
      <c r="T49" s="165">
        <f>$P$44*R49</f>
        <v>0</v>
      </c>
      <c r="U49" s="10"/>
      <c r="V49" s="261"/>
      <c r="W49" t="s">
        <v>67</v>
      </c>
      <c r="X49" s="10">
        <f>M57</f>
        <v>0</v>
      </c>
      <c r="Y49" s="19"/>
      <c r="Z49" t="s">
        <v>105</v>
      </c>
    </row>
    <row r="50" spans="2:26">
      <c r="B50" s="264"/>
      <c r="C50" s="156" t="s">
        <v>109</v>
      </c>
      <c r="D50" s="132"/>
      <c r="E50" s="164">
        <f>-Y27</f>
        <v>0</v>
      </c>
      <c r="F50" s="133" t="s">
        <v>164</v>
      </c>
      <c r="G50" s="156" t="s">
        <v>5</v>
      </c>
      <c r="H50" s="157">
        <f>'Input Data'!M27</f>
        <v>0</v>
      </c>
      <c r="I50" s="158">
        <f>I49</f>
        <v>0</v>
      </c>
      <c r="J50" s="159">
        <f t="shared" si="34"/>
        <v>0</v>
      </c>
      <c r="K50" s="160">
        <f>'Input Data'!AI10</f>
        <v>0</v>
      </c>
      <c r="L50" s="161">
        <f t="shared" si="23"/>
        <v>0</v>
      </c>
      <c r="M50" s="161">
        <f t="shared" si="35"/>
        <v>0</v>
      </c>
      <c r="N50" s="161">
        <f t="shared" ref="N50:N61" si="41">IF(H50=0,0,-($E$50+$E$51)/12)</f>
        <v>0</v>
      </c>
      <c r="O50" s="162">
        <f t="shared" si="36"/>
        <v>0</v>
      </c>
      <c r="P50" s="163">
        <f t="shared" si="37"/>
        <v>0</v>
      </c>
      <c r="Q50" s="161">
        <f t="shared" si="38"/>
        <v>0</v>
      </c>
      <c r="R50" s="89">
        <f>'Input Data'!$C$105/100/12</f>
        <v>0</v>
      </c>
      <c r="S50" s="164">
        <f t="shared" si="40"/>
        <v>0</v>
      </c>
      <c r="T50" s="165">
        <f t="shared" si="39"/>
        <v>0</v>
      </c>
      <c r="U50" s="10"/>
      <c r="V50" s="261"/>
      <c r="W50" t="s">
        <v>259</v>
      </c>
      <c r="X50" s="36">
        <f>N57</f>
        <v>0</v>
      </c>
      <c r="Y50" s="19"/>
      <c r="Z50" t="s">
        <v>162</v>
      </c>
    </row>
    <row r="51" spans="2:26">
      <c r="B51" s="264"/>
      <c r="C51" s="156" t="s">
        <v>110</v>
      </c>
      <c r="D51" s="132"/>
      <c r="E51" s="164">
        <f>-Y28</f>
        <v>0</v>
      </c>
      <c r="F51" s="133" t="s">
        <v>165</v>
      </c>
      <c r="G51" s="156" t="s">
        <v>6</v>
      </c>
      <c r="H51" s="157">
        <f>'Input Data'!M28</f>
        <v>0</v>
      </c>
      <c r="I51" s="158">
        <f t="shared" ref="I51:I56" si="42">I50</f>
        <v>0</v>
      </c>
      <c r="J51" s="159">
        <f t="shared" si="34"/>
        <v>0</v>
      </c>
      <c r="K51" s="160">
        <f>'Input Data'!AI11</f>
        <v>0</v>
      </c>
      <c r="L51" s="161">
        <f t="shared" si="23"/>
        <v>0</v>
      </c>
      <c r="M51" s="161">
        <f t="shared" si="35"/>
        <v>0</v>
      </c>
      <c r="N51" s="161">
        <f t="shared" si="41"/>
        <v>0</v>
      </c>
      <c r="O51" s="162">
        <f t="shared" si="36"/>
        <v>0</v>
      </c>
      <c r="P51" s="163">
        <f t="shared" si="37"/>
        <v>0</v>
      </c>
      <c r="Q51" s="161">
        <f t="shared" si="38"/>
        <v>0</v>
      </c>
      <c r="R51" s="89">
        <f>'Input Data'!$C$106/100/12</f>
        <v>0</v>
      </c>
      <c r="S51" s="164">
        <f t="shared" si="40"/>
        <v>0</v>
      </c>
      <c r="T51" s="165">
        <f t="shared" si="39"/>
        <v>0</v>
      </c>
      <c r="U51" s="10"/>
      <c r="V51" s="261"/>
      <c r="W51" t="s">
        <v>32</v>
      </c>
      <c r="Y51" s="39">
        <f>X50+X49</f>
        <v>0</v>
      </c>
      <c r="Z51" t="s">
        <v>106</v>
      </c>
    </row>
    <row r="52" spans="2:26">
      <c r="B52" s="264"/>
      <c r="C52" s="168" t="s">
        <v>148</v>
      </c>
      <c r="D52" s="132"/>
      <c r="E52" s="169">
        <f>SUM(E49:E51)</f>
        <v>0</v>
      </c>
      <c r="G52" s="156" t="s">
        <v>7</v>
      </c>
      <c r="H52" s="157">
        <f>'Input Data'!M29</f>
        <v>0</v>
      </c>
      <c r="I52" s="158">
        <f t="shared" si="42"/>
        <v>0</v>
      </c>
      <c r="J52" s="159">
        <f t="shared" si="34"/>
        <v>0</v>
      </c>
      <c r="K52" s="160">
        <f>'Input Data'!AI12</f>
        <v>0</v>
      </c>
      <c r="L52" s="161">
        <f t="shared" si="23"/>
        <v>0</v>
      </c>
      <c r="M52" s="161">
        <f t="shared" si="35"/>
        <v>0</v>
      </c>
      <c r="N52" s="161">
        <f t="shared" si="41"/>
        <v>0</v>
      </c>
      <c r="O52" s="162">
        <f t="shared" si="36"/>
        <v>0</v>
      </c>
      <c r="P52" s="163">
        <f t="shared" si="37"/>
        <v>0</v>
      </c>
      <c r="Q52" s="161">
        <f t="shared" si="38"/>
        <v>0</v>
      </c>
      <c r="R52" s="89">
        <f>'Input Data'!$C$106/100/12</f>
        <v>0</v>
      </c>
      <c r="S52" s="164">
        <f t="shared" si="40"/>
        <v>0</v>
      </c>
      <c r="T52" s="165">
        <f t="shared" si="39"/>
        <v>0</v>
      </c>
      <c r="U52" s="10"/>
      <c r="V52" s="261"/>
      <c r="W52" t="s">
        <v>33</v>
      </c>
      <c r="Y52" s="56">
        <f>J57</f>
        <v>0</v>
      </c>
      <c r="Z52" t="s">
        <v>149</v>
      </c>
    </row>
    <row r="53" spans="2:26">
      <c r="B53" s="264"/>
      <c r="C53" s="132"/>
      <c r="D53" s="132"/>
      <c r="E53" s="132"/>
      <c r="G53" s="156" t="s">
        <v>8</v>
      </c>
      <c r="H53" s="157">
        <f>'Input Data'!M30</f>
        <v>0</v>
      </c>
      <c r="I53" s="158">
        <f t="shared" si="42"/>
        <v>0</v>
      </c>
      <c r="J53" s="159">
        <f t="shared" si="34"/>
        <v>0</v>
      </c>
      <c r="K53" s="160">
        <f>'Input Data'!AI13</f>
        <v>0</v>
      </c>
      <c r="L53" s="161">
        <f t="shared" si="23"/>
        <v>0</v>
      </c>
      <c r="M53" s="161">
        <f t="shared" si="35"/>
        <v>0</v>
      </c>
      <c r="N53" s="161">
        <f t="shared" si="41"/>
        <v>0</v>
      </c>
      <c r="O53" s="162">
        <f t="shared" si="36"/>
        <v>0</v>
      </c>
      <c r="P53" s="163">
        <f t="shared" si="37"/>
        <v>0</v>
      </c>
      <c r="Q53" s="161">
        <f t="shared" si="38"/>
        <v>0</v>
      </c>
      <c r="R53" s="89">
        <f>'Input Data'!$C$106/100/12</f>
        <v>0</v>
      </c>
      <c r="S53" s="164">
        <f t="shared" si="40"/>
        <v>0</v>
      </c>
      <c r="T53" s="165">
        <f t="shared" si="39"/>
        <v>0</v>
      </c>
      <c r="U53" s="10"/>
      <c r="V53" s="261"/>
      <c r="W53" t="s">
        <v>18</v>
      </c>
      <c r="Y53" s="69">
        <f>Y51-Y52</f>
        <v>0</v>
      </c>
      <c r="Z53" t="s">
        <v>200</v>
      </c>
    </row>
    <row r="54" spans="2:26">
      <c r="B54" s="264"/>
      <c r="C54" s="170" t="s">
        <v>108</v>
      </c>
      <c r="D54" s="166">
        <f>'Input Data'!K38</f>
        <v>0</v>
      </c>
      <c r="E54" s="132"/>
      <c r="F54" s="133" t="s">
        <v>138</v>
      </c>
      <c r="G54" s="156" t="s">
        <v>9</v>
      </c>
      <c r="H54" s="157">
        <f>'Input Data'!M31</f>
        <v>0</v>
      </c>
      <c r="I54" s="158">
        <f t="shared" si="42"/>
        <v>0</v>
      </c>
      <c r="J54" s="159">
        <f t="shared" si="34"/>
        <v>0</v>
      </c>
      <c r="K54" s="160">
        <f>'Input Data'!AI14</f>
        <v>0</v>
      </c>
      <c r="L54" s="161">
        <f t="shared" si="23"/>
        <v>0</v>
      </c>
      <c r="M54" s="161">
        <f t="shared" si="35"/>
        <v>0</v>
      </c>
      <c r="N54" s="161">
        <f t="shared" si="41"/>
        <v>0</v>
      </c>
      <c r="O54" s="162">
        <f t="shared" si="36"/>
        <v>0</v>
      </c>
      <c r="P54" s="163">
        <f t="shared" si="37"/>
        <v>0</v>
      </c>
      <c r="Q54" s="161">
        <f t="shared" si="38"/>
        <v>0</v>
      </c>
      <c r="R54" s="89">
        <f>'Input Data'!$C$107/100/12</f>
        <v>0</v>
      </c>
      <c r="S54" s="164">
        <f t="shared" si="40"/>
        <v>0</v>
      </c>
      <c r="T54" s="165">
        <f t="shared" si="39"/>
        <v>0</v>
      </c>
      <c r="U54" s="10"/>
      <c r="V54" s="261"/>
      <c r="W54" t="s">
        <v>34</v>
      </c>
      <c r="Y54" s="39">
        <f>S57+T70</f>
        <v>0</v>
      </c>
      <c r="Z54" t="s">
        <v>201</v>
      </c>
    </row>
    <row r="55" spans="2:26">
      <c r="B55" s="264"/>
      <c r="C55" s="168" t="s">
        <v>150</v>
      </c>
      <c r="D55" s="132"/>
      <c r="E55" s="171">
        <f>IFERROR(ROUND(-E52/D54,4),0)</f>
        <v>0</v>
      </c>
      <c r="G55" s="156" t="s">
        <v>10</v>
      </c>
      <c r="H55" s="157">
        <f>'Input Data'!M32</f>
        <v>0</v>
      </c>
      <c r="I55" s="158">
        <f t="shared" si="42"/>
        <v>0</v>
      </c>
      <c r="J55" s="159">
        <f t="shared" si="34"/>
        <v>0</v>
      </c>
      <c r="K55" s="160">
        <f>'Input Data'!AI15</f>
        <v>0</v>
      </c>
      <c r="L55" s="161">
        <f t="shared" si="23"/>
        <v>0</v>
      </c>
      <c r="M55" s="161">
        <f t="shared" si="35"/>
        <v>0</v>
      </c>
      <c r="N55" s="161">
        <f t="shared" si="41"/>
        <v>0</v>
      </c>
      <c r="O55" s="162">
        <f t="shared" si="36"/>
        <v>0</v>
      </c>
      <c r="P55" s="163">
        <f t="shared" si="37"/>
        <v>0</v>
      </c>
      <c r="Q55" s="161">
        <f t="shared" si="38"/>
        <v>0</v>
      </c>
      <c r="R55" s="89">
        <f>'Input Data'!$C$107/100/12</f>
        <v>0</v>
      </c>
      <c r="S55" s="164">
        <f t="shared" si="40"/>
        <v>0</v>
      </c>
      <c r="T55" s="165">
        <f t="shared" si="39"/>
        <v>0</v>
      </c>
      <c r="U55" s="10"/>
      <c r="V55" s="262"/>
      <c r="W55" s="21"/>
      <c r="X55" s="21"/>
      <c r="Y55" s="22"/>
    </row>
    <row r="56" spans="2:26">
      <c r="B56" s="264"/>
      <c r="C56" s="132"/>
      <c r="D56" s="132"/>
      <c r="E56" s="132"/>
      <c r="G56" s="156" t="s">
        <v>11</v>
      </c>
      <c r="H56" s="157">
        <f>'Input Data'!M33</f>
        <v>0</v>
      </c>
      <c r="I56" s="158">
        <f t="shared" si="42"/>
        <v>0</v>
      </c>
      <c r="J56" s="159">
        <f t="shared" si="34"/>
        <v>0</v>
      </c>
      <c r="K56" s="160">
        <f>'Input Data'!AI16</f>
        <v>0</v>
      </c>
      <c r="L56" s="161">
        <f t="shared" si="23"/>
        <v>0</v>
      </c>
      <c r="M56" s="161">
        <f t="shared" si="35"/>
        <v>0</v>
      </c>
      <c r="N56" s="161">
        <f t="shared" si="41"/>
        <v>0</v>
      </c>
      <c r="O56" s="162">
        <f t="shared" si="36"/>
        <v>0</v>
      </c>
      <c r="P56" s="163">
        <f t="shared" si="37"/>
        <v>0</v>
      </c>
      <c r="Q56" s="161">
        <f t="shared" si="38"/>
        <v>0</v>
      </c>
      <c r="R56" s="89">
        <f>'Input Data'!$C$107/100/12</f>
        <v>0</v>
      </c>
      <c r="S56" s="164">
        <f t="shared" si="40"/>
        <v>0</v>
      </c>
      <c r="T56" s="165">
        <f t="shared" si="39"/>
        <v>0</v>
      </c>
      <c r="U56" s="10"/>
    </row>
    <row r="57" spans="2:26" ht="15.75" thickBot="1">
      <c r="B57" s="265"/>
      <c r="C57" s="172"/>
      <c r="D57" s="172"/>
      <c r="E57" s="172"/>
      <c r="F57" s="134"/>
      <c r="G57" s="173" t="s">
        <v>14</v>
      </c>
      <c r="H57" s="174">
        <f>SUM(H45:H56)</f>
        <v>0</v>
      </c>
      <c r="I57" s="175"/>
      <c r="J57" s="176">
        <f t="shared" ref="J57:M57" si="43">SUM(J45:J56)</f>
        <v>0</v>
      </c>
      <c r="K57" s="177">
        <f t="shared" si="43"/>
        <v>0</v>
      </c>
      <c r="L57" s="178">
        <f t="shared" si="43"/>
        <v>0</v>
      </c>
      <c r="M57" s="178">
        <f t="shared" si="43"/>
        <v>0</v>
      </c>
      <c r="N57" s="178">
        <f>SUM(N45:N56)</f>
        <v>0</v>
      </c>
      <c r="O57" s="176">
        <f>SUM(O45:O56)</f>
        <v>0</v>
      </c>
      <c r="P57" s="177">
        <f>SUM(P45:P56)</f>
        <v>0</v>
      </c>
      <c r="Q57" s="179"/>
      <c r="R57" s="175"/>
      <c r="S57" s="178">
        <f>SUM(S45:S56)</f>
        <v>0</v>
      </c>
      <c r="T57" s="180">
        <f>SUM(T45:T56)</f>
        <v>0</v>
      </c>
      <c r="U57" s="11"/>
    </row>
    <row r="58" spans="2:26">
      <c r="B58" s="263">
        <v>2028</v>
      </c>
      <c r="C58" s="155"/>
      <c r="D58" s="155"/>
      <c r="E58" s="155"/>
      <c r="F58" s="135"/>
      <c r="G58" s="156" t="s">
        <v>0</v>
      </c>
      <c r="H58" s="157">
        <f>'Input Data'!N22</f>
        <v>0</v>
      </c>
      <c r="I58" s="158">
        <f>I56</f>
        <v>0</v>
      </c>
      <c r="J58" s="159">
        <f t="shared" ref="J58:J69" si="44">H58*I58</f>
        <v>0</v>
      </c>
      <c r="K58" s="160">
        <f>'Input Data'!AL5</f>
        <v>0</v>
      </c>
      <c r="L58" s="161">
        <f t="shared" ref="L58:L69" si="45">-K58/2</f>
        <v>0</v>
      </c>
      <c r="M58" s="161">
        <f t="shared" ref="M58:M69" si="46">-K58/2</f>
        <v>0</v>
      </c>
      <c r="N58" s="161">
        <f t="shared" si="41"/>
        <v>0</v>
      </c>
      <c r="O58" s="162">
        <f t="shared" ref="O58:O69" si="47">M58+N58</f>
        <v>0</v>
      </c>
      <c r="P58" s="163">
        <f t="shared" ref="P58:P69" si="48">O58-J58</f>
        <v>0</v>
      </c>
      <c r="Q58" s="161">
        <f>P58</f>
        <v>0</v>
      </c>
      <c r="R58" s="89">
        <f>'Input Data'!$C$108/100/12</f>
        <v>0</v>
      </c>
      <c r="S58" s="164"/>
      <c r="T58" s="165">
        <f>$P$57*R58</f>
        <v>0</v>
      </c>
      <c r="U58" s="10"/>
    </row>
    <row r="59" spans="2:26" ht="14.45" customHeight="1">
      <c r="B59" s="264"/>
      <c r="C59" s="156" t="s">
        <v>81</v>
      </c>
      <c r="D59" s="166">
        <f>'Input Data'!X55</f>
        <v>0</v>
      </c>
      <c r="E59" s="132"/>
      <c r="F59" s="133" t="s">
        <v>190</v>
      </c>
      <c r="G59" s="156" t="s">
        <v>1</v>
      </c>
      <c r="H59" s="157">
        <f>'Input Data'!N23</f>
        <v>0</v>
      </c>
      <c r="I59" s="158">
        <f>I58</f>
        <v>0</v>
      </c>
      <c r="J59" s="159">
        <f t="shared" si="44"/>
        <v>0</v>
      </c>
      <c r="K59" s="160">
        <f>'Input Data'!AL6</f>
        <v>0</v>
      </c>
      <c r="L59" s="161">
        <f t="shared" si="45"/>
        <v>0</v>
      </c>
      <c r="M59" s="161">
        <f t="shared" si="46"/>
        <v>0</v>
      </c>
      <c r="N59" s="161">
        <f t="shared" si="41"/>
        <v>0</v>
      </c>
      <c r="O59" s="162">
        <f t="shared" si="47"/>
        <v>0</v>
      </c>
      <c r="P59" s="163">
        <f t="shared" si="48"/>
        <v>0</v>
      </c>
      <c r="Q59" s="161">
        <f t="shared" ref="Q59:Q69" si="49">P59+Q58</f>
        <v>0</v>
      </c>
      <c r="R59" s="89">
        <f>'Input Data'!$C$108/100/12</f>
        <v>0</v>
      </c>
      <c r="S59" s="164">
        <f>Q58*R59</f>
        <v>0</v>
      </c>
      <c r="T59" s="165">
        <f t="shared" ref="T59:T69" si="50">$P$57*R59</f>
        <v>0</v>
      </c>
      <c r="U59" s="10"/>
      <c r="V59" s="260" t="s">
        <v>245</v>
      </c>
      <c r="W59" s="16"/>
      <c r="X59" s="16"/>
      <c r="Y59" s="17"/>
    </row>
    <row r="60" spans="2:26">
      <c r="B60" s="264"/>
      <c r="C60" s="156" t="s">
        <v>107</v>
      </c>
      <c r="D60" s="167">
        <f>'Input Data'!C68/1000</f>
        <v>0</v>
      </c>
      <c r="E60" s="132"/>
      <c r="F60" s="133" t="s">
        <v>240</v>
      </c>
      <c r="G60" s="156" t="s">
        <v>2</v>
      </c>
      <c r="H60" s="157">
        <f>'Input Data'!N24</f>
        <v>0</v>
      </c>
      <c r="I60" s="158">
        <f>I59</f>
        <v>0</v>
      </c>
      <c r="J60" s="159">
        <f t="shared" si="44"/>
        <v>0</v>
      </c>
      <c r="K60" s="160">
        <f>'Input Data'!AL7</f>
        <v>0</v>
      </c>
      <c r="L60" s="161">
        <f t="shared" si="45"/>
        <v>0</v>
      </c>
      <c r="M60" s="161">
        <f t="shared" si="46"/>
        <v>0</v>
      </c>
      <c r="N60" s="161">
        <f t="shared" si="41"/>
        <v>0</v>
      </c>
      <c r="O60" s="162">
        <f t="shared" si="47"/>
        <v>0</v>
      </c>
      <c r="P60" s="163">
        <f t="shared" si="48"/>
        <v>0</v>
      </c>
      <c r="Q60" s="161">
        <f t="shared" si="49"/>
        <v>0</v>
      </c>
      <c r="R60" s="89">
        <f>'Input Data'!$C$108/100/12</f>
        <v>0</v>
      </c>
      <c r="S60" s="164">
        <f t="shared" ref="S60:S69" si="51">Q59*R60</f>
        <v>0</v>
      </c>
      <c r="T60" s="165">
        <f t="shared" si="50"/>
        <v>0</v>
      </c>
      <c r="U60" s="10"/>
      <c r="V60" s="261"/>
      <c r="W60" t="s">
        <v>15</v>
      </c>
      <c r="Y60" s="39">
        <f>K70</f>
        <v>0</v>
      </c>
      <c r="Z60" t="s">
        <v>104</v>
      </c>
    </row>
    <row r="61" spans="2:26">
      <c r="B61" s="264"/>
      <c r="C61" s="156" t="s">
        <v>120</v>
      </c>
      <c r="D61" s="164">
        <f>D59*D60</f>
        <v>0</v>
      </c>
      <c r="E61" s="132"/>
      <c r="G61" s="156" t="s">
        <v>3</v>
      </c>
      <c r="H61" s="157">
        <f>'Input Data'!N25</f>
        <v>0</v>
      </c>
      <c r="I61" s="158">
        <f>I60</f>
        <v>0</v>
      </c>
      <c r="J61" s="159">
        <f t="shared" si="44"/>
        <v>0</v>
      </c>
      <c r="K61" s="160">
        <f>'Input Data'!AL8</f>
        <v>0</v>
      </c>
      <c r="L61" s="161">
        <f t="shared" si="45"/>
        <v>0</v>
      </c>
      <c r="M61" s="161">
        <f t="shared" si="46"/>
        <v>0</v>
      </c>
      <c r="N61" s="161">
        <f t="shared" si="41"/>
        <v>0</v>
      </c>
      <c r="O61" s="162">
        <f t="shared" si="47"/>
        <v>0</v>
      </c>
      <c r="P61" s="163">
        <f t="shared" si="48"/>
        <v>0</v>
      </c>
      <c r="Q61" s="161">
        <f t="shared" si="49"/>
        <v>0</v>
      </c>
      <c r="R61" s="89">
        <f>'Input Data'!$C$109/100/12</f>
        <v>0</v>
      </c>
      <c r="S61" s="164">
        <f t="shared" si="51"/>
        <v>0</v>
      </c>
      <c r="T61" s="165">
        <f t="shared" si="50"/>
        <v>0</v>
      </c>
      <c r="U61" s="10"/>
      <c r="V61" s="261"/>
      <c r="W61" t="s">
        <v>92</v>
      </c>
      <c r="Y61" s="39">
        <f>L70</f>
        <v>0</v>
      </c>
      <c r="Z61" t="s">
        <v>31</v>
      </c>
    </row>
    <row r="62" spans="2:26">
      <c r="B62" s="264"/>
      <c r="C62" s="156" t="s">
        <v>121</v>
      </c>
      <c r="D62" s="132"/>
      <c r="E62" s="164">
        <f>D61/2</f>
        <v>0</v>
      </c>
      <c r="F62" s="133" t="s">
        <v>132</v>
      </c>
      <c r="G62" s="156" t="s">
        <v>4</v>
      </c>
      <c r="H62" s="157">
        <f>'Input Data'!N26</f>
        <v>0</v>
      </c>
      <c r="I62" s="158">
        <f>E68</f>
        <v>0</v>
      </c>
      <c r="J62" s="159">
        <f t="shared" si="44"/>
        <v>0</v>
      </c>
      <c r="K62" s="160">
        <f>'Input Data'!AL9</f>
        <v>0</v>
      </c>
      <c r="L62" s="161">
        <f t="shared" si="45"/>
        <v>0</v>
      </c>
      <c r="M62" s="161">
        <f t="shared" si="46"/>
        <v>0</v>
      </c>
      <c r="N62" s="161">
        <f>IF(H62=0,0,-($E$63+$E$64)/12)</f>
        <v>0</v>
      </c>
      <c r="O62" s="162">
        <f t="shared" si="47"/>
        <v>0</v>
      </c>
      <c r="P62" s="163">
        <f t="shared" si="48"/>
        <v>0</v>
      </c>
      <c r="Q62" s="161">
        <f t="shared" si="49"/>
        <v>0</v>
      </c>
      <c r="R62" s="89">
        <f>'Input Data'!$C$109/100/12</f>
        <v>0</v>
      </c>
      <c r="S62" s="164">
        <f t="shared" si="51"/>
        <v>0</v>
      </c>
      <c r="T62" s="165">
        <f t="shared" si="50"/>
        <v>0</v>
      </c>
      <c r="U62" s="10"/>
      <c r="V62" s="261"/>
      <c r="W62" t="s">
        <v>67</v>
      </c>
      <c r="X62" s="10">
        <f>M70</f>
        <v>0</v>
      </c>
      <c r="Y62" s="19"/>
      <c r="Z62" t="s">
        <v>105</v>
      </c>
    </row>
    <row r="63" spans="2:26">
      <c r="B63" s="264"/>
      <c r="C63" s="156" t="s">
        <v>109</v>
      </c>
      <c r="D63" s="132"/>
      <c r="E63" s="164">
        <f>-Y40</f>
        <v>0</v>
      </c>
      <c r="F63" s="133" t="s">
        <v>192</v>
      </c>
      <c r="G63" s="156" t="s">
        <v>5</v>
      </c>
      <c r="H63" s="157">
        <f>'Input Data'!N27</f>
        <v>0</v>
      </c>
      <c r="I63" s="158">
        <f>I62</f>
        <v>0</v>
      </c>
      <c r="J63" s="159">
        <f t="shared" si="44"/>
        <v>0</v>
      </c>
      <c r="K63" s="160">
        <f>'Input Data'!AL10</f>
        <v>0</v>
      </c>
      <c r="L63" s="161">
        <f t="shared" si="45"/>
        <v>0</v>
      </c>
      <c r="M63" s="161">
        <f t="shared" si="46"/>
        <v>0</v>
      </c>
      <c r="N63" s="161">
        <f t="shared" ref="N63:N69" si="52">IF(H63=0,0,-($E$63+$E$64)/12)</f>
        <v>0</v>
      </c>
      <c r="O63" s="162">
        <f t="shared" si="47"/>
        <v>0</v>
      </c>
      <c r="P63" s="163">
        <f t="shared" si="48"/>
        <v>0</v>
      </c>
      <c r="Q63" s="161">
        <f t="shared" si="49"/>
        <v>0</v>
      </c>
      <c r="R63" s="89">
        <f>'Input Data'!$C$109/100/12</f>
        <v>0</v>
      </c>
      <c r="S63" s="164">
        <f t="shared" si="51"/>
        <v>0</v>
      </c>
      <c r="T63" s="165">
        <f t="shared" si="50"/>
        <v>0</v>
      </c>
      <c r="U63" s="10"/>
      <c r="V63" s="261"/>
      <c r="W63" t="s">
        <v>260</v>
      </c>
      <c r="X63" s="36">
        <f>N70</f>
        <v>0</v>
      </c>
      <c r="Y63" s="19"/>
      <c r="Z63" t="s">
        <v>162</v>
      </c>
    </row>
    <row r="64" spans="2:26">
      <c r="B64" s="264"/>
      <c r="C64" s="156" t="s">
        <v>110</v>
      </c>
      <c r="D64" s="132"/>
      <c r="E64" s="164">
        <f>-Y41</f>
        <v>0</v>
      </c>
      <c r="F64" s="133" t="s">
        <v>193</v>
      </c>
      <c r="G64" s="156" t="s">
        <v>6</v>
      </c>
      <c r="H64" s="157">
        <f>'Input Data'!N28</f>
        <v>0</v>
      </c>
      <c r="I64" s="158">
        <f t="shared" ref="I64:I69" si="53">I63</f>
        <v>0</v>
      </c>
      <c r="J64" s="159">
        <f t="shared" si="44"/>
        <v>0</v>
      </c>
      <c r="K64" s="160">
        <f>'Input Data'!AL11</f>
        <v>0</v>
      </c>
      <c r="L64" s="161">
        <f t="shared" si="45"/>
        <v>0</v>
      </c>
      <c r="M64" s="161">
        <f t="shared" si="46"/>
        <v>0</v>
      </c>
      <c r="N64" s="161">
        <f t="shared" si="52"/>
        <v>0</v>
      </c>
      <c r="O64" s="162">
        <f t="shared" si="47"/>
        <v>0</v>
      </c>
      <c r="P64" s="163">
        <f t="shared" si="48"/>
        <v>0</v>
      </c>
      <c r="Q64" s="161">
        <f t="shared" si="49"/>
        <v>0</v>
      </c>
      <c r="R64" s="89">
        <f>'Input Data'!$C$110/100/12</f>
        <v>0</v>
      </c>
      <c r="S64" s="164">
        <f t="shared" si="51"/>
        <v>0</v>
      </c>
      <c r="T64" s="165">
        <f t="shared" si="50"/>
        <v>0</v>
      </c>
      <c r="U64" s="10"/>
      <c r="V64" s="261"/>
      <c r="W64" t="s">
        <v>32</v>
      </c>
      <c r="Y64" s="39">
        <f>X63+X62</f>
        <v>0</v>
      </c>
      <c r="Z64" t="s">
        <v>106</v>
      </c>
    </row>
    <row r="65" spans="2:26">
      <c r="B65" s="264"/>
      <c r="C65" s="168" t="s">
        <v>148</v>
      </c>
      <c r="D65" s="132"/>
      <c r="E65" s="169">
        <f>SUM(E62:E64)</f>
        <v>0</v>
      </c>
      <c r="G65" s="156" t="s">
        <v>7</v>
      </c>
      <c r="H65" s="157">
        <f>'Input Data'!N29</f>
        <v>0</v>
      </c>
      <c r="I65" s="158">
        <f t="shared" si="53"/>
        <v>0</v>
      </c>
      <c r="J65" s="159">
        <f t="shared" si="44"/>
        <v>0</v>
      </c>
      <c r="K65" s="160">
        <f>'Input Data'!AL12</f>
        <v>0</v>
      </c>
      <c r="L65" s="161">
        <f t="shared" si="45"/>
        <v>0</v>
      </c>
      <c r="M65" s="161">
        <f t="shared" si="46"/>
        <v>0</v>
      </c>
      <c r="N65" s="161">
        <f t="shared" si="52"/>
        <v>0</v>
      </c>
      <c r="O65" s="162">
        <f t="shared" si="47"/>
        <v>0</v>
      </c>
      <c r="P65" s="163">
        <f t="shared" si="48"/>
        <v>0</v>
      </c>
      <c r="Q65" s="161">
        <f t="shared" si="49"/>
        <v>0</v>
      </c>
      <c r="R65" s="89">
        <f>'Input Data'!$C$110/100/12</f>
        <v>0</v>
      </c>
      <c r="S65" s="164">
        <f t="shared" si="51"/>
        <v>0</v>
      </c>
      <c r="T65" s="165">
        <f t="shared" si="50"/>
        <v>0</v>
      </c>
      <c r="U65" s="10"/>
      <c r="V65" s="261"/>
      <c r="W65" t="s">
        <v>33</v>
      </c>
      <c r="Y65" s="56">
        <f>J70</f>
        <v>0</v>
      </c>
      <c r="Z65" t="s">
        <v>149</v>
      </c>
    </row>
    <row r="66" spans="2:26">
      <c r="B66" s="264"/>
      <c r="C66" s="132"/>
      <c r="D66" s="132"/>
      <c r="E66" s="132"/>
      <c r="G66" s="156" t="s">
        <v>8</v>
      </c>
      <c r="H66" s="157">
        <f>'Input Data'!N30</f>
        <v>0</v>
      </c>
      <c r="I66" s="158">
        <f t="shared" si="53"/>
        <v>0</v>
      </c>
      <c r="J66" s="159">
        <f t="shared" si="44"/>
        <v>0</v>
      </c>
      <c r="K66" s="160">
        <f>'Input Data'!AL13</f>
        <v>0</v>
      </c>
      <c r="L66" s="161">
        <f t="shared" si="45"/>
        <v>0</v>
      </c>
      <c r="M66" s="161">
        <f t="shared" si="46"/>
        <v>0</v>
      </c>
      <c r="N66" s="161">
        <f t="shared" si="52"/>
        <v>0</v>
      </c>
      <c r="O66" s="162">
        <f t="shared" si="47"/>
        <v>0</v>
      </c>
      <c r="P66" s="163">
        <f t="shared" si="48"/>
        <v>0</v>
      </c>
      <c r="Q66" s="161">
        <f t="shared" si="49"/>
        <v>0</v>
      </c>
      <c r="R66" s="89">
        <f>'Input Data'!$C$110/100/12</f>
        <v>0</v>
      </c>
      <c r="S66" s="164">
        <f t="shared" si="51"/>
        <v>0</v>
      </c>
      <c r="T66" s="165">
        <f t="shared" si="50"/>
        <v>0</v>
      </c>
      <c r="U66" s="10"/>
      <c r="V66" s="261"/>
      <c r="W66" t="s">
        <v>18</v>
      </c>
      <c r="Y66" s="69">
        <f>Y64-Y65</f>
        <v>0</v>
      </c>
      <c r="Z66" t="s">
        <v>202</v>
      </c>
    </row>
    <row r="67" spans="2:26">
      <c r="B67" s="264"/>
      <c r="C67" s="170" t="s">
        <v>108</v>
      </c>
      <c r="D67" s="166">
        <f>'Input Data'!L38</f>
        <v>0</v>
      </c>
      <c r="E67" s="132"/>
      <c r="F67" s="133" t="s">
        <v>194</v>
      </c>
      <c r="G67" s="156" t="s">
        <v>9</v>
      </c>
      <c r="H67" s="157">
        <f>'Input Data'!N31</f>
        <v>0</v>
      </c>
      <c r="I67" s="158">
        <f t="shared" si="53"/>
        <v>0</v>
      </c>
      <c r="J67" s="159">
        <f t="shared" si="44"/>
        <v>0</v>
      </c>
      <c r="K67" s="160">
        <f>'Input Data'!AL14</f>
        <v>0</v>
      </c>
      <c r="L67" s="161">
        <f t="shared" si="45"/>
        <v>0</v>
      </c>
      <c r="M67" s="161">
        <f t="shared" si="46"/>
        <v>0</v>
      </c>
      <c r="N67" s="161">
        <f t="shared" si="52"/>
        <v>0</v>
      </c>
      <c r="O67" s="162">
        <f t="shared" si="47"/>
        <v>0</v>
      </c>
      <c r="P67" s="163">
        <f t="shared" si="48"/>
        <v>0</v>
      </c>
      <c r="Q67" s="161">
        <f t="shared" si="49"/>
        <v>0</v>
      </c>
      <c r="R67" s="89">
        <f>'Input Data'!$C$111/100/12</f>
        <v>0</v>
      </c>
      <c r="S67" s="164">
        <f t="shared" si="51"/>
        <v>0</v>
      </c>
      <c r="T67" s="165">
        <f t="shared" si="50"/>
        <v>0</v>
      </c>
      <c r="U67" s="10"/>
      <c r="V67" s="261"/>
      <c r="W67" t="s">
        <v>34</v>
      </c>
      <c r="Y67" s="39">
        <f>S70+T83</f>
        <v>0</v>
      </c>
      <c r="Z67" t="s">
        <v>203</v>
      </c>
    </row>
    <row r="68" spans="2:26">
      <c r="B68" s="264"/>
      <c r="C68" s="168" t="s">
        <v>189</v>
      </c>
      <c r="D68" s="132"/>
      <c r="E68" s="171">
        <f>IFERROR(ROUND(-E65/D67,4),0)</f>
        <v>0</v>
      </c>
      <c r="G68" s="156" t="s">
        <v>10</v>
      </c>
      <c r="H68" s="157">
        <f>'Input Data'!N32</f>
        <v>0</v>
      </c>
      <c r="I68" s="158">
        <f t="shared" si="53"/>
        <v>0</v>
      </c>
      <c r="J68" s="159">
        <f t="shared" si="44"/>
        <v>0</v>
      </c>
      <c r="K68" s="160">
        <f>'Input Data'!AL15</f>
        <v>0</v>
      </c>
      <c r="L68" s="161">
        <f t="shared" si="45"/>
        <v>0</v>
      </c>
      <c r="M68" s="161">
        <f t="shared" si="46"/>
        <v>0</v>
      </c>
      <c r="N68" s="161">
        <f t="shared" si="52"/>
        <v>0</v>
      </c>
      <c r="O68" s="162">
        <f t="shared" si="47"/>
        <v>0</v>
      </c>
      <c r="P68" s="163">
        <f t="shared" si="48"/>
        <v>0</v>
      </c>
      <c r="Q68" s="161">
        <f t="shared" si="49"/>
        <v>0</v>
      </c>
      <c r="R68" s="89">
        <f>'Input Data'!$C$111/100/12</f>
        <v>0</v>
      </c>
      <c r="S68" s="164">
        <f t="shared" si="51"/>
        <v>0</v>
      </c>
      <c r="T68" s="165">
        <f t="shared" si="50"/>
        <v>0</v>
      </c>
      <c r="U68" s="10"/>
      <c r="V68" s="262"/>
      <c r="W68" s="21"/>
      <c r="X68" s="21"/>
      <c r="Y68" s="22"/>
    </row>
    <row r="69" spans="2:26">
      <c r="B69" s="264"/>
      <c r="C69" s="132"/>
      <c r="D69" s="132"/>
      <c r="E69" s="132"/>
      <c r="G69" s="156" t="s">
        <v>11</v>
      </c>
      <c r="H69" s="157">
        <f>'Input Data'!N33</f>
        <v>0</v>
      </c>
      <c r="I69" s="158">
        <f t="shared" si="53"/>
        <v>0</v>
      </c>
      <c r="J69" s="159">
        <f t="shared" si="44"/>
        <v>0</v>
      </c>
      <c r="K69" s="160">
        <f>'Input Data'!AL16</f>
        <v>0</v>
      </c>
      <c r="L69" s="161">
        <f t="shared" si="45"/>
        <v>0</v>
      </c>
      <c r="M69" s="161">
        <f t="shared" si="46"/>
        <v>0</v>
      </c>
      <c r="N69" s="161">
        <f t="shared" si="52"/>
        <v>0</v>
      </c>
      <c r="O69" s="162">
        <f t="shared" si="47"/>
        <v>0</v>
      </c>
      <c r="P69" s="163">
        <f t="shared" si="48"/>
        <v>0</v>
      </c>
      <c r="Q69" s="161">
        <f t="shared" si="49"/>
        <v>0</v>
      </c>
      <c r="R69" s="89">
        <f>'Input Data'!$C$111/100/12</f>
        <v>0</v>
      </c>
      <c r="S69" s="164">
        <f t="shared" si="51"/>
        <v>0</v>
      </c>
      <c r="T69" s="165">
        <f t="shared" si="50"/>
        <v>0</v>
      </c>
      <c r="U69" s="10"/>
    </row>
    <row r="70" spans="2:26" ht="15.75" thickBot="1">
      <c r="B70" s="265"/>
      <c r="C70" s="172"/>
      <c r="D70" s="172"/>
      <c r="E70" s="172"/>
      <c r="F70" s="134"/>
      <c r="G70" s="173" t="s">
        <v>14</v>
      </c>
      <c r="H70" s="174">
        <f>SUM(H58:H69)</f>
        <v>0</v>
      </c>
      <c r="I70" s="175"/>
      <c r="J70" s="176">
        <f t="shared" ref="J70:P70" si="54">SUM(J58:J69)</f>
        <v>0</v>
      </c>
      <c r="K70" s="177">
        <f t="shared" si="54"/>
        <v>0</v>
      </c>
      <c r="L70" s="178">
        <f t="shared" si="54"/>
        <v>0</v>
      </c>
      <c r="M70" s="178">
        <f t="shared" si="54"/>
        <v>0</v>
      </c>
      <c r="N70" s="178">
        <f t="shared" si="54"/>
        <v>0</v>
      </c>
      <c r="O70" s="176">
        <f t="shared" si="54"/>
        <v>0</v>
      </c>
      <c r="P70" s="177">
        <f t="shared" si="54"/>
        <v>0</v>
      </c>
      <c r="Q70" s="179"/>
      <c r="R70" s="175"/>
      <c r="S70" s="178">
        <f>SUM(S58:S69)</f>
        <v>0</v>
      </c>
      <c r="T70" s="180">
        <f>SUM(T58:T69)</f>
        <v>0</v>
      </c>
      <c r="U70" s="11"/>
    </row>
    <row r="71" spans="2:26">
      <c r="X71" s="1"/>
    </row>
  </sheetData>
  <mergeCells count="12">
    <mergeCell ref="B32:B44"/>
    <mergeCell ref="V33:V42"/>
    <mergeCell ref="B45:B57"/>
    <mergeCell ref="V46:V55"/>
    <mergeCell ref="B58:B70"/>
    <mergeCell ref="V59:V68"/>
    <mergeCell ref="G2:T2"/>
    <mergeCell ref="C5:E5"/>
    <mergeCell ref="B6:B18"/>
    <mergeCell ref="V7:V16"/>
    <mergeCell ref="B19:B31"/>
    <mergeCell ref="V20:V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DD7F5-1492-454F-B5B0-95B8F9FD5735}">
  <sheetPr codeName="Sheet3"/>
  <dimension ref="B1:P43"/>
  <sheetViews>
    <sheetView workbookViewId="0">
      <selection sqref="A1:XFD1048576"/>
    </sheetView>
    <sheetView topLeftCell="A3" workbookViewId="1">
      <selection activeCell="D21" sqref="D21"/>
    </sheetView>
  </sheetViews>
  <sheetFormatPr defaultRowHeight="15"/>
  <cols>
    <col min="3" max="3" width="11.28515625" bestFit="1" customWidth="1"/>
    <col min="4" max="4" width="11.5703125" bestFit="1" customWidth="1"/>
    <col min="5" max="6" width="12.28515625" bestFit="1" customWidth="1"/>
    <col min="7" max="7" width="11.5703125" customWidth="1"/>
    <col min="8" max="8" width="8.42578125" bestFit="1" customWidth="1"/>
    <col min="9" max="9" width="11" customWidth="1"/>
    <col min="10" max="10" width="9.7109375" bestFit="1" customWidth="1"/>
    <col min="13" max="13" width="33.5703125" bestFit="1" customWidth="1"/>
    <col min="14" max="14" width="11.140625" customWidth="1"/>
    <col min="15" max="15" width="13" customWidth="1"/>
    <col min="16" max="16" width="43" bestFit="1" customWidth="1"/>
  </cols>
  <sheetData>
    <row r="1" spans="2:16" ht="15.75" thickBot="1"/>
    <row r="2" spans="2:16" ht="15.75">
      <c r="C2" s="266" t="s">
        <v>112</v>
      </c>
      <c r="D2" s="267"/>
      <c r="E2" s="267"/>
      <c r="F2" s="267"/>
      <c r="G2" s="267"/>
      <c r="H2" s="267"/>
      <c r="I2" s="267"/>
      <c r="J2" s="268"/>
    </row>
    <row r="3" spans="2:16" ht="45">
      <c r="C3" s="53"/>
      <c r="D3" s="66" t="s">
        <v>15</v>
      </c>
      <c r="E3" s="67" t="s">
        <v>216</v>
      </c>
      <c r="F3" s="67" t="s">
        <v>67</v>
      </c>
      <c r="G3" s="64" t="s">
        <v>113</v>
      </c>
      <c r="H3" s="64" t="s">
        <v>22</v>
      </c>
      <c r="I3" s="64" t="s">
        <v>21</v>
      </c>
      <c r="J3" s="68" t="s">
        <v>86</v>
      </c>
    </row>
    <row r="4" spans="2:16" ht="15.75" thickBot="1">
      <c r="C4" s="55"/>
      <c r="D4" s="83" t="s">
        <v>23</v>
      </c>
      <c r="E4" s="84" t="s">
        <v>128</v>
      </c>
      <c r="F4" s="84" t="s">
        <v>129</v>
      </c>
      <c r="G4" s="81" t="s">
        <v>25</v>
      </c>
      <c r="H4" s="81" t="s">
        <v>130</v>
      </c>
      <c r="I4" s="81" t="s">
        <v>217</v>
      </c>
      <c r="J4" s="85"/>
    </row>
    <row r="5" spans="2:16">
      <c r="B5" s="257">
        <v>2023</v>
      </c>
      <c r="C5" t="s">
        <v>0</v>
      </c>
      <c r="D5" s="51"/>
      <c r="E5" s="10">
        <f t="shared" ref="E5:E16" si="0">-D5/2</f>
        <v>0</v>
      </c>
      <c r="F5" s="10">
        <f t="shared" ref="F5:F16" si="1">-D5/2</f>
        <v>0</v>
      </c>
      <c r="G5" s="10">
        <f>F5</f>
        <v>0</v>
      </c>
      <c r="H5" s="52">
        <f>'Input Data'!$C$88/100/12</f>
        <v>3.9416666666666671E-3</v>
      </c>
      <c r="I5" s="79">
        <f t="shared" ref="I5:I10" si="2">G5*H5</f>
        <v>0</v>
      </c>
      <c r="J5" s="54"/>
      <c r="K5" s="10"/>
    </row>
    <row r="6" spans="2:16">
      <c r="B6" s="258"/>
      <c r="C6" t="s">
        <v>1</v>
      </c>
      <c r="D6" s="51"/>
      <c r="E6" s="10">
        <f t="shared" si="0"/>
        <v>0</v>
      </c>
      <c r="F6" s="10">
        <f t="shared" si="1"/>
        <v>0</v>
      </c>
      <c r="G6" s="10">
        <f t="shared" ref="G6:G16" si="3">G5+F6</f>
        <v>0</v>
      </c>
      <c r="H6" s="52">
        <f>'Input Data'!$C$88/100/12</f>
        <v>3.9416666666666671E-3</v>
      </c>
      <c r="I6" s="79">
        <f t="shared" si="2"/>
        <v>0</v>
      </c>
      <c r="J6" s="54"/>
      <c r="K6" s="10"/>
      <c r="L6" s="111" t="s">
        <v>93</v>
      </c>
      <c r="M6" s="16"/>
      <c r="N6" s="16"/>
      <c r="O6" s="17"/>
    </row>
    <row r="7" spans="2:16">
      <c r="B7" s="258"/>
      <c r="C7" t="s">
        <v>2</v>
      </c>
      <c r="D7" s="51"/>
      <c r="E7" s="10">
        <f t="shared" si="0"/>
        <v>0</v>
      </c>
      <c r="F7" s="10">
        <f t="shared" si="1"/>
        <v>0</v>
      </c>
      <c r="G7" s="10">
        <f t="shared" si="3"/>
        <v>0</v>
      </c>
      <c r="H7" s="52">
        <f>'Input Data'!$C$88/100/12</f>
        <v>3.9416666666666671E-3</v>
      </c>
      <c r="I7" s="79">
        <f t="shared" si="2"/>
        <v>0</v>
      </c>
      <c r="J7" s="54"/>
      <c r="K7" s="10"/>
      <c r="L7" s="70"/>
      <c r="M7" t="s">
        <v>94</v>
      </c>
      <c r="O7" s="39">
        <f>D17</f>
        <v>1269949.6811176802</v>
      </c>
      <c r="P7" t="s">
        <v>104</v>
      </c>
    </row>
    <row r="8" spans="2:16">
      <c r="B8" s="258"/>
      <c r="C8" t="s">
        <v>3</v>
      </c>
      <c r="D8" s="51"/>
      <c r="E8" s="10">
        <f t="shared" si="0"/>
        <v>0</v>
      </c>
      <c r="F8" s="10">
        <f t="shared" si="1"/>
        <v>0</v>
      </c>
      <c r="G8" s="10">
        <f t="shared" si="3"/>
        <v>0</v>
      </c>
      <c r="H8" s="52">
        <f>'Input Data'!$C$89/100/12</f>
        <v>4.15E-3</v>
      </c>
      <c r="I8" s="79">
        <f t="shared" si="2"/>
        <v>0</v>
      </c>
      <c r="J8" s="54"/>
      <c r="K8" s="10"/>
      <c r="L8" s="70"/>
      <c r="M8" t="s">
        <v>92</v>
      </c>
      <c r="O8" s="39">
        <f>E17</f>
        <v>-634974.84055884008</v>
      </c>
      <c r="P8" t="s">
        <v>31</v>
      </c>
    </row>
    <row r="9" spans="2:16">
      <c r="B9" s="258"/>
      <c r="C9" t="s">
        <v>4</v>
      </c>
      <c r="D9" s="51"/>
      <c r="E9" s="10">
        <f t="shared" si="0"/>
        <v>0</v>
      </c>
      <c r="F9" s="10">
        <f t="shared" si="1"/>
        <v>0</v>
      </c>
      <c r="G9" s="10">
        <f t="shared" si="3"/>
        <v>0</v>
      </c>
      <c r="H9" s="52">
        <f>'Input Data'!$C$89/100/12</f>
        <v>4.15E-3</v>
      </c>
      <c r="I9" s="79">
        <f t="shared" si="2"/>
        <v>0</v>
      </c>
      <c r="J9" s="54"/>
      <c r="K9" s="10"/>
      <c r="L9" s="70"/>
      <c r="M9" t="s">
        <v>114</v>
      </c>
      <c r="O9" s="39">
        <f>F17</f>
        <v>-634974.84055884008</v>
      </c>
      <c r="P9" t="s">
        <v>115</v>
      </c>
    </row>
    <row r="10" spans="2:16">
      <c r="B10" s="258"/>
      <c r="C10" t="s">
        <v>5</v>
      </c>
      <c r="D10" s="51"/>
      <c r="E10" s="10">
        <f t="shared" si="0"/>
        <v>0</v>
      </c>
      <c r="F10" s="10">
        <f t="shared" si="1"/>
        <v>0</v>
      </c>
      <c r="G10" s="10">
        <f t="shared" si="3"/>
        <v>0</v>
      </c>
      <c r="H10" s="52">
        <f>'Input Data'!$C$89/100/12</f>
        <v>4.15E-3</v>
      </c>
      <c r="I10" s="79">
        <f t="shared" si="2"/>
        <v>0</v>
      </c>
      <c r="J10" s="54"/>
      <c r="K10" s="10"/>
      <c r="L10" s="71"/>
      <c r="M10" s="21" t="s">
        <v>19</v>
      </c>
      <c r="N10" s="21"/>
      <c r="O10" s="56">
        <f>I17+J30</f>
        <v>-42731.049316130317</v>
      </c>
      <c r="P10" t="s">
        <v>116</v>
      </c>
    </row>
    <row r="11" spans="2:16">
      <c r="B11" s="258"/>
      <c r="C11" t="s">
        <v>6</v>
      </c>
      <c r="D11" s="86">
        <f>'Input Data'!W11</f>
        <v>256400.04</v>
      </c>
      <c r="E11" s="10">
        <f>-D11/2</f>
        <v>-128200.02</v>
      </c>
      <c r="F11" s="10">
        <f t="shared" si="1"/>
        <v>-128200.02</v>
      </c>
      <c r="G11" s="10">
        <f t="shared" si="3"/>
        <v>-128200.02</v>
      </c>
      <c r="H11" s="88">
        <f>'Input Data'!$C$90/100/12</f>
        <v>4.15E-3</v>
      </c>
      <c r="I11" s="79">
        <f>G10*H11</f>
        <v>0</v>
      </c>
      <c r="J11" s="54"/>
      <c r="K11" s="10"/>
    </row>
    <row r="12" spans="2:16">
      <c r="B12" s="258"/>
      <c r="C12" t="s">
        <v>7</v>
      </c>
      <c r="D12" s="86">
        <f>'Input Data'!W12</f>
        <v>388490.9</v>
      </c>
      <c r="E12" s="10">
        <f t="shared" si="0"/>
        <v>-194245.45</v>
      </c>
      <c r="F12" s="10">
        <f t="shared" si="1"/>
        <v>-194245.45</v>
      </c>
      <c r="G12" s="10">
        <f t="shared" si="3"/>
        <v>-322445.47000000003</v>
      </c>
      <c r="H12" s="88">
        <f>'Input Data'!$C$90/100/12</f>
        <v>4.15E-3</v>
      </c>
      <c r="I12" s="79">
        <f t="shared" ref="I12:I16" si="4">G11*H12</f>
        <v>-532.03008299999999</v>
      </c>
      <c r="J12" s="54"/>
      <c r="K12" s="10"/>
    </row>
    <row r="13" spans="2:16">
      <c r="B13" s="258"/>
      <c r="C13" t="s">
        <v>8</v>
      </c>
      <c r="D13" s="86">
        <f>'Input Data'!W13</f>
        <v>202525.97</v>
      </c>
      <c r="E13" s="10">
        <f t="shared" si="0"/>
        <v>-101262.985</v>
      </c>
      <c r="F13" s="10">
        <f t="shared" si="1"/>
        <v>-101262.985</v>
      </c>
      <c r="G13" s="10">
        <f t="shared" si="3"/>
        <v>-423708.45500000002</v>
      </c>
      <c r="H13" s="88">
        <f>'Input Data'!$C$90/100/12</f>
        <v>4.15E-3</v>
      </c>
      <c r="I13" s="79">
        <f t="shared" si="4"/>
        <v>-1338.1487005000001</v>
      </c>
      <c r="J13" s="54"/>
      <c r="K13" s="10"/>
    </row>
    <row r="14" spans="2:16">
      <c r="B14" s="258"/>
      <c r="C14" t="s">
        <v>9</v>
      </c>
      <c r="D14" s="86">
        <f>'Input Data'!W14</f>
        <v>185558.62950044</v>
      </c>
      <c r="E14" s="10">
        <f t="shared" si="0"/>
        <v>-92779.314750220001</v>
      </c>
      <c r="F14" s="10">
        <f t="shared" si="1"/>
        <v>-92779.314750220001</v>
      </c>
      <c r="G14" s="10">
        <f t="shared" si="3"/>
        <v>-516487.76975022</v>
      </c>
      <c r="H14" s="88">
        <f>'Input Data'!$C$91/100/12</f>
        <v>4.5750000000000001E-3</v>
      </c>
      <c r="I14" s="79">
        <f t="shared" si="4"/>
        <v>-1938.4661816250002</v>
      </c>
      <c r="J14" s="54"/>
      <c r="K14" s="10"/>
    </row>
    <row r="15" spans="2:16">
      <c r="B15" s="258"/>
      <c r="C15" t="s">
        <v>10</v>
      </c>
      <c r="D15" s="86">
        <f>'Input Data'!W15</f>
        <v>112409.19340800002</v>
      </c>
      <c r="E15" s="10">
        <f t="shared" si="0"/>
        <v>-56204.596704000011</v>
      </c>
      <c r="F15" s="10">
        <f t="shared" si="1"/>
        <v>-56204.596704000011</v>
      </c>
      <c r="G15" s="10">
        <f t="shared" si="3"/>
        <v>-572692.36645422003</v>
      </c>
      <c r="H15" s="88">
        <f>'Input Data'!$C$91/100/12</f>
        <v>4.5750000000000001E-3</v>
      </c>
      <c r="I15" s="79">
        <f t="shared" si="4"/>
        <v>-2362.9315466072567</v>
      </c>
      <c r="J15" s="54"/>
      <c r="K15" s="10"/>
    </row>
    <row r="16" spans="2:16">
      <c r="B16" s="258"/>
      <c r="C16" t="s">
        <v>11</v>
      </c>
      <c r="D16" s="86">
        <f>'Input Data'!W16</f>
        <v>124564.94820924</v>
      </c>
      <c r="E16" s="10">
        <f t="shared" si="0"/>
        <v>-62282.47410462</v>
      </c>
      <c r="F16" s="10">
        <f t="shared" si="1"/>
        <v>-62282.47410462</v>
      </c>
      <c r="G16" s="10">
        <f t="shared" si="3"/>
        <v>-634974.84055884008</v>
      </c>
      <c r="H16" s="88">
        <f>'Input Data'!$C$91/100/12</f>
        <v>4.5750000000000001E-3</v>
      </c>
      <c r="I16" s="79">
        <f t="shared" si="4"/>
        <v>-2620.0675765280566</v>
      </c>
      <c r="J16" s="54"/>
      <c r="K16" s="10"/>
    </row>
    <row r="17" spans="2:16" ht="15.75" thickBot="1">
      <c r="B17" s="259"/>
      <c r="C17" s="94" t="s">
        <v>14</v>
      </c>
      <c r="D17" s="96">
        <f>SUM(D5:D16)</f>
        <v>1269949.6811176802</v>
      </c>
      <c r="E17" s="97">
        <f>SUM(E5:E16)</f>
        <v>-634974.84055884008</v>
      </c>
      <c r="F17" s="97">
        <f>SUM(F5:F16)</f>
        <v>-634974.84055884008</v>
      </c>
      <c r="G17" s="98"/>
      <c r="H17" s="94"/>
      <c r="I17" s="97">
        <f>SUM(I5:I16)</f>
        <v>-8791.6440882603129</v>
      </c>
      <c r="J17" s="99">
        <f>SUM(J5:J16)</f>
        <v>0</v>
      </c>
      <c r="K17" s="11"/>
    </row>
    <row r="18" spans="2:16">
      <c r="B18" s="263">
        <v>2024</v>
      </c>
      <c r="C18" s="226" t="s">
        <v>0</v>
      </c>
      <c r="D18" s="160">
        <f>'Input Data'!Z5</f>
        <v>87567.933434679988</v>
      </c>
      <c r="E18" s="227">
        <f t="shared" ref="E18:E29" si="5">-D18/2</f>
        <v>-43783.966717339994</v>
      </c>
      <c r="F18" s="227">
        <f t="shared" ref="F18:F29" si="6">-D18/2</f>
        <v>-43783.966717339994</v>
      </c>
      <c r="G18" s="227">
        <f>F18</f>
        <v>-43783.966717339994</v>
      </c>
      <c r="H18" s="228">
        <f>'Input Data'!$C$92/100/12</f>
        <v>4.5750000000000001E-3</v>
      </c>
      <c r="I18" s="229"/>
      <c r="J18" s="192">
        <f>$G$16*H18</f>
        <v>-2905.0098955566932</v>
      </c>
      <c r="K18" s="10"/>
    </row>
    <row r="19" spans="2:16">
      <c r="B19" s="264"/>
      <c r="C19" s="156" t="s">
        <v>1</v>
      </c>
      <c r="D19" s="160">
        <f>'Input Data'!Z6</f>
        <v>142970.66640000002</v>
      </c>
      <c r="E19" s="161">
        <f t="shared" si="5"/>
        <v>-71485.333200000008</v>
      </c>
      <c r="F19" s="161">
        <f t="shared" si="6"/>
        <v>-71485.333200000008</v>
      </c>
      <c r="G19" s="161">
        <f t="shared" ref="G19:G29" si="7">G18+F19</f>
        <v>-115269.29991734</v>
      </c>
      <c r="H19" s="89">
        <f>'Input Data'!$C$92/100/12</f>
        <v>4.5750000000000001E-3</v>
      </c>
      <c r="I19" s="164">
        <f>G18*H19</f>
        <v>-200.31164773183048</v>
      </c>
      <c r="J19" s="192">
        <f t="shared" ref="J19:J29" si="8">$G$16*H19</f>
        <v>-2905.0098955566932</v>
      </c>
      <c r="K19" s="10"/>
      <c r="L19" s="111" t="s">
        <v>93</v>
      </c>
      <c r="M19" s="16"/>
      <c r="N19" s="16"/>
      <c r="O19" s="17"/>
    </row>
    <row r="20" spans="2:16">
      <c r="B20" s="264"/>
      <c r="C20" s="156" t="s">
        <v>2</v>
      </c>
      <c r="D20" s="160">
        <f>'Input Data'!Z7</f>
        <v>255343.31799923003</v>
      </c>
      <c r="E20" s="161">
        <f t="shared" si="5"/>
        <v>-127671.65899961501</v>
      </c>
      <c r="F20" s="161">
        <f t="shared" si="6"/>
        <v>-127671.65899961501</v>
      </c>
      <c r="G20" s="161">
        <f t="shared" si="7"/>
        <v>-242940.95891695502</v>
      </c>
      <c r="H20" s="89">
        <f>'Input Data'!$C$92/100/12</f>
        <v>4.5750000000000001E-3</v>
      </c>
      <c r="I20" s="164">
        <f t="shared" ref="I20:I29" si="9">G19*H20</f>
        <v>-527.35704712183053</v>
      </c>
      <c r="J20" s="192">
        <f t="shared" si="8"/>
        <v>-2905.0098955566932</v>
      </c>
      <c r="K20" s="10"/>
      <c r="L20" s="70"/>
      <c r="M20" t="s">
        <v>94</v>
      </c>
      <c r="O20" s="39">
        <f>D30</f>
        <v>827414.15917700005</v>
      </c>
      <c r="P20" t="s">
        <v>104</v>
      </c>
    </row>
    <row r="21" spans="2:16">
      <c r="B21" s="264"/>
      <c r="C21" s="156" t="s">
        <v>3</v>
      </c>
      <c r="D21" s="160">
        <f>'Input Data'!Z8</f>
        <v>341532.24134309002</v>
      </c>
      <c r="E21" s="161">
        <f t="shared" si="5"/>
        <v>-170766.12067154501</v>
      </c>
      <c r="F21" s="161">
        <f t="shared" si="6"/>
        <v>-170766.12067154501</v>
      </c>
      <c r="G21" s="161">
        <f t="shared" si="7"/>
        <v>-413707.07958850003</v>
      </c>
      <c r="H21" s="89">
        <f>'Input Data'!$C$93/100/12</f>
        <v>4.5750000000000001E-3</v>
      </c>
      <c r="I21" s="164">
        <f t="shared" si="9"/>
        <v>-1111.4548870450692</v>
      </c>
      <c r="J21" s="192">
        <f t="shared" si="8"/>
        <v>-2905.0098955566932</v>
      </c>
      <c r="K21" s="10"/>
      <c r="L21" s="70"/>
      <c r="M21" t="s">
        <v>92</v>
      </c>
      <c r="O21" s="39">
        <f>E30</f>
        <v>-413707.07958850003</v>
      </c>
      <c r="P21" t="s">
        <v>31</v>
      </c>
    </row>
    <row r="22" spans="2:16">
      <c r="B22" s="264"/>
      <c r="C22" s="156" t="s">
        <v>4</v>
      </c>
      <c r="D22" s="163"/>
      <c r="E22" s="161">
        <f t="shared" si="5"/>
        <v>0</v>
      </c>
      <c r="F22" s="161">
        <f t="shared" si="6"/>
        <v>0</v>
      </c>
      <c r="G22" s="161">
        <f t="shared" si="7"/>
        <v>-413707.07958850003</v>
      </c>
      <c r="H22" s="89">
        <f>'Input Data'!$C$93/100/12</f>
        <v>4.5750000000000001E-3</v>
      </c>
      <c r="I22" s="164">
        <f t="shared" si="9"/>
        <v>-1892.7098891173875</v>
      </c>
      <c r="J22" s="192">
        <f t="shared" si="8"/>
        <v>-2905.0098955566932</v>
      </c>
      <c r="K22" s="10"/>
      <c r="L22" s="70"/>
      <c r="M22" t="s">
        <v>114</v>
      </c>
      <c r="O22" s="39">
        <f>F30</f>
        <v>-413707.07958850003</v>
      </c>
      <c r="P22" t="s">
        <v>117</v>
      </c>
    </row>
    <row r="23" spans="2:16">
      <c r="B23" s="264"/>
      <c r="C23" s="156" t="s">
        <v>5</v>
      </c>
      <c r="D23" s="163"/>
      <c r="E23" s="161">
        <f t="shared" si="5"/>
        <v>0</v>
      </c>
      <c r="F23" s="161">
        <f t="shared" si="6"/>
        <v>0</v>
      </c>
      <c r="G23" s="161">
        <f t="shared" si="7"/>
        <v>-413707.07958850003</v>
      </c>
      <c r="H23" s="89">
        <f>'Input Data'!$C$93/100/12</f>
        <v>4.5750000000000001E-3</v>
      </c>
      <c r="I23" s="164">
        <f t="shared" si="9"/>
        <v>-1892.7098891173875</v>
      </c>
      <c r="J23" s="192">
        <f t="shared" si="8"/>
        <v>-2905.0098955566932</v>
      </c>
      <c r="K23" s="10"/>
      <c r="L23" s="71"/>
      <c r="M23" s="21" t="s">
        <v>19</v>
      </c>
      <c r="N23" s="21"/>
      <c r="O23" s="56">
        <f>I30+J43</f>
        <v>-16380.92742943451</v>
      </c>
      <c r="P23" t="s">
        <v>118</v>
      </c>
    </row>
    <row r="24" spans="2:16">
      <c r="B24" s="264"/>
      <c r="C24" s="156" t="s">
        <v>6</v>
      </c>
      <c r="D24" s="163"/>
      <c r="E24" s="161">
        <f t="shared" si="5"/>
        <v>0</v>
      </c>
      <c r="F24" s="161">
        <f t="shared" si="6"/>
        <v>0</v>
      </c>
      <c r="G24" s="161">
        <f t="shared" si="7"/>
        <v>-413707.07958850003</v>
      </c>
      <c r="H24" s="89">
        <f>'Input Data'!$C$94/100/12</f>
        <v>4.333333333333334E-3</v>
      </c>
      <c r="I24" s="164">
        <f t="shared" si="9"/>
        <v>-1792.7306782168337</v>
      </c>
      <c r="J24" s="192">
        <f t="shared" si="8"/>
        <v>-2751.5576424216406</v>
      </c>
      <c r="K24" s="10"/>
    </row>
    <row r="25" spans="2:16">
      <c r="B25" s="264"/>
      <c r="C25" s="156" t="s">
        <v>7</v>
      </c>
      <c r="D25" s="163"/>
      <c r="E25" s="161">
        <f t="shared" si="5"/>
        <v>0</v>
      </c>
      <c r="F25" s="161">
        <f t="shared" si="6"/>
        <v>0</v>
      </c>
      <c r="G25" s="161">
        <f t="shared" si="7"/>
        <v>-413707.07958850003</v>
      </c>
      <c r="H25" s="89">
        <f>'Input Data'!$C$94/100/12</f>
        <v>4.333333333333334E-3</v>
      </c>
      <c r="I25" s="164">
        <f t="shared" si="9"/>
        <v>-1792.7306782168337</v>
      </c>
      <c r="J25" s="192">
        <f t="shared" si="8"/>
        <v>-2751.5576424216406</v>
      </c>
      <c r="K25" s="10"/>
    </row>
    <row r="26" spans="2:16">
      <c r="B26" s="264"/>
      <c r="C26" s="156" t="s">
        <v>8</v>
      </c>
      <c r="D26" s="163"/>
      <c r="E26" s="161">
        <f t="shared" si="5"/>
        <v>0</v>
      </c>
      <c r="F26" s="161">
        <f t="shared" si="6"/>
        <v>0</v>
      </c>
      <c r="G26" s="161">
        <f t="shared" si="7"/>
        <v>-413707.07958850003</v>
      </c>
      <c r="H26" s="89">
        <f>'Input Data'!$C$94/100/12</f>
        <v>4.333333333333334E-3</v>
      </c>
      <c r="I26" s="164">
        <f t="shared" si="9"/>
        <v>-1792.7306782168337</v>
      </c>
      <c r="J26" s="192">
        <f t="shared" si="8"/>
        <v>-2751.5576424216406</v>
      </c>
      <c r="K26" s="10"/>
    </row>
    <row r="27" spans="2:16">
      <c r="B27" s="264"/>
      <c r="C27" s="156" t="s">
        <v>9</v>
      </c>
      <c r="D27" s="163"/>
      <c r="E27" s="161">
        <f t="shared" si="5"/>
        <v>0</v>
      </c>
      <c r="F27" s="161">
        <f t="shared" si="6"/>
        <v>0</v>
      </c>
      <c r="G27" s="161">
        <f t="shared" si="7"/>
        <v>-413707.07958850003</v>
      </c>
      <c r="H27" s="89">
        <f>'Input Data'!$C$95/100/12</f>
        <v>4.333333333333334E-3</v>
      </c>
      <c r="I27" s="164">
        <f t="shared" si="9"/>
        <v>-1792.7306782168337</v>
      </c>
      <c r="J27" s="192">
        <f t="shared" si="8"/>
        <v>-2751.5576424216406</v>
      </c>
      <c r="K27" s="10"/>
    </row>
    <row r="28" spans="2:16">
      <c r="B28" s="264"/>
      <c r="C28" s="156" t="s">
        <v>10</v>
      </c>
      <c r="D28" s="163"/>
      <c r="E28" s="161">
        <f t="shared" si="5"/>
        <v>0</v>
      </c>
      <c r="F28" s="161">
        <f t="shared" si="6"/>
        <v>0</v>
      </c>
      <c r="G28" s="161">
        <f t="shared" si="7"/>
        <v>-413707.07958850003</v>
      </c>
      <c r="H28" s="89">
        <f>'Input Data'!$C$95/100/12</f>
        <v>4.333333333333334E-3</v>
      </c>
      <c r="I28" s="164">
        <f t="shared" si="9"/>
        <v>-1792.7306782168337</v>
      </c>
      <c r="J28" s="192">
        <f t="shared" si="8"/>
        <v>-2751.5576424216406</v>
      </c>
      <c r="K28" s="10"/>
    </row>
    <row r="29" spans="2:16">
      <c r="B29" s="264"/>
      <c r="C29" s="156" t="s">
        <v>11</v>
      </c>
      <c r="D29" s="163"/>
      <c r="E29" s="161">
        <f t="shared" si="5"/>
        <v>0</v>
      </c>
      <c r="F29" s="161">
        <f t="shared" si="6"/>
        <v>0</v>
      </c>
      <c r="G29" s="161">
        <f t="shared" si="7"/>
        <v>-413707.07958850003</v>
      </c>
      <c r="H29" s="89">
        <f>'Input Data'!$C$95/100/12</f>
        <v>4.333333333333334E-3</v>
      </c>
      <c r="I29" s="164">
        <f t="shared" si="9"/>
        <v>-1792.7306782168337</v>
      </c>
      <c r="J29" s="192">
        <f t="shared" si="8"/>
        <v>-2751.5576424216406</v>
      </c>
      <c r="K29" s="10"/>
    </row>
    <row r="30" spans="2:16" ht="15.75" thickBot="1">
      <c r="B30" s="265"/>
      <c r="C30" s="173" t="s">
        <v>14</v>
      </c>
      <c r="D30" s="177">
        <f>SUM(D18:D29)</f>
        <v>827414.15917700005</v>
      </c>
      <c r="E30" s="178">
        <f>SUM(E18:E29)</f>
        <v>-413707.07958850003</v>
      </c>
      <c r="F30" s="178">
        <f>SUM(F18:F29)</f>
        <v>-413707.07958850003</v>
      </c>
      <c r="G30" s="179"/>
      <c r="H30" s="175"/>
      <c r="I30" s="178">
        <f>SUM(I18:I29)</f>
        <v>-16380.92742943451</v>
      </c>
      <c r="J30" s="230">
        <f>SUM(J18:J29)</f>
        <v>-33939.405227870004</v>
      </c>
      <c r="K30" s="11"/>
    </row>
    <row r="31" spans="2:16">
      <c r="B31" s="263">
        <v>2025</v>
      </c>
      <c r="C31" s="226" t="s">
        <v>0</v>
      </c>
      <c r="D31" s="163"/>
      <c r="E31" s="161"/>
      <c r="F31" s="161"/>
      <c r="G31" s="161"/>
      <c r="H31" s="228">
        <f>'Input Data'!$C$96/100/12</f>
        <v>0</v>
      </c>
      <c r="I31" s="229"/>
      <c r="J31" s="192">
        <f>$G$29*H31</f>
        <v>0</v>
      </c>
    </row>
    <row r="32" spans="2:16">
      <c r="B32" s="264"/>
      <c r="C32" s="156" t="s">
        <v>1</v>
      </c>
      <c r="D32" s="163"/>
      <c r="E32" s="161"/>
      <c r="F32" s="161"/>
      <c r="G32" s="161"/>
      <c r="H32" s="89">
        <f>'Input Data'!$C$96/100/12</f>
        <v>0</v>
      </c>
      <c r="I32" s="164">
        <f>G31*H32</f>
        <v>0</v>
      </c>
      <c r="J32" s="192">
        <f t="shared" ref="J32:J42" si="10">$G$29*H32</f>
        <v>0</v>
      </c>
    </row>
    <row r="33" spans="2:10">
      <c r="B33" s="264"/>
      <c r="C33" s="156" t="s">
        <v>2</v>
      </c>
      <c r="D33" s="163"/>
      <c r="E33" s="161"/>
      <c r="F33" s="161"/>
      <c r="G33" s="161"/>
      <c r="H33" s="89">
        <f>'Input Data'!$C$96/100/12</f>
        <v>0</v>
      </c>
      <c r="I33" s="164">
        <f t="shared" ref="I33:I42" si="11">G32*H33</f>
        <v>0</v>
      </c>
      <c r="J33" s="192">
        <f t="shared" si="10"/>
        <v>0</v>
      </c>
    </row>
    <row r="34" spans="2:10">
      <c r="B34" s="264"/>
      <c r="C34" s="156" t="s">
        <v>3</v>
      </c>
      <c r="D34" s="163"/>
      <c r="E34" s="161"/>
      <c r="F34" s="161"/>
      <c r="G34" s="161"/>
      <c r="H34" s="89">
        <f>'Input Data'!$C$97/100/12</f>
        <v>0</v>
      </c>
      <c r="I34" s="164">
        <f>G33*H34</f>
        <v>0</v>
      </c>
      <c r="J34" s="192">
        <f t="shared" si="10"/>
        <v>0</v>
      </c>
    </row>
    <row r="35" spans="2:10">
      <c r="B35" s="264"/>
      <c r="C35" s="156" t="s">
        <v>4</v>
      </c>
      <c r="D35" s="163"/>
      <c r="E35" s="161"/>
      <c r="F35" s="161"/>
      <c r="G35" s="161"/>
      <c r="H35" s="89">
        <f>'Input Data'!$C$97/100/12</f>
        <v>0</v>
      </c>
      <c r="I35" s="164">
        <f t="shared" si="11"/>
        <v>0</v>
      </c>
      <c r="J35" s="192">
        <f t="shared" si="10"/>
        <v>0</v>
      </c>
    </row>
    <row r="36" spans="2:10">
      <c r="B36" s="264"/>
      <c r="C36" s="156" t="s">
        <v>5</v>
      </c>
      <c r="D36" s="163"/>
      <c r="E36" s="161"/>
      <c r="F36" s="161"/>
      <c r="G36" s="161"/>
      <c r="H36" s="89">
        <f>'Input Data'!$C$97/100/12</f>
        <v>0</v>
      </c>
      <c r="I36" s="164">
        <f t="shared" si="11"/>
        <v>0</v>
      </c>
      <c r="J36" s="192">
        <f t="shared" si="10"/>
        <v>0</v>
      </c>
    </row>
    <row r="37" spans="2:10">
      <c r="B37" s="264"/>
      <c r="C37" s="156" t="s">
        <v>6</v>
      </c>
      <c r="D37" s="163"/>
      <c r="E37" s="161"/>
      <c r="F37" s="161"/>
      <c r="G37" s="161"/>
      <c r="H37" s="89">
        <f>'Input Data'!$C$98/100/12</f>
        <v>0</v>
      </c>
      <c r="I37" s="164">
        <f t="shared" si="11"/>
        <v>0</v>
      </c>
      <c r="J37" s="192">
        <f t="shared" si="10"/>
        <v>0</v>
      </c>
    </row>
    <row r="38" spans="2:10">
      <c r="B38" s="264"/>
      <c r="C38" s="156" t="s">
        <v>7</v>
      </c>
      <c r="D38" s="163"/>
      <c r="E38" s="161"/>
      <c r="F38" s="161"/>
      <c r="G38" s="161"/>
      <c r="H38" s="89">
        <f>'Input Data'!$C$98/100/12</f>
        <v>0</v>
      </c>
      <c r="I38" s="164">
        <f t="shared" si="11"/>
        <v>0</v>
      </c>
      <c r="J38" s="192">
        <f t="shared" si="10"/>
        <v>0</v>
      </c>
    </row>
    <row r="39" spans="2:10">
      <c r="B39" s="264"/>
      <c r="C39" s="156" t="s">
        <v>8</v>
      </c>
      <c r="D39" s="163"/>
      <c r="E39" s="161"/>
      <c r="F39" s="161"/>
      <c r="G39" s="161"/>
      <c r="H39" s="89">
        <f>'Input Data'!$C$98/100/12</f>
        <v>0</v>
      </c>
      <c r="I39" s="164">
        <f t="shared" si="11"/>
        <v>0</v>
      </c>
      <c r="J39" s="192">
        <f t="shared" si="10"/>
        <v>0</v>
      </c>
    </row>
    <row r="40" spans="2:10">
      <c r="B40" s="264"/>
      <c r="C40" s="156" t="s">
        <v>9</v>
      </c>
      <c r="D40" s="163"/>
      <c r="E40" s="161"/>
      <c r="F40" s="161"/>
      <c r="G40" s="161"/>
      <c r="H40" s="89">
        <f>'Input Data'!$C$99/100/12</f>
        <v>0</v>
      </c>
      <c r="I40" s="164">
        <f t="shared" si="11"/>
        <v>0</v>
      </c>
      <c r="J40" s="192">
        <f t="shared" si="10"/>
        <v>0</v>
      </c>
    </row>
    <row r="41" spans="2:10">
      <c r="B41" s="264"/>
      <c r="C41" s="156" t="s">
        <v>10</v>
      </c>
      <c r="D41" s="163"/>
      <c r="E41" s="161"/>
      <c r="F41" s="161"/>
      <c r="G41" s="161"/>
      <c r="H41" s="89">
        <f>'Input Data'!$C$99/100/12</f>
        <v>0</v>
      </c>
      <c r="I41" s="164">
        <f t="shared" si="11"/>
        <v>0</v>
      </c>
      <c r="J41" s="192">
        <f t="shared" si="10"/>
        <v>0</v>
      </c>
    </row>
    <row r="42" spans="2:10">
      <c r="B42" s="264"/>
      <c r="C42" s="156" t="s">
        <v>11</v>
      </c>
      <c r="D42" s="163"/>
      <c r="E42" s="161"/>
      <c r="F42" s="161"/>
      <c r="G42" s="161"/>
      <c r="H42" s="89">
        <f>'Input Data'!$C$99/100/12</f>
        <v>0</v>
      </c>
      <c r="I42" s="164">
        <f t="shared" si="11"/>
        <v>0</v>
      </c>
      <c r="J42" s="192">
        <f t="shared" si="10"/>
        <v>0</v>
      </c>
    </row>
    <row r="43" spans="2:10" ht="15.75" thickBot="1">
      <c r="B43" s="265"/>
      <c r="C43" s="173" t="s">
        <v>14</v>
      </c>
      <c r="D43" s="177">
        <f>SUM(D31:D42)</f>
        <v>0</v>
      </c>
      <c r="E43" s="178">
        <f>SUM(E31:E42)</f>
        <v>0</v>
      </c>
      <c r="F43" s="178">
        <f>SUM(F31:F42)</f>
        <v>0</v>
      </c>
      <c r="G43" s="179"/>
      <c r="H43" s="175"/>
      <c r="I43" s="178">
        <f>SUM(I31:I42)</f>
        <v>0</v>
      </c>
      <c r="J43" s="230">
        <f>SUM(J31:J42)</f>
        <v>0</v>
      </c>
    </row>
  </sheetData>
  <mergeCells count="4">
    <mergeCell ref="C2:J2"/>
    <mergeCell ref="B5:B17"/>
    <mergeCell ref="B18:B30"/>
    <mergeCell ref="B31:B4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B9227-0118-446B-8D64-1A77E54DA1B2}">
  <sheetPr codeName="Sheet4"/>
  <dimension ref="B1:I46"/>
  <sheetViews>
    <sheetView topLeftCell="A15" workbookViewId="0">
      <selection activeCell="D39" sqref="D39"/>
    </sheetView>
    <sheetView workbookViewId="1">
      <selection activeCell="D38" sqref="D38"/>
    </sheetView>
  </sheetViews>
  <sheetFormatPr defaultRowHeight="15"/>
  <cols>
    <col min="2" max="2" width="32.42578125" customWidth="1"/>
    <col min="3" max="3" width="42.28515625" customWidth="1"/>
    <col min="4" max="4" width="15.42578125" bestFit="1" customWidth="1"/>
    <col min="5" max="8" width="17.42578125" bestFit="1" customWidth="1"/>
    <col min="9" max="9" width="40.140625" bestFit="1" customWidth="1"/>
  </cols>
  <sheetData>
    <row r="1" spans="2:9" ht="15.75" thickBot="1"/>
    <row r="2" spans="2:9" ht="15.75">
      <c r="B2" s="73"/>
      <c r="C2" s="208" t="s">
        <v>91</v>
      </c>
      <c r="D2" s="74">
        <v>2024</v>
      </c>
      <c r="E2" s="75">
        <v>2025</v>
      </c>
      <c r="F2" s="182">
        <v>2026</v>
      </c>
      <c r="G2" s="182">
        <v>2027</v>
      </c>
      <c r="H2" s="183">
        <v>2028</v>
      </c>
    </row>
    <row r="3" spans="2:9">
      <c r="B3" s="269" t="s">
        <v>158</v>
      </c>
      <c r="C3" s="42"/>
      <c r="D3" s="15"/>
      <c r="E3" s="16"/>
      <c r="F3" s="184"/>
      <c r="G3" s="184"/>
      <c r="H3" s="185"/>
    </row>
    <row r="4" spans="2:9">
      <c r="B4" s="270"/>
      <c r="C4" s="43" t="s">
        <v>80</v>
      </c>
      <c r="D4" s="72">
        <f>'Power Purchased True-Up'!D8</f>
        <v>7.2859999999999994E-2</v>
      </c>
      <c r="E4" s="47">
        <f>'Power Purchased True-Up'!D21</f>
        <v>6.7688888888888896E-2</v>
      </c>
      <c r="F4" s="186">
        <f>'Power Purchased True-Up'!D34</f>
        <v>0</v>
      </c>
      <c r="G4" s="186">
        <f>'Power Purchased True-Up'!D47</f>
        <v>0</v>
      </c>
      <c r="H4" s="187">
        <f>'Power Purchased True-Up'!D60</f>
        <v>0</v>
      </c>
      <c r="I4" t="s">
        <v>77</v>
      </c>
    </row>
    <row r="5" spans="2:9">
      <c r="B5" s="270"/>
      <c r="C5" s="43" t="s">
        <v>81</v>
      </c>
      <c r="D5" s="41">
        <f>'Power Purchased True-Up'!D7</f>
        <v>35587910</v>
      </c>
      <c r="E5" s="38">
        <f>'Power Purchased True-Up'!D20</f>
        <v>37710876.140000001</v>
      </c>
      <c r="F5" s="126">
        <f>'Power Purchased True-Up'!D33</f>
        <v>0</v>
      </c>
      <c r="G5" s="126">
        <f>'Power Purchased True-Up'!D46</f>
        <v>0</v>
      </c>
      <c r="H5" s="188">
        <f>'Power Purchased True-Up'!D59</f>
        <v>0</v>
      </c>
      <c r="I5" t="s">
        <v>204</v>
      </c>
    </row>
    <row r="6" spans="2:9">
      <c r="B6" s="270"/>
      <c r="C6" s="43"/>
      <c r="D6" s="40"/>
      <c r="E6" s="37"/>
      <c r="F6" s="190"/>
      <c r="G6" s="190"/>
      <c r="H6" s="191"/>
      <c r="I6" s="10"/>
    </row>
    <row r="7" spans="2:9">
      <c r="B7" s="270"/>
      <c r="C7" s="43" t="s">
        <v>122</v>
      </c>
      <c r="D7" s="40">
        <f>'Power Purchased True-Up'!E10</f>
        <v>1296467.5612999999</v>
      </c>
      <c r="E7" s="190">
        <f>IF(E4=0,0,'Power Purchased True-Up'!E23)</f>
        <v>1276303.6524715556</v>
      </c>
      <c r="F7" s="190">
        <f>IF(F4=0,0,'Power Purchased True-Up'!E36)</f>
        <v>0</v>
      </c>
      <c r="G7" s="190">
        <f>IF(G4=0,0,'Power Purchased True-Up'!E49)</f>
        <v>0</v>
      </c>
      <c r="H7" s="191">
        <f>IF(H4=0,0,'Power Purchased True-Up'!E62)</f>
        <v>0</v>
      </c>
      <c r="I7" t="s">
        <v>79</v>
      </c>
    </row>
    <row r="8" spans="2:9">
      <c r="B8" s="270"/>
      <c r="C8" s="43" t="s">
        <v>74</v>
      </c>
      <c r="D8" s="18"/>
      <c r="F8" s="161">
        <f>IF(F4=0,0,-D30)</f>
        <v>0</v>
      </c>
      <c r="G8" s="161">
        <f>IF(G4=0,0,-E30)</f>
        <v>0</v>
      </c>
      <c r="H8" s="192">
        <f>IF(H4=0,0,-F30)</f>
        <v>0</v>
      </c>
      <c r="I8" t="s">
        <v>78</v>
      </c>
    </row>
    <row r="9" spans="2:9">
      <c r="B9" s="270"/>
      <c r="C9" s="43" t="s">
        <v>205</v>
      </c>
      <c r="D9" s="18"/>
      <c r="E9" s="10">
        <f>IF(E4=0,0,'Power Purchased True-Up'!E26)</f>
        <v>677705.88987497042</v>
      </c>
      <c r="F9" s="161">
        <f>IF(F4=0,0,'Power Purchased True-Up'!E39)</f>
        <v>0</v>
      </c>
      <c r="G9" s="161"/>
      <c r="H9" s="192"/>
      <c r="I9" t="s">
        <v>75</v>
      </c>
    </row>
    <row r="10" spans="2:9">
      <c r="B10" s="270"/>
      <c r="C10" s="44" t="s">
        <v>154</v>
      </c>
      <c r="D10" s="11">
        <f t="shared" ref="D10:E10" si="0">D7+D8+D9</f>
        <v>1296467.5612999999</v>
      </c>
      <c r="E10" s="11">
        <f t="shared" si="0"/>
        <v>1954009.5423465259</v>
      </c>
      <c r="F10" s="206">
        <f>F7+F8+F9</f>
        <v>0</v>
      </c>
      <c r="G10" s="206">
        <f t="shared" ref="G10:H10" si="1">G7+G8+G9</f>
        <v>0</v>
      </c>
      <c r="H10" s="193">
        <f t="shared" si="1"/>
        <v>0</v>
      </c>
      <c r="I10" t="s">
        <v>127</v>
      </c>
    </row>
    <row r="11" spans="2:9">
      <c r="B11" s="270"/>
      <c r="C11" s="43"/>
      <c r="D11" s="18"/>
      <c r="F11" s="132"/>
      <c r="G11" s="132"/>
      <c r="H11" s="189"/>
    </row>
    <row r="12" spans="2:9">
      <c r="B12" s="270"/>
      <c r="C12" s="43" t="s">
        <v>82</v>
      </c>
      <c r="D12" s="41">
        <f>'Power Purchased True-Up'!D15</f>
        <v>185090366</v>
      </c>
      <c r="E12" s="38">
        <f>IF(E4=0,0,'Power Purchased True-Up'!D29)</f>
        <v>180529178</v>
      </c>
      <c r="F12" s="126">
        <f>IF(F4=0,0,'Power Purchased True-Up'!D42)</f>
        <v>0</v>
      </c>
      <c r="G12" s="126">
        <f>IF(G4=0,0,'Power Purchased True-Up'!D54)</f>
        <v>0</v>
      </c>
      <c r="H12" s="188">
        <f>IF(H4=0,0,'Power Purchased True-Up'!D67)</f>
        <v>0</v>
      </c>
      <c r="I12" t="s">
        <v>76</v>
      </c>
    </row>
    <row r="13" spans="2:9">
      <c r="B13" s="270"/>
      <c r="C13" s="43"/>
      <c r="D13" s="18"/>
      <c r="F13" s="132"/>
      <c r="G13" s="132"/>
      <c r="H13" s="189"/>
    </row>
    <row r="14" spans="2:9" ht="15.75" thickBot="1">
      <c r="B14" s="271"/>
      <c r="C14" s="76" t="s">
        <v>155</v>
      </c>
      <c r="D14" s="213">
        <f t="shared" ref="D14:E14" si="2">IFERROR(-D10/D12,0)</f>
        <v>-7.0045113061151972E-3</v>
      </c>
      <c r="E14" s="214">
        <f t="shared" si="2"/>
        <v>-1.0823787954911786E-2</v>
      </c>
      <c r="F14" s="215">
        <f>IFERROR(-F10/F12,0)</f>
        <v>0</v>
      </c>
      <c r="G14" s="215">
        <f t="shared" ref="G14:H14" si="3">IFERROR(-G10/G12,0)</f>
        <v>0</v>
      </c>
      <c r="H14" s="216">
        <f t="shared" si="3"/>
        <v>0</v>
      </c>
      <c r="I14" t="s">
        <v>156</v>
      </c>
    </row>
    <row r="16" spans="2:9" ht="15.75" thickBot="1">
      <c r="B16" t="s">
        <v>250</v>
      </c>
    </row>
    <row r="17" spans="2:9" ht="15.75">
      <c r="B17" s="73"/>
      <c r="C17" s="208" t="s">
        <v>246</v>
      </c>
      <c r="D17" s="217">
        <v>2024</v>
      </c>
      <c r="E17" s="182">
        <v>2025</v>
      </c>
      <c r="F17" s="182">
        <v>2026</v>
      </c>
      <c r="G17" s="182">
        <v>2027</v>
      </c>
      <c r="H17" s="183">
        <v>2028</v>
      </c>
    </row>
    <row r="18" spans="2:9" ht="15.75">
      <c r="B18" s="211"/>
      <c r="C18" s="212" t="s">
        <v>247</v>
      </c>
      <c r="D18" s="218">
        <v>2026</v>
      </c>
      <c r="E18" s="209">
        <v>2027</v>
      </c>
      <c r="F18" s="209">
        <v>2028</v>
      </c>
      <c r="G18" s="209">
        <v>2029</v>
      </c>
      <c r="H18" s="210">
        <v>2030</v>
      </c>
    </row>
    <row r="19" spans="2:9">
      <c r="B19" s="272" t="s">
        <v>69</v>
      </c>
      <c r="C19" s="42"/>
      <c r="D19" s="219"/>
      <c r="E19" s="194"/>
      <c r="F19" s="194"/>
      <c r="G19" s="194"/>
      <c r="H19" s="195"/>
    </row>
    <row r="20" spans="2:9">
      <c r="B20" s="273"/>
      <c r="C20" s="43" t="s">
        <v>64</v>
      </c>
      <c r="D20" s="220">
        <f>-'Power Purchased True-Up'!X10</f>
        <v>0</v>
      </c>
      <c r="E20" s="190">
        <f>-'Power Purchased True-Up'!X23</f>
        <v>0</v>
      </c>
      <c r="F20" s="190">
        <f>-'Power Purchased True-Up'!X36</f>
        <v>0</v>
      </c>
      <c r="G20" s="190">
        <f>-'Power Purchased True-Up'!X49</f>
        <v>0</v>
      </c>
      <c r="H20" s="191">
        <f>-'Power Purchased True-Up'!X62</f>
        <v>0</v>
      </c>
      <c r="I20" t="s">
        <v>75</v>
      </c>
    </row>
    <row r="21" spans="2:9">
      <c r="B21" s="273"/>
      <c r="C21" s="43" t="s">
        <v>261</v>
      </c>
      <c r="D21" s="220">
        <f>-'Power Purchased True-Up'!X11</f>
        <v>0</v>
      </c>
      <c r="E21" s="190">
        <f>-'Power Purchased True-Up'!X24</f>
        <v>0</v>
      </c>
      <c r="F21" s="190">
        <f>-'Power Purchased True-Up'!X37</f>
        <v>0</v>
      </c>
      <c r="G21" s="190">
        <f>-'Power Purchased True-Up'!X50</f>
        <v>0</v>
      </c>
      <c r="H21" s="191">
        <f>-'Power Purchased True-Up'!X63</f>
        <v>0</v>
      </c>
      <c r="I21" t="s">
        <v>206</v>
      </c>
    </row>
    <row r="22" spans="2:9">
      <c r="B22" s="273"/>
      <c r="C22" s="44" t="s">
        <v>252</v>
      </c>
      <c r="D22" s="220">
        <f>D20+D21</f>
        <v>0</v>
      </c>
      <c r="E22" s="190">
        <f>E20+E21</f>
        <v>0</v>
      </c>
      <c r="F22" s="161">
        <f>F20+F21</f>
        <v>0</v>
      </c>
      <c r="G22" s="161">
        <f>G20+G21</f>
        <v>0</v>
      </c>
      <c r="H22" s="192">
        <f>H20+H21</f>
        <v>0</v>
      </c>
      <c r="I22" t="s">
        <v>126</v>
      </c>
    </row>
    <row r="23" spans="2:9">
      <c r="B23" s="273"/>
      <c r="C23" s="43"/>
      <c r="D23" s="220"/>
      <c r="E23" s="190"/>
      <c r="F23" s="190"/>
      <c r="G23" s="190"/>
      <c r="H23" s="191"/>
    </row>
    <row r="24" spans="2:9">
      <c r="B24" s="273"/>
      <c r="C24" s="44" t="s">
        <v>248</v>
      </c>
      <c r="D24" s="220">
        <f>-'Power Purchased True-Up'!Y13</f>
        <v>0</v>
      </c>
      <c r="E24" s="190">
        <f>-'Power Purchased True-Up'!Y26</f>
        <v>0</v>
      </c>
      <c r="F24" s="190">
        <f>-'Power Purchased True-Up'!Y39</f>
        <v>0</v>
      </c>
      <c r="G24" s="190">
        <f>-'Power Purchased True-Up'!Y52</f>
        <v>0</v>
      </c>
      <c r="H24" s="191">
        <f>-'Power Purchased True-Up'!Y65</f>
        <v>0</v>
      </c>
      <c r="I24" t="s">
        <v>75</v>
      </c>
    </row>
    <row r="25" spans="2:9">
      <c r="B25" s="273"/>
      <c r="C25" s="45"/>
      <c r="D25" s="221" t="s">
        <v>249</v>
      </c>
      <c r="E25" s="196"/>
      <c r="F25" s="196"/>
      <c r="G25" s="196"/>
      <c r="H25" s="197"/>
    </row>
    <row r="26" spans="2:9">
      <c r="B26" s="273"/>
      <c r="C26" s="43"/>
      <c r="D26" s="170"/>
      <c r="E26" s="132"/>
      <c r="F26" s="132"/>
      <c r="G26" s="132"/>
      <c r="H26" s="189"/>
    </row>
    <row r="27" spans="2:9">
      <c r="B27" s="273"/>
      <c r="C27" s="43" t="s">
        <v>18</v>
      </c>
      <c r="D27" s="222">
        <f>D22-D24</f>
        <v>0</v>
      </c>
      <c r="E27" s="126">
        <f>E22-E24</f>
        <v>0</v>
      </c>
      <c r="F27" s="126">
        <f>F22-F24</f>
        <v>0</v>
      </c>
      <c r="G27" s="126">
        <f>G22-G24</f>
        <v>0</v>
      </c>
      <c r="H27" s="188">
        <f>H22-H24</f>
        <v>0</v>
      </c>
      <c r="I27" t="s">
        <v>75</v>
      </c>
    </row>
    <row r="28" spans="2:9">
      <c r="B28" s="273"/>
      <c r="C28" s="43" t="s">
        <v>34</v>
      </c>
      <c r="D28" s="222">
        <f>-'Power Purchased True-Up'!S18</f>
        <v>0</v>
      </c>
      <c r="E28" s="126">
        <f>-'Power Purchased True-Up'!S31</f>
        <v>0</v>
      </c>
      <c r="F28" s="126">
        <f>-'Power Purchased True-Up'!S44</f>
        <v>0</v>
      </c>
      <c r="G28" s="126">
        <f>-'Power Purchased True-Up'!S57</f>
        <v>0</v>
      </c>
      <c r="H28" s="188">
        <f>-'Power Purchased True-Up'!S70</f>
        <v>0</v>
      </c>
      <c r="I28" t="s">
        <v>75</v>
      </c>
    </row>
    <row r="29" spans="2:9">
      <c r="B29" s="273"/>
      <c r="C29" s="43" t="s">
        <v>253</v>
      </c>
      <c r="D29" s="222">
        <f>-'Power Purchased True-Up'!T31</f>
        <v>0</v>
      </c>
      <c r="E29" s="126">
        <f>-'Power Purchased True-Up'!T44</f>
        <v>0</v>
      </c>
      <c r="F29" s="126">
        <f>-'Power Purchased True-Up'!T57</f>
        <v>0</v>
      </c>
      <c r="G29" s="126">
        <f>-'Power Purchased True-Up'!T70</f>
        <v>0</v>
      </c>
      <c r="H29" s="188">
        <f>-'Power Purchased True-Up'!P70*'Input Data'!C111/100</f>
        <v>0</v>
      </c>
      <c r="I29" t="s">
        <v>75</v>
      </c>
    </row>
    <row r="30" spans="2:9">
      <c r="B30" s="273"/>
      <c r="C30" s="44" t="s">
        <v>65</v>
      </c>
      <c r="D30" s="223">
        <f>SUM(D27:D29)</f>
        <v>0</v>
      </c>
      <c r="E30" s="206">
        <f>SUM(E27:E29)</f>
        <v>0</v>
      </c>
      <c r="F30" s="206">
        <f>SUM(F27:F29)</f>
        <v>0</v>
      </c>
      <c r="G30" s="206">
        <f>SUM(G27:G29)</f>
        <v>0</v>
      </c>
      <c r="H30" s="193">
        <f>SUM(H27:H29)</f>
        <v>0</v>
      </c>
    </row>
    <row r="31" spans="2:9" ht="15.75" thickBot="1">
      <c r="B31" s="274"/>
      <c r="C31" s="76"/>
      <c r="D31" s="224"/>
      <c r="E31" s="198"/>
      <c r="F31" s="198"/>
      <c r="G31" s="198"/>
      <c r="H31" s="199"/>
    </row>
    <row r="32" spans="2:9">
      <c r="D32" s="132"/>
      <c r="E32" s="132"/>
      <c r="F32" s="132"/>
      <c r="G32" s="132"/>
      <c r="H32" s="132"/>
    </row>
    <row r="33" spans="2:8">
      <c r="D33" s="200">
        <f>D2</f>
        <v>2024</v>
      </c>
      <c r="E33" s="200">
        <f>E2</f>
        <v>2025</v>
      </c>
      <c r="F33" s="200">
        <f>F2</f>
        <v>2026</v>
      </c>
      <c r="G33" s="200">
        <f>G2</f>
        <v>2027</v>
      </c>
      <c r="H33" s="200">
        <f>H2</f>
        <v>2028</v>
      </c>
    </row>
    <row r="34" spans="2:8">
      <c r="B34" s="15" t="s">
        <v>157</v>
      </c>
      <c r="C34" s="16"/>
      <c r="D34" s="184"/>
      <c r="E34" s="184"/>
      <c r="F34" s="184"/>
      <c r="G34" s="184"/>
      <c r="H34" s="201"/>
    </row>
    <row r="35" spans="2:8">
      <c r="B35" s="18"/>
      <c r="C35" s="225" t="str">
        <f t="shared" ref="C35:H35" si="4">C7</f>
        <v>Forecast net GA Savings</v>
      </c>
      <c r="D35" s="161">
        <f t="shared" si="4"/>
        <v>1296467.5612999999</v>
      </c>
      <c r="E35" s="161">
        <f t="shared" si="4"/>
        <v>1276303.6524715556</v>
      </c>
      <c r="F35" s="161">
        <f t="shared" si="4"/>
        <v>0</v>
      </c>
      <c r="G35" s="161">
        <f t="shared" si="4"/>
        <v>0</v>
      </c>
      <c r="H35" s="162">
        <f t="shared" si="4"/>
        <v>0</v>
      </c>
    </row>
    <row r="36" spans="2:8">
      <c r="B36" s="18"/>
      <c r="C36" s="225" t="s">
        <v>83</v>
      </c>
      <c r="D36" s="190">
        <f>-'Power Purchased True-Up'!Y12-'Power Purchased True-Up'!E10</f>
        <v>-1296467.5612999999</v>
      </c>
      <c r="E36" s="190">
        <f>-'Power Purchased True-Up'!Y25-'Power Purchased True-Up'!E23</f>
        <v>-1276303.6524715556</v>
      </c>
      <c r="F36" s="190">
        <f>-'Power Purchased True-Up'!Y38-'Power Purchased True-Up'!E36</f>
        <v>0</v>
      </c>
      <c r="G36" s="190">
        <f>-'Power Purchased True-Up'!Y51-'Power Purchased True-Up'!E49</f>
        <v>0</v>
      </c>
      <c r="H36" s="202">
        <f>-'Power Purchased True-Up'!Y64-'Power Purchased True-Up'!E62</f>
        <v>0</v>
      </c>
    </row>
    <row r="37" spans="2:8">
      <c r="B37" s="18"/>
      <c r="C37" s="225" t="str">
        <f>C24</f>
        <v>Actual credited to customers*</v>
      </c>
      <c r="D37" s="161">
        <f>-D24</f>
        <v>0</v>
      </c>
      <c r="E37" s="161">
        <f>-E24</f>
        <v>0</v>
      </c>
      <c r="F37" s="161">
        <f>-F24</f>
        <v>0</v>
      </c>
      <c r="G37" s="161">
        <f>-G24</f>
        <v>0</v>
      </c>
      <c r="H37" s="162">
        <f>-H24</f>
        <v>0</v>
      </c>
    </row>
    <row r="38" spans="2:8">
      <c r="B38" s="18"/>
      <c r="C38" s="2" t="s">
        <v>18</v>
      </c>
      <c r="D38" s="206">
        <f>SUM(D35:D37)</f>
        <v>0</v>
      </c>
      <c r="E38" s="206">
        <f>SUM(E35:E37)</f>
        <v>0</v>
      </c>
      <c r="F38" s="206">
        <f>SUM(F35:F37)</f>
        <v>0</v>
      </c>
      <c r="G38" s="206">
        <f>SUM(G35:G37)</f>
        <v>0</v>
      </c>
      <c r="H38" s="207">
        <f>SUM(H35:H37)</f>
        <v>0</v>
      </c>
    </row>
    <row r="39" spans="2:8">
      <c r="B39" s="18"/>
      <c r="C39" t="s">
        <v>85</v>
      </c>
      <c r="D39" s="190">
        <f>-'Power Purchased True-Up'!S18</f>
        <v>0</v>
      </c>
      <c r="E39" s="190">
        <f>-'Power Purchased True-Up'!S31</f>
        <v>0</v>
      </c>
      <c r="F39" s="190">
        <f>-'Power Purchased True-Up'!S44</f>
        <v>0</v>
      </c>
      <c r="G39" s="190">
        <f>-'Power Purchased True-Up'!S57</f>
        <v>0</v>
      </c>
      <c r="H39" s="202">
        <f>-'Power Purchased True-Up'!S70</f>
        <v>0</v>
      </c>
    </row>
    <row r="40" spans="2:8">
      <c r="B40" s="18"/>
      <c r="C40" t="s">
        <v>143</v>
      </c>
      <c r="D40" s="190"/>
      <c r="E40" s="190">
        <f>-'Power Purchased True-Up'!T31</f>
        <v>0</v>
      </c>
      <c r="F40" s="190">
        <f>-'Power Purchased True-Up'!T44</f>
        <v>0</v>
      </c>
      <c r="G40" s="190">
        <f>-'Power Purchased True-Up'!T57</f>
        <v>0</v>
      </c>
      <c r="H40" s="202">
        <f>-'Power Purchased True-Up'!T70</f>
        <v>0</v>
      </c>
    </row>
    <row r="41" spans="2:8">
      <c r="B41" s="18"/>
      <c r="C41" s="225" t="s">
        <v>68</v>
      </c>
      <c r="D41" s="161"/>
      <c r="E41" s="161"/>
      <c r="F41" s="161">
        <f>-D38</f>
        <v>0</v>
      </c>
      <c r="G41" s="161">
        <f t="shared" ref="G41:H41" si="5">-E38</f>
        <v>0</v>
      </c>
      <c r="H41" s="162">
        <f t="shared" si="5"/>
        <v>0</v>
      </c>
    </row>
    <row r="42" spans="2:8">
      <c r="B42" s="18"/>
      <c r="C42" s="225" t="s">
        <v>254</v>
      </c>
      <c r="D42" s="161"/>
      <c r="E42" s="161"/>
      <c r="F42" s="161">
        <f>-(D39+E40)</f>
        <v>0</v>
      </c>
      <c r="G42" s="161">
        <f t="shared" ref="G42:H42" si="6">-(E39+F40)</f>
        <v>0</v>
      </c>
      <c r="H42" s="162">
        <f t="shared" si="6"/>
        <v>0</v>
      </c>
    </row>
    <row r="43" spans="2:8">
      <c r="B43" s="20"/>
      <c r="C43" s="77" t="s">
        <v>84</v>
      </c>
      <c r="D43" s="203">
        <f>SUM(D38:D42)</f>
        <v>0</v>
      </c>
      <c r="E43" s="203">
        <f t="shared" ref="E43:H43" si="7">SUM(E38:E42)</f>
        <v>0</v>
      </c>
      <c r="F43" s="203">
        <f t="shared" si="7"/>
        <v>0</v>
      </c>
      <c r="G43" s="203">
        <f t="shared" si="7"/>
        <v>0</v>
      </c>
      <c r="H43" s="204">
        <f t="shared" si="7"/>
        <v>0</v>
      </c>
    </row>
    <row r="44" spans="2:8">
      <c r="D44" s="132" t="s">
        <v>249</v>
      </c>
    </row>
    <row r="46" spans="2:8">
      <c r="H46" s="127"/>
    </row>
  </sheetData>
  <mergeCells count="2">
    <mergeCell ref="B3:B14"/>
    <mergeCell ref="B19:B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 Data</vt:lpstr>
      <vt:lpstr>Power Purchased True-Up</vt:lpstr>
      <vt:lpstr>2023-24 Overcollection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Blair</dc:creator>
  <cp:lastModifiedBy>Jeffrey Roy</cp:lastModifiedBy>
  <dcterms:created xsi:type="dcterms:W3CDTF">2023-09-29T16:45:48Z</dcterms:created>
  <dcterms:modified xsi:type="dcterms:W3CDTF">2024-09-16T12:56:02Z</dcterms:modified>
</cp:coreProperties>
</file>