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filterPrivacy="1" codeName="ThisWorkbook" defaultThemeVersion="124226"/>
  <xr:revisionPtr revIDLastSave="82" documentId="8_{18B59F0A-F406-4370-B31C-096450BC13BF}" xr6:coauthVersionLast="47" xr6:coauthVersionMax="47" xr10:uidLastSave="{7D88D1F4-EAF8-400F-AAD8-F01757F5E280}"/>
  <bookViews>
    <workbookView xWindow="-120" yWindow="-120" windowWidth="20730" windowHeight="11040" tabRatio="855" activeTab="1" xr2:uid="{00000000-000D-0000-FFFF-FFFF00000000}"/>
  </bookViews>
  <sheets>
    <sheet name="Inputs" sheetId="73" r:id="rId1"/>
    <sheet name="Load Forecast Summary" sheetId="11" r:id="rId2"/>
    <sheet name="Power Purchased Model" sheetId="72" r:id="rId3"/>
    <sheet name="Power Purchased Model-WN" sheetId="79" r:id="rId4"/>
    <sheet name="Power Purchased Model WN-OLD" sheetId="78" state="hidden" r:id="rId5"/>
    <sheet name="Rate Class Energy Model" sheetId="9" r:id="rId6"/>
    <sheet name="Rate Class Customer Model" sheetId="17" r:id="rId7"/>
    <sheet name="Rate Class Load Model" sheetId="18" r:id="rId8"/>
    <sheet name="Weather Analysis" sheetId="76" r:id="rId9"/>
  </sheets>
  <definedNames>
    <definedName name="__CAP1000" localSheetId="2">#REF!</definedName>
    <definedName name="__CAP1000" localSheetId="4">#REF!</definedName>
    <definedName name="__CAP1000" localSheetId="3">#REF!</definedName>
    <definedName name="__CAP1000" localSheetId="8">#REF!</definedName>
    <definedName name="__CAP1000">#REF!</definedName>
    <definedName name="__OP1000" localSheetId="2">#REF!</definedName>
    <definedName name="__OP1000" localSheetId="4">#REF!</definedName>
    <definedName name="__OP1000" localSheetId="3">#REF!</definedName>
    <definedName name="__OP1000">#REF!</definedName>
    <definedName name="_110" localSheetId="2">#REF!</definedName>
    <definedName name="_110" localSheetId="4">#REF!</definedName>
    <definedName name="_110" localSheetId="3">#REF!</definedName>
    <definedName name="_110">#REF!</definedName>
    <definedName name="_110INPT" localSheetId="2">#REF!</definedName>
    <definedName name="_110INPT" localSheetId="4">#REF!</definedName>
    <definedName name="_110INPT" localSheetId="3">#REF!</definedName>
    <definedName name="_110INPT">#REF!</definedName>
    <definedName name="_115" localSheetId="2">#REF!</definedName>
    <definedName name="_115" localSheetId="4">#REF!</definedName>
    <definedName name="_115" localSheetId="3">#REF!</definedName>
    <definedName name="_115">#REF!</definedName>
    <definedName name="_115INPT" localSheetId="2">#REF!</definedName>
    <definedName name="_115INPT" localSheetId="4">#REF!</definedName>
    <definedName name="_115INPT" localSheetId="3">#REF!</definedName>
    <definedName name="_115INPT">#REF!</definedName>
    <definedName name="_120" localSheetId="2">#REF!</definedName>
    <definedName name="_120" localSheetId="4">#REF!</definedName>
    <definedName name="_120" localSheetId="3">#REF!</definedName>
    <definedName name="_120">#REF!</definedName>
    <definedName name="_140" localSheetId="2">#REF!</definedName>
    <definedName name="_140" localSheetId="4">#REF!</definedName>
    <definedName name="_140" localSheetId="3">#REF!</definedName>
    <definedName name="_140">#REF!</definedName>
    <definedName name="_140INPT" localSheetId="2">#REF!</definedName>
    <definedName name="_140INPT" localSheetId="4">#REF!</definedName>
    <definedName name="_140INPT" localSheetId="3">#REF!</definedName>
    <definedName name="_140INPT">#REF!</definedName>
    <definedName name="_CAP1000" localSheetId="2">#REF!</definedName>
    <definedName name="_CAP1000" localSheetId="4">#REF!</definedName>
    <definedName name="_CAP1000" localSheetId="3">#REF!</definedName>
    <definedName name="_CAP1000">#REF!</definedName>
    <definedName name="_Fill" localSheetId="8" hidden="1">#REF!</definedName>
    <definedName name="_Fill" hidden="1">#REF!</definedName>
    <definedName name="_OP1000" localSheetId="2">#REF!</definedName>
    <definedName name="_OP1000" localSheetId="4">#REF!</definedName>
    <definedName name="_OP1000" localSheetId="3">#REF!</definedName>
    <definedName name="_OP1000" localSheetId="8">#REF!</definedName>
    <definedName name="_OP1000">#REF!</definedName>
    <definedName name="_Order1" hidden="1">255</definedName>
    <definedName name="_Order2" hidden="1">0</definedName>
    <definedName name="_Sort" localSheetId="8" hidden="1">#REF!</definedName>
    <definedName name="_Sort" hidden="1">#REF!</definedName>
    <definedName name="ALL" localSheetId="2">#REF!</definedName>
    <definedName name="ALL" localSheetId="4">#REF!</definedName>
    <definedName name="ALL" localSheetId="3">#REF!</definedName>
    <definedName name="ALL" localSheetId="8">#REF!</definedName>
    <definedName name="ALL">#REF!</definedName>
    <definedName name="ApprovedYr" localSheetId="8">#REF!</definedName>
    <definedName name="ApprovedYr">#REF!</definedName>
    <definedName name="CAfile" localSheetId="8">#REF!</definedName>
    <definedName name="CAfile">#REF!</definedName>
    <definedName name="CAPCOSTS" localSheetId="2">#REF!</definedName>
    <definedName name="CAPCOSTS" localSheetId="4">#REF!</definedName>
    <definedName name="CAPCOSTS" localSheetId="3">#REF!</definedName>
    <definedName name="CAPCOSTS" localSheetId="8">#REF!</definedName>
    <definedName name="CAPCOSTS">#REF!</definedName>
    <definedName name="CAPITAL" localSheetId="2">#REF!</definedName>
    <definedName name="CAPITAL" localSheetId="4">#REF!</definedName>
    <definedName name="CAPITAL" localSheetId="3">#REF!</definedName>
    <definedName name="CAPITAL">#REF!</definedName>
    <definedName name="CapitalExpListing" localSheetId="2">#REF!</definedName>
    <definedName name="CapitalExpListing" localSheetId="4">#REF!</definedName>
    <definedName name="CapitalExpListing" localSheetId="3">#REF!</definedName>
    <definedName name="CapitalExpListing">#REF!</definedName>
    <definedName name="CArevReq" localSheetId="8">#REF!</definedName>
    <definedName name="CArevReq">#REF!</definedName>
    <definedName name="CASENUMBER">#REF!</definedName>
    <definedName name="CASHFLOW" localSheetId="2">#REF!</definedName>
    <definedName name="CASHFLOW" localSheetId="4">#REF!</definedName>
    <definedName name="CASHFLOW" localSheetId="3">#REF!</definedName>
    <definedName name="CASHFLOW" localSheetId="8">#REF!</definedName>
    <definedName name="CASHFLOW">#REF!</definedName>
    <definedName name="cc" localSheetId="2">#REF!</definedName>
    <definedName name="cc" localSheetId="4">#REF!</definedName>
    <definedName name="cc" localSheetId="3">#REF!</definedName>
    <definedName name="cc">#REF!</definedName>
    <definedName name="ClassRange1" localSheetId="8">#REF!</definedName>
    <definedName name="ClassRange1">#REF!</definedName>
    <definedName name="ClassRange2" localSheetId="8">#REF!</definedName>
    <definedName name="ClassRange2">#REF!</definedName>
    <definedName name="contactf" localSheetId="2">#REF!</definedName>
    <definedName name="contactf" localSheetId="4">#REF!</definedName>
    <definedName name="contactf" localSheetId="3">#REF!</definedName>
    <definedName name="contactf" localSheetId="8">#REF!</definedName>
    <definedName name="contactf">#REF!</definedName>
    <definedName name="_xlnm.Criteria" localSheetId="2">#REF!</definedName>
    <definedName name="_xlnm.Criteria" localSheetId="4">#REF!</definedName>
    <definedName name="_xlnm.Criteria" localSheetId="3">#REF!</definedName>
    <definedName name="_xlnm.Criteria">#REF!</definedName>
    <definedName name="CRLF" localSheetId="8">#REF!</definedName>
    <definedName name="CRLF">#REF!</definedName>
    <definedName name="_xlnm.Database" localSheetId="2">#REF!</definedName>
    <definedName name="_xlnm.Database" localSheetId="4">#REF!</definedName>
    <definedName name="_xlnm.Database" localSheetId="3">#REF!</definedName>
    <definedName name="_xlnm.Database" localSheetId="8">#REF!</definedName>
    <definedName name="_xlnm.Database">#REF!</definedName>
    <definedName name="DaysInPreviousYear" localSheetId="8">#REF!</definedName>
    <definedName name="DaysInPreviousYear">#REF!</definedName>
    <definedName name="DaysInYear" localSheetId="8">#REF!</definedName>
    <definedName name="DaysInYear">#REF!</definedName>
    <definedName name="DEBTREPAY" localSheetId="2">#REF!</definedName>
    <definedName name="DEBTREPAY" localSheetId="4">#REF!</definedName>
    <definedName name="DEBTREPAY" localSheetId="3">#REF!</definedName>
    <definedName name="DEBTREPAY" localSheetId="8">#REF!</definedName>
    <definedName name="DEBTREPAY">#REF!</definedName>
    <definedName name="DeptDiv" localSheetId="2">#REF!</definedName>
    <definedName name="DeptDiv" localSheetId="4">#REF!</definedName>
    <definedName name="DeptDiv" localSheetId="3">#REF!</definedName>
    <definedName name="DeptDiv">#REF!</definedName>
    <definedName name="EBNUMBER">#REF!</definedName>
    <definedName name="ExpenseAccountListing" localSheetId="2">#REF!</definedName>
    <definedName name="ExpenseAccountListing" localSheetId="4">#REF!</definedName>
    <definedName name="ExpenseAccountListing" localSheetId="3">#REF!</definedName>
    <definedName name="ExpenseAccountListing" localSheetId="8">#REF!</definedName>
    <definedName name="ExpenseAccountListing">#REF!</definedName>
    <definedName name="_xlnm.Extract" localSheetId="2">#REF!</definedName>
    <definedName name="_xlnm.Extract" localSheetId="4">#REF!</definedName>
    <definedName name="_xlnm.Extract" localSheetId="3">#REF!</definedName>
    <definedName name="_xlnm.Extract">#REF!</definedName>
    <definedName name="FakeBlank" localSheetId="8">#REF!</definedName>
    <definedName name="FakeBlank">#REF!</definedName>
    <definedName name="FolderPath" localSheetId="8">#REF!</definedName>
    <definedName name="FolderPath">#REF!</definedName>
    <definedName name="histdate" localSheetId="8">#REF!</definedName>
    <definedName name="histdate">#REF!</definedName>
    <definedName name="Incr2000" localSheetId="2">#REF!</definedName>
    <definedName name="Incr2000" localSheetId="4">#REF!</definedName>
    <definedName name="Incr2000" localSheetId="3">#REF!</definedName>
    <definedName name="Incr2000" localSheetId="8">#REF!</definedName>
    <definedName name="Incr2000">#REF!</definedName>
    <definedName name="INTERIM" localSheetId="2">#REF!</definedName>
    <definedName name="INTERIM" localSheetId="4">#REF!</definedName>
    <definedName name="INTERIM" localSheetId="3">#REF!</definedName>
    <definedName name="INTERIM">#REF!</definedName>
    <definedName name="LIMIT" localSheetId="2">#REF!</definedName>
    <definedName name="LIMIT" localSheetId="4">#REF!</definedName>
    <definedName name="LIMIT" localSheetId="3">#REF!</definedName>
    <definedName name="LIMIT">#REF!</definedName>
    <definedName name="man_beg_bud" localSheetId="2">#REF!</definedName>
    <definedName name="man_beg_bud" localSheetId="4">#REF!</definedName>
    <definedName name="man_beg_bud" localSheetId="3">#REF!</definedName>
    <definedName name="man_beg_bud" localSheetId="8">#REF!</definedName>
    <definedName name="man_beg_bud">#REF!</definedName>
    <definedName name="man_end_bud" localSheetId="2">#REF!</definedName>
    <definedName name="man_end_bud" localSheetId="4">#REF!</definedName>
    <definedName name="man_end_bud" localSheetId="3">#REF!</definedName>
    <definedName name="man_end_bud">#REF!</definedName>
    <definedName name="man12ACT" localSheetId="2">#REF!</definedName>
    <definedName name="man12ACT" localSheetId="4">#REF!</definedName>
    <definedName name="man12ACT" localSheetId="3">#REF!</definedName>
    <definedName name="man12ACT">#REF!</definedName>
    <definedName name="MANBUD" localSheetId="2">#REF!</definedName>
    <definedName name="MANBUD" localSheetId="4">#REF!</definedName>
    <definedName name="MANBUD" localSheetId="3">#REF!</definedName>
    <definedName name="MANBUD">#REF!</definedName>
    <definedName name="manCYACT" localSheetId="2">#REF!</definedName>
    <definedName name="manCYACT" localSheetId="4">#REF!</definedName>
    <definedName name="manCYACT" localSheetId="3">#REF!</definedName>
    <definedName name="manCYACT">#REF!</definedName>
    <definedName name="manCYBUD" localSheetId="2">#REF!</definedName>
    <definedName name="manCYBUD" localSheetId="4">#REF!</definedName>
    <definedName name="manCYBUD" localSheetId="3">#REF!</definedName>
    <definedName name="manCYBUD">#REF!</definedName>
    <definedName name="manCYF" localSheetId="2">#REF!</definedName>
    <definedName name="manCYF" localSheetId="4">#REF!</definedName>
    <definedName name="manCYF" localSheetId="3">#REF!</definedName>
    <definedName name="manCYF">#REF!</definedName>
    <definedName name="MANEND" localSheetId="2">#REF!</definedName>
    <definedName name="MANEND" localSheetId="4">#REF!</definedName>
    <definedName name="MANEND" localSheetId="3">#REF!</definedName>
    <definedName name="MANEND">#REF!</definedName>
    <definedName name="manNYbud" localSheetId="2">#REF!</definedName>
    <definedName name="manNYbud" localSheetId="4">#REF!</definedName>
    <definedName name="manNYbud" localSheetId="3">#REF!</definedName>
    <definedName name="manNYbud">#REF!</definedName>
    <definedName name="manpower_costs" localSheetId="2">#REF!</definedName>
    <definedName name="manpower_costs" localSheetId="4">#REF!</definedName>
    <definedName name="manpower_costs" localSheetId="3">#REF!</definedName>
    <definedName name="manpower_costs">#REF!</definedName>
    <definedName name="manPYACT" localSheetId="2">#REF!</definedName>
    <definedName name="manPYACT" localSheetId="4">#REF!</definedName>
    <definedName name="manPYACT" localSheetId="3">#REF!</definedName>
    <definedName name="manPYACT">#REF!</definedName>
    <definedName name="MANSTART" localSheetId="2">#REF!</definedName>
    <definedName name="MANSTART" localSheetId="4">#REF!</definedName>
    <definedName name="MANSTART" localSheetId="3">#REF!</definedName>
    <definedName name="MANSTART">#REF!</definedName>
    <definedName name="mat_beg_bud" localSheetId="2">#REF!</definedName>
    <definedName name="mat_beg_bud" localSheetId="4">#REF!</definedName>
    <definedName name="mat_beg_bud" localSheetId="3">#REF!</definedName>
    <definedName name="mat_beg_bud">#REF!</definedName>
    <definedName name="mat_end_bud" localSheetId="2">#REF!</definedName>
    <definedName name="mat_end_bud" localSheetId="4">#REF!</definedName>
    <definedName name="mat_end_bud" localSheetId="3">#REF!</definedName>
    <definedName name="mat_end_bud">#REF!</definedName>
    <definedName name="mat12ACT" localSheetId="2">#REF!</definedName>
    <definedName name="mat12ACT" localSheetId="4">#REF!</definedName>
    <definedName name="mat12ACT" localSheetId="3">#REF!</definedName>
    <definedName name="mat12ACT">#REF!</definedName>
    <definedName name="MATBUD" localSheetId="2">#REF!</definedName>
    <definedName name="MATBUD" localSheetId="4">#REF!</definedName>
    <definedName name="MATBUD" localSheetId="3">#REF!</definedName>
    <definedName name="MATBUD">#REF!</definedName>
    <definedName name="matCYACT" localSheetId="2">#REF!</definedName>
    <definedName name="matCYACT" localSheetId="4">#REF!</definedName>
    <definedName name="matCYACT" localSheetId="3">#REF!</definedName>
    <definedName name="matCYACT">#REF!</definedName>
    <definedName name="matCYBUD" localSheetId="2">#REF!</definedName>
    <definedName name="matCYBUD" localSheetId="4">#REF!</definedName>
    <definedName name="matCYBUD" localSheetId="3">#REF!</definedName>
    <definedName name="matCYBUD">#REF!</definedName>
    <definedName name="matCYF" localSheetId="2">#REF!</definedName>
    <definedName name="matCYF" localSheetId="4">#REF!</definedName>
    <definedName name="matCYF" localSheetId="3">#REF!</definedName>
    <definedName name="matCYF">#REF!</definedName>
    <definedName name="MATEND" localSheetId="2">#REF!</definedName>
    <definedName name="MATEND" localSheetId="4">#REF!</definedName>
    <definedName name="MATEND" localSheetId="3">#REF!</definedName>
    <definedName name="MATEND">#REF!</definedName>
    <definedName name="material_costs" localSheetId="2">#REF!</definedName>
    <definedName name="material_costs" localSheetId="4">#REF!</definedName>
    <definedName name="material_costs" localSheetId="3">#REF!</definedName>
    <definedName name="material_costs">#REF!</definedName>
    <definedName name="matNYbud" localSheetId="2">#REF!</definedName>
    <definedName name="matNYbud" localSheetId="4">#REF!</definedName>
    <definedName name="matNYbud" localSheetId="3">#REF!</definedName>
    <definedName name="matNYbud">#REF!</definedName>
    <definedName name="matPYACT" localSheetId="2">#REF!</definedName>
    <definedName name="matPYACT" localSheetId="4">#REF!</definedName>
    <definedName name="matPYACT" localSheetId="3">#REF!</definedName>
    <definedName name="matPYACT">#REF!</definedName>
    <definedName name="MATSTART" localSheetId="2">#REF!</definedName>
    <definedName name="MATSTART" localSheetId="4">#REF!</definedName>
    <definedName name="MATSTART" localSheetId="3">#REF!</definedName>
    <definedName name="MATSTART">#REF!</definedName>
    <definedName name="mea" localSheetId="2">#REF!</definedName>
    <definedName name="mea" localSheetId="4">#REF!</definedName>
    <definedName name="mea" localSheetId="3">#REF!</definedName>
    <definedName name="mea">#REF!</definedName>
    <definedName name="MEABAL" localSheetId="2">#REF!</definedName>
    <definedName name="MEABAL" localSheetId="4">#REF!</definedName>
    <definedName name="MEABAL" localSheetId="3">#REF!</definedName>
    <definedName name="MEABAL">#REF!</definedName>
    <definedName name="MEACASH" localSheetId="2">#REF!</definedName>
    <definedName name="MEACASH" localSheetId="4">#REF!</definedName>
    <definedName name="MEACASH" localSheetId="3">#REF!</definedName>
    <definedName name="MEACASH">#REF!</definedName>
    <definedName name="MEAEQITY" localSheetId="2">#REF!</definedName>
    <definedName name="MEAEQITY" localSheetId="4">#REF!</definedName>
    <definedName name="MEAEQITY" localSheetId="3">#REF!</definedName>
    <definedName name="MEAEQITY">#REF!</definedName>
    <definedName name="MEAOP" localSheetId="2">#REF!</definedName>
    <definedName name="MEAOP" localSheetId="4">#REF!</definedName>
    <definedName name="MEAOP" localSheetId="3">#REF!</definedName>
    <definedName name="MEAOP">#REF!</definedName>
    <definedName name="MofF" localSheetId="2">#REF!</definedName>
    <definedName name="MofF" localSheetId="4">#REF!</definedName>
    <definedName name="MofF" localSheetId="3">#REF!</definedName>
    <definedName name="MofF">#REF!</definedName>
    <definedName name="NewRevReq" localSheetId="8">#REF!</definedName>
    <definedName name="NewRevReq">#REF!</definedName>
    <definedName name="NOTES" localSheetId="2">#REF!</definedName>
    <definedName name="NOTES" localSheetId="4">#REF!</definedName>
    <definedName name="NOTES" localSheetId="3">#REF!</definedName>
    <definedName name="NOTES" localSheetId="8">#REF!</definedName>
    <definedName name="NOTES">#REF!</definedName>
    <definedName name="OPERATING" localSheetId="2">#REF!</definedName>
    <definedName name="OPERATING" localSheetId="4">#REF!</definedName>
    <definedName name="OPERATING" localSheetId="3">#REF!</definedName>
    <definedName name="OPERATING">#REF!</definedName>
    <definedName name="oth_beg_bud" localSheetId="2">#REF!</definedName>
    <definedName name="oth_beg_bud" localSheetId="4">#REF!</definedName>
    <definedName name="oth_beg_bud" localSheetId="3">#REF!</definedName>
    <definedName name="oth_beg_bud">#REF!</definedName>
    <definedName name="oth_end_bud" localSheetId="2">#REF!</definedName>
    <definedName name="oth_end_bud" localSheetId="4">#REF!</definedName>
    <definedName name="oth_end_bud" localSheetId="3">#REF!</definedName>
    <definedName name="oth_end_bud">#REF!</definedName>
    <definedName name="oth12ACT" localSheetId="2">#REF!</definedName>
    <definedName name="oth12ACT" localSheetId="4">#REF!</definedName>
    <definedName name="oth12ACT" localSheetId="3">#REF!</definedName>
    <definedName name="oth12ACT">#REF!</definedName>
    <definedName name="othCYACT" localSheetId="2">#REF!</definedName>
    <definedName name="othCYACT" localSheetId="4">#REF!</definedName>
    <definedName name="othCYACT" localSheetId="3">#REF!</definedName>
    <definedName name="othCYACT">#REF!</definedName>
    <definedName name="othCYBUD" localSheetId="2">#REF!</definedName>
    <definedName name="othCYBUD" localSheetId="4">#REF!</definedName>
    <definedName name="othCYBUD" localSheetId="3">#REF!</definedName>
    <definedName name="othCYBUD">#REF!</definedName>
    <definedName name="othCYF" localSheetId="2">#REF!</definedName>
    <definedName name="othCYF" localSheetId="4">#REF!</definedName>
    <definedName name="othCYF" localSheetId="3">#REF!</definedName>
    <definedName name="othCYF">#REF!</definedName>
    <definedName name="OTHEND" localSheetId="2">#REF!</definedName>
    <definedName name="OTHEND" localSheetId="4">#REF!</definedName>
    <definedName name="OTHEND" localSheetId="3">#REF!</definedName>
    <definedName name="OTHEND">#REF!</definedName>
    <definedName name="other_costs" localSheetId="2">#REF!</definedName>
    <definedName name="other_costs" localSheetId="4">#REF!</definedName>
    <definedName name="other_costs" localSheetId="3">#REF!</definedName>
    <definedName name="other_costs">#REF!</definedName>
    <definedName name="OTHERBUD" localSheetId="2">#REF!</definedName>
    <definedName name="OTHERBUD" localSheetId="4">#REF!</definedName>
    <definedName name="OTHERBUD" localSheetId="3">#REF!</definedName>
    <definedName name="OTHERBUD">#REF!</definedName>
    <definedName name="othNYbud" localSheetId="2">#REF!</definedName>
    <definedName name="othNYbud" localSheetId="4">#REF!</definedName>
    <definedName name="othNYbud" localSheetId="3">#REF!</definedName>
    <definedName name="othNYbud">#REF!</definedName>
    <definedName name="othPYACT" localSheetId="2">#REF!</definedName>
    <definedName name="othPYACT" localSheetId="4">#REF!</definedName>
    <definedName name="othPYACT" localSheetId="3">#REF!</definedName>
    <definedName name="othPYACT">#REF!</definedName>
    <definedName name="OTHSTART" localSheetId="2">#REF!</definedName>
    <definedName name="OTHSTART" localSheetId="4">#REF!</definedName>
    <definedName name="OTHSTART" localSheetId="3">#REF!</definedName>
    <definedName name="OTHSTART">#REF!</definedName>
    <definedName name="PAGE11" localSheetId="2">#REF!</definedName>
    <definedName name="PAGE11" localSheetId="4">#REF!</definedName>
    <definedName name="PAGE11" localSheetId="3">#REF!</definedName>
    <definedName name="PAGE11" localSheetId="8">#REF!</definedName>
    <definedName name="PAGE11">#REF!</definedName>
    <definedName name="PAGE2" localSheetId="8">#REF!</definedName>
    <definedName name="PAGE2">#REF!</definedName>
    <definedName name="PAGE3" localSheetId="2">#REF!</definedName>
    <definedName name="PAGE3" localSheetId="4">#REF!</definedName>
    <definedName name="PAGE3" localSheetId="3">#REF!</definedName>
    <definedName name="PAGE3" localSheetId="8">#REF!</definedName>
    <definedName name="PAGE3">#REF!</definedName>
    <definedName name="PAGE4" localSheetId="2">#REF!</definedName>
    <definedName name="PAGE4" localSheetId="4">#REF!</definedName>
    <definedName name="PAGE4" localSheetId="3">#REF!</definedName>
    <definedName name="PAGE4" localSheetId="8">#REF!</definedName>
    <definedName name="PAGE4">#REF!</definedName>
    <definedName name="PAGE7" localSheetId="2">#REF!</definedName>
    <definedName name="PAGE7" localSheetId="4">#REF!</definedName>
    <definedName name="PAGE7" localSheetId="3">#REF!</definedName>
    <definedName name="PAGE7" localSheetId="8">#REF!</definedName>
    <definedName name="PAGE7">#REF!</definedName>
    <definedName name="PAGE9" localSheetId="2">#REF!</definedName>
    <definedName name="PAGE9" localSheetId="4">#REF!</definedName>
    <definedName name="PAGE9" localSheetId="3">#REF!</definedName>
    <definedName name="PAGE9" localSheetId="8">#REF!</definedName>
    <definedName name="PAGE9">#REF!</definedName>
    <definedName name="PageOne" localSheetId="2">#REF!</definedName>
    <definedName name="PageOne" localSheetId="4">#REF!</definedName>
    <definedName name="PageOne" localSheetId="3">#REF!</definedName>
    <definedName name="PageOne">#REF!</definedName>
    <definedName name="PR" localSheetId="2">#REF!</definedName>
    <definedName name="PR" localSheetId="4">#REF!</definedName>
    <definedName name="PR" localSheetId="3">#REF!</definedName>
    <definedName name="PR">#REF!</definedName>
    <definedName name="_xlnm.Print_Area" localSheetId="1">'Load Forecast Summary'!$A$3:$J$53</definedName>
    <definedName name="_xlnm.Print_Area" localSheetId="2">'Power Purchased Model'!$A$1:$P$129</definedName>
    <definedName name="_xlnm.Print_Area" localSheetId="4">'Power Purchased Model WN-OLD'!$A$1:$P$129</definedName>
    <definedName name="_xlnm.Print_Area" localSheetId="3">'Power Purchased Model-WN'!$A$1:$P$129</definedName>
    <definedName name="_xlnm.Print_Area" localSheetId="6">'Rate Class Customer Model'!$A$1:$M$38</definedName>
    <definedName name="_xlnm.Print_Area" localSheetId="5">'Rate Class Energy Model'!#REF!</definedName>
    <definedName name="_xlnm.Print_Area" localSheetId="7">'Rate Class Load Model'!$A$1:$J$24</definedName>
    <definedName name="Print_Area_MI" localSheetId="2">#REF!</definedName>
    <definedName name="Print_Area_MI" localSheetId="4">#REF!</definedName>
    <definedName name="Print_Area_MI" localSheetId="3">#REF!</definedName>
    <definedName name="Print_Area_MI" localSheetId="8">#REF!</definedName>
    <definedName name="Print_Area_MI">#REF!</definedName>
    <definedName name="print_end" localSheetId="2">#REF!</definedName>
    <definedName name="print_end" localSheetId="4">#REF!</definedName>
    <definedName name="print_end" localSheetId="3">#REF!</definedName>
    <definedName name="print_end">#REF!</definedName>
    <definedName name="_xlnm.Print_Titles" localSheetId="2">'Power Purchased Model'!$A:$P,'Power Purchased Model'!$1:$2</definedName>
    <definedName name="_xlnm.Print_Titles" localSheetId="4">'Power Purchased Model WN-OLD'!$A:$P,'Power Purchased Model WN-OLD'!$1:$2</definedName>
    <definedName name="_xlnm.Print_Titles" localSheetId="3">'Power Purchased Model-WN'!$A:$P,'Power Purchased Model-WN'!$1:$2</definedName>
    <definedName name="PRIOR" localSheetId="2">#REF!</definedName>
    <definedName name="PRIOR" localSheetId="4">#REF!</definedName>
    <definedName name="PRIOR" localSheetId="3">#REF!</definedName>
    <definedName name="PRIOR" localSheetId="8">#REF!</definedName>
    <definedName name="PRIOR">#REF!</definedName>
    <definedName name="Ratebase" localSheetId="8">#REF!</definedName>
    <definedName name="Ratebase">#REF!</definedName>
    <definedName name="RebaseYear">#REF!</definedName>
    <definedName name="RevReqLookupKey" localSheetId="8">#REF!</definedName>
    <definedName name="RevReqLookupKey">#REF!</definedName>
    <definedName name="RevReqRange" localSheetId="8">#REF!</definedName>
    <definedName name="RevReqRange">#REF!</definedName>
    <definedName name="RVCASHPR" localSheetId="2">#REF!</definedName>
    <definedName name="RVCASHPR" localSheetId="4">#REF!</definedName>
    <definedName name="RVCASHPR" localSheetId="3">#REF!</definedName>
    <definedName name="RVCASHPR" localSheetId="8">#REF!</definedName>
    <definedName name="RVCASHPR">#REF!</definedName>
    <definedName name="SALBENF" localSheetId="2">#REF!</definedName>
    <definedName name="SALBENF" localSheetId="4">#REF!</definedName>
    <definedName name="SALBENF" localSheetId="3">#REF!</definedName>
    <definedName name="SALBENF">#REF!</definedName>
    <definedName name="salreg" localSheetId="2">#REF!</definedName>
    <definedName name="salreg" localSheetId="4">#REF!</definedName>
    <definedName name="salreg" localSheetId="3">#REF!</definedName>
    <definedName name="salreg">#REF!</definedName>
    <definedName name="SALREGF" localSheetId="2">#REF!</definedName>
    <definedName name="SALREGF" localSheetId="4">#REF!</definedName>
    <definedName name="SALREGF" localSheetId="3">#REF!</definedName>
    <definedName name="SALREGF">#REF!</definedName>
    <definedName name="SOURCEAPP" localSheetId="2">#REF!</definedName>
    <definedName name="SOURCEAPP" localSheetId="4">#REF!</definedName>
    <definedName name="SOURCEAPP" localSheetId="3">#REF!</definedName>
    <definedName name="SOURCEAPP">#REF!</definedName>
    <definedName name="STATS1" localSheetId="2">#REF!</definedName>
    <definedName name="STATS1" localSheetId="4">#REF!</definedName>
    <definedName name="STATS1" localSheetId="3">#REF!</definedName>
    <definedName name="STATS1">#REF!</definedName>
    <definedName name="STATS2" localSheetId="2">#REF!</definedName>
    <definedName name="STATS2" localSheetId="4">#REF!</definedName>
    <definedName name="STATS2" localSheetId="3">#REF!</definedName>
    <definedName name="STATS2">#REF!</definedName>
    <definedName name="Surtax" localSheetId="2">#REF!</definedName>
    <definedName name="Surtax" localSheetId="4">#REF!</definedName>
    <definedName name="Surtax" localSheetId="3">#REF!</definedName>
    <definedName name="Surtax">#REF!</definedName>
    <definedName name="TEMPA" localSheetId="2">#REF!</definedName>
    <definedName name="TEMPA" localSheetId="4">#REF!</definedName>
    <definedName name="TEMPA" localSheetId="3">#REF!</definedName>
    <definedName name="TEMPA">#REF!</definedName>
    <definedName name="TEST">#REF!</definedName>
    <definedName name="Test_Year">#REF!</definedName>
    <definedName name="TestYr" localSheetId="8">#REF!</definedName>
    <definedName name="TestYr">#REF!</definedName>
    <definedName name="TestYrPL" localSheetId="8">#REF!</definedName>
    <definedName name="TestYrPL">#REF!</definedName>
    <definedName name="total_dept" localSheetId="2">#REF!</definedName>
    <definedName name="total_dept" localSheetId="4">#REF!</definedName>
    <definedName name="total_dept" localSheetId="3">#REF!</definedName>
    <definedName name="total_dept" localSheetId="8">#REF!</definedName>
    <definedName name="total_dept">#REF!</definedName>
    <definedName name="total_manpower" localSheetId="2">#REF!</definedName>
    <definedName name="total_manpower" localSheetId="4">#REF!</definedName>
    <definedName name="total_manpower" localSheetId="3">#REF!</definedName>
    <definedName name="total_manpower">#REF!</definedName>
    <definedName name="total_material" localSheetId="2">#REF!</definedName>
    <definedName name="total_material" localSheetId="4">#REF!</definedName>
    <definedName name="total_material" localSheetId="3">#REF!</definedName>
    <definedName name="total_material">#REF!</definedName>
    <definedName name="total_other" localSheetId="2">#REF!</definedName>
    <definedName name="total_other" localSheetId="4">#REF!</definedName>
    <definedName name="total_other" localSheetId="3">#REF!</definedName>
    <definedName name="total_other">#REF!</definedName>
    <definedName name="total_transportation" localSheetId="2">#REF!</definedName>
    <definedName name="total_transportation" localSheetId="4">#REF!</definedName>
    <definedName name="total_transportation" localSheetId="3">#REF!</definedName>
    <definedName name="total_transportation">#REF!</definedName>
    <definedName name="TOTCAPADDITIONS" localSheetId="2">#REF!</definedName>
    <definedName name="TOTCAPADDITIONS" localSheetId="4">#REF!</definedName>
    <definedName name="TOTCAPADDITIONS" localSheetId="3">#REF!</definedName>
    <definedName name="TOTCAPADDITIONS">#REF!</definedName>
    <definedName name="TRANBUD" localSheetId="2">#REF!</definedName>
    <definedName name="TRANBUD" localSheetId="4">#REF!</definedName>
    <definedName name="TRANBUD" localSheetId="3">#REF!</definedName>
    <definedName name="TRANBUD">#REF!</definedName>
    <definedName name="TRANEND" localSheetId="2">#REF!</definedName>
    <definedName name="TRANEND" localSheetId="4">#REF!</definedName>
    <definedName name="TRANEND" localSheetId="3">#REF!</definedName>
    <definedName name="TRANEND">#REF!</definedName>
    <definedName name="TRANSCAP" localSheetId="2">#REF!</definedName>
    <definedName name="TRANSCAP" localSheetId="4">#REF!</definedName>
    <definedName name="TRANSCAP" localSheetId="3">#REF!</definedName>
    <definedName name="TRANSCAP">#REF!</definedName>
    <definedName name="TRANSFER" localSheetId="2">#REF!</definedName>
    <definedName name="TRANSFER" localSheetId="4">#REF!</definedName>
    <definedName name="TRANSFER" localSheetId="3">#REF!</definedName>
    <definedName name="TRANSFER">#REF!</definedName>
    <definedName name="transportation_costs" localSheetId="2">#REF!</definedName>
    <definedName name="transportation_costs" localSheetId="4">#REF!</definedName>
    <definedName name="transportation_costs" localSheetId="3">#REF!</definedName>
    <definedName name="transportation_costs">#REF!</definedName>
    <definedName name="TRANSTART" localSheetId="2">#REF!</definedName>
    <definedName name="TRANSTART" localSheetId="4">#REF!</definedName>
    <definedName name="TRANSTART" localSheetId="3">#REF!</definedName>
    <definedName name="TRANSTART">#REF!</definedName>
    <definedName name="trn_beg_bud" localSheetId="2">#REF!</definedName>
    <definedName name="trn_beg_bud" localSheetId="4">#REF!</definedName>
    <definedName name="trn_beg_bud" localSheetId="3">#REF!</definedName>
    <definedName name="trn_beg_bud">#REF!</definedName>
    <definedName name="trn_end_bud" localSheetId="2">#REF!</definedName>
    <definedName name="trn_end_bud" localSheetId="4">#REF!</definedName>
    <definedName name="trn_end_bud" localSheetId="3">#REF!</definedName>
    <definedName name="trn_end_bud">#REF!</definedName>
    <definedName name="trn12ACT" localSheetId="2">#REF!</definedName>
    <definedName name="trn12ACT" localSheetId="4">#REF!</definedName>
    <definedName name="trn12ACT" localSheetId="3">#REF!</definedName>
    <definedName name="trn12ACT">#REF!</definedName>
    <definedName name="trnCYACT" localSheetId="2">#REF!</definedName>
    <definedName name="trnCYACT" localSheetId="4">#REF!</definedName>
    <definedName name="trnCYACT" localSheetId="3">#REF!</definedName>
    <definedName name="trnCYACT">#REF!</definedName>
    <definedName name="trnCYBUD" localSheetId="2">#REF!</definedName>
    <definedName name="trnCYBUD" localSheetId="4">#REF!</definedName>
    <definedName name="trnCYBUD" localSheetId="3">#REF!</definedName>
    <definedName name="trnCYBUD">#REF!</definedName>
    <definedName name="trnCYF" localSheetId="2">#REF!</definedName>
    <definedName name="trnCYF" localSheetId="4">#REF!</definedName>
    <definedName name="trnCYF" localSheetId="3">#REF!</definedName>
    <definedName name="trnCYF">#REF!</definedName>
    <definedName name="trnNYbud" localSheetId="2">#REF!</definedName>
    <definedName name="trnNYbud" localSheetId="4">#REF!</definedName>
    <definedName name="trnNYbud" localSheetId="3">#REF!</definedName>
    <definedName name="trnNYbud">#REF!</definedName>
    <definedName name="trnPYACT" localSheetId="2">#REF!</definedName>
    <definedName name="trnPYACT" localSheetId="4">#REF!</definedName>
    <definedName name="trnPYACT" localSheetId="3">#REF!</definedName>
    <definedName name="trnPYACT">#REF!</definedName>
    <definedName name="Utility" localSheetId="8">#REF!</definedName>
    <definedName name="Utility">#REF!</definedName>
    <definedName name="utitliy1" localSheetId="8">#REF!</definedName>
    <definedName name="utitliy1">#REF!</definedName>
    <definedName name="Variable1">#REF!</definedName>
    <definedName name="WAGBENF" localSheetId="2">#REF!</definedName>
    <definedName name="WAGBENF" localSheetId="4">#REF!</definedName>
    <definedName name="WAGBENF" localSheetId="3">#REF!</definedName>
    <definedName name="WAGBENF" localSheetId="8">#REF!</definedName>
    <definedName name="WAGBENF">#REF!</definedName>
    <definedName name="wagdob" localSheetId="2">#REF!</definedName>
    <definedName name="wagdob" localSheetId="4">#REF!</definedName>
    <definedName name="wagdob" localSheetId="3">#REF!</definedName>
    <definedName name="wagdob">#REF!</definedName>
    <definedName name="wagdobf" localSheetId="2">#REF!</definedName>
    <definedName name="wagdobf" localSheetId="4">#REF!</definedName>
    <definedName name="wagdobf" localSheetId="3">#REF!</definedName>
    <definedName name="wagdobf">#REF!</definedName>
    <definedName name="wagreg" localSheetId="2">#REF!</definedName>
    <definedName name="wagreg" localSheetId="4">#REF!</definedName>
    <definedName name="wagreg" localSheetId="3">#REF!</definedName>
    <definedName name="wagreg">#REF!</definedName>
    <definedName name="wagregf" localSheetId="2">#REF!</definedName>
    <definedName name="wagregf" localSheetId="4">#REF!</definedName>
    <definedName name="wagregf" localSheetId="3">#REF!</definedName>
    <definedName name="wagregf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115" i="72" l="1" a="1"/>
  <c r="Y115" i="72" s="1"/>
  <c r="W115" i="72"/>
  <c r="X115" i="72"/>
  <c r="AA115" i="72"/>
  <c r="AB115" i="72"/>
  <c r="AD115" i="72"/>
  <c r="AE115" i="72"/>
  <c r="AC115" i="72" l="1"/>
  <c r="Z115" i="72"/>
  <c r="E24" i="18" l="1"/>
  <c r="E20" i="18"/>
  <c r="B20" i="18" l="1"/>
  <c r="B24" i="18" s="1"/>
  <c r="C24" i="18"/>
  <c r="D24" i="18"/>
  <c r="F24" i="18"/>
  <c r="A20" i="18"/>
  <c r="C20" i="18"/>
  <c r="D20" i="18"/>
  <c r="F20" i="18"/>
  <c r="N4" i="9" l="1"/>
  <c r="N5" i="9"/>
  <c r="N6" i="9"/>
  <c r="N7" i="9"/>
  <c r="N8" i="9"/>
  <c r="N9" i="9"/>
  <c r="N3" i="9"/>
  <c r="E34" i="17"/>
  <c r="F34" i="17"/>
  <c r="G34" i="17"/>
  <c r="H34" i="17"/>
  <c r="I34" i="17"/>
  <c r="H19" i="17"/>
  <c r="G15" i="17"/>
  <c r="G16" i="17"/>
  <c r="G17" i="17"/>
  <c r="I6" i="11" l="1"/>
  <c r="I4" i="11"/>
  <c r="J5" i="11"/>
  <c r="I5" i="11"/>
  <c r="H5" i="11"/>
  <c r="G5" i="11"/>
  <c r="F5" i="11"/>
  <c r="E5" i="11"/>
  <c r="D5" i="11"/>
  <c r="C5" i="11"/>
  <c r="B5" i="11"/>
  <c r="M4" i="9" l="1"/>
  <c r="M3" i="9"/>
  <c r="I47" i="11" l="1"/>
  <c r="I42" i="11"/>
  <c r="I38" i="11"/>
  <c r="I33" i="11"/>
  <c r="I28" i="11"/>
  <c r="I23" i="11"/>
  <c r="I19" i="11"/>
  <c r="I15" i="11"/>
  <c r="K18" i="9"/>
  <c r="L18" i="9"/>
  <c r="M18" i="9"/>
  <c r="N18" i="9"/>
  <c r="E124" i="79"/>
  <c r="E123" i="79"/>
  <c r="F122" i="79"/>
  <c r="P122" i="79" s="1"/>
  <c r="F121" i="79"/>
  <c r="P121" i="79" s="1"/>
  <c r="P120" i="79"/>
  <c r="F120" i="79"/>
  <c r="P119" i="79"/>
  <c r="F119" i="79"/>
  <c r="P118" i="79"/>
  <c r="F118" i="79"/>
  <c r="P117" i="79"/>
  <c r="F117" i="79"/>
  <c r="F116" i="79"/>
  <c r="C104" i="79"/>
  <c r="B104" i="79"/>
  <c r="C103" i="79"/>
  <c r="B103" i="79"/>
  <c r="D103" i="79" s="1"/>
  <c r="C102" i="79"/>
  <c r="B102" i="79"/>
  <c r="D102" i="79" s="1"/>
  <c r="C101" i="79"/>
  <c r="B101" i="79"/>
  <c r="C100" i="79"/>
  <c r="B100" i="79"/>
  <c r="C99" i="79"/>
  <c r="D99" i="79" s="1"/>
  <c r="B99" i="79"/>
  <c r="C98" i="79"/>
  <c r="B98" i="79"/>
  <c r="D98" i="79" s="1"/>
  <c r="C97" i="79"/>
  <c r="B97" i="79"/>
  <c r="D97" i="79" s="1"/>
  <c r="C96" i="79"/>
  <c r="B96" i="79"/>
  <c r="C95" i="79"/>
  <c r="D95" i="79" s="1"/>
  <c r="B95" i="79"/>
  <c r="C94" i="79"/>
  <c r="B94" i="79"/>
  <c r="C93" i="79"/>
  <c r="B93" i="79"/>
  <c r="D93" i="79" s="1"/>
  <c r="C92" i="79"/>
  <c r="B92" i="79"/>
  <c r="C91" i="79"/>
  <c r="B91" i="79"/>
  <c r="D91" i="79" s="1"/>
  <c r="C90" i="79"/>
  <c r="B90" i="79"/>
  <c r="D90" i="79" s="1"/>
  <c r="C89" i="79"/>
  <c r="B89" i="79"/>
  <c r="C88" i="79"/>
  <c r="D88" i="79" s="1"/>
  <c r="B88" i="79"/>
  <c r="C87" i="79"/>
  <c r="B87" i="79"/>
  <c r="D87" i="79" s="1"/>
  <c r="L86" i="79"/>
  <c r="N86" i="79" s="1"/>
  <c r="O86" i="79" s="1"/>
  <c r="E86" i="79"/>
  <c r="C86" i="79"/>
  <c r="B86" i="79"/>
  <c r="D86" i="79" s="1"/>
  <c r="G86" i="79" s="1"/>
  <c r="L85" i="79"/>
  <c r="E85" i="79"/>
  <c r="C85" i="79"/>
  <c r="B85" i="79"/>
  <c r="D85" i="79" s="1"/>
  <c r="G85" i="79" s="1"/>
  <c r="L84" i="79"/>
  <c r="E84" i="79"/>
  <c r="C84" i="79"/>
  <c r="B84" i="79"/>
  <c r="D84" i="79" s="1"/>
  <c r="G84" i="79" s="1"/>
  <c r="L83" i="79"/>
  <c r="N83" i="79"/>
  <c r="E83" i="79"/>
  <c r="C83" i="79"/>
  <c r="B83" i="79"/>
  <c r="L82" i="79"/>
  <c r="N82" i="79" s="1"/>
  <c r="E82" i="79"/>
  <c r="C82" i="79"/>
  <c r="B82" i="79"/>
  <c r="D82" i="79" s="1"/>
  <c r="G82" i="79" s="1"/>
  <c r="L81" i="79"/>
  <c r="N81" i="79" s="1"/>
  <c r="E81" i="79"/>
  <c r="C81" i="79"/>
  <c r="B81" i="79"/>
  <c r="D81" i="79" s="1"/>
  <c r="G81" i="79" s="1"/>
  <c r="L80" i="79"/>
  <c r="N80" i="79"/>
  <c r="E80" i="79"/>
  <c r="D80" i="79"/>
  <c r="C80" i="79"/>
  <c r="B80" i="79"/>
  <c r="L79" i="79"/>
  <c r="N79" i="79" s="1"/>
  <c r="E79" i="79"/>
  <c r="C79" i="79"/>
  <c r="B79" i="79"/>
  <c r="N78" i="79"/>
  <c r="L78" i="79"/>
  <c r="E78" i="79"/>
  <c r="C78" i="79"/>
  <c r="B78" i="79"/>
  <c r="D78" i="79" s="1"/>
  <c r="G78" i="79" s="1"/>
  <c r="L77" i="79"/>
  <c r="E77" i="79"/>
  <c r="C77" i="79"/>
  <c r="B77" i="79"/>
  <c r="L76" i="79"/>
  <c r="N76" i="79"/>
  <c r="E76" i="79"/>
  <c r="D76" i="79"/>
  <c r="G76" i="79" s="1"/>
  <c r="C76" i="79"/>
  <c r="B76" i="79"/>
  <c r="L75" i="79"/>
  <c r="N75" i="79" s="1"/>
  <c r="E75" i="79"/>
  <c r="C75" i="79"/>
  <c r="B75" i="79"/>
  <c r="B122" i="79" s="1"/>
  <c r="L74" i="79"/>
  <c r="N74" i="79" s="1"/>
  <c r="E74" i="79"/>
  <c r="C74" i="79"/>
  <c r="B74" i="79"/>
  <c r="L73" i="79"/>
  <c r="N73" i="79" s="1"/>
  <c r="E73" i="79"/>
  <c r="D73" i="79"/>
  <c r="G73" i="79" s="1"/>
  <c r="C73" i="79"/>
  <c r="B73" i="79"/>
  <c r="L72" i="79"/>
  <c r="N72" i="79" s="1"/>
  <c r="E72" i="79"/>
  <c r="C72" i="79"/>
  <c r="D72" i="79" s="1"/>
  <c r="G72" i="79" s="1"/>
  <c r="B72" i="79"/>
  <c r="L71" i="79"/>
  <c r="N71" i="79" s="1"/>
  <c r="E71" i="79"/>
  <c r="C71" i="79"/>
  <c r="B71" i="79"/>
  <c r="L70" i="79"/>
  <c r="N70" i="79" s="1"/>
  <c r="E70" i="79"/>
  <c r="C70" i="79"/>
  <c r="B70" i="79"/>
  <c r="L69" i="79"/>
  <c r="E69" i="79"/>
  <c r="C69" i="79"/>
  <c r="B69" i="79"/>
  <c r="L68" i="79"/>
  <c r="E68" i="79"/>
  <c r="D68" i="79"/>
  <c r="G68" i="79" s="1"/>
  <c r="C68" i="79"/>
  <c r="B68" i="79"/>
  <c r="L67" i="79"/>
  <c r="N67" i="79" s="1"/>
  <c r="E67" i="79"/>
  <c r="C67" i="79"/>
  <c r="D67" i="79" s="1"/>
  <c r="G67" i="79" s="1"/>
  <c r="B67" i="79"/>
  <c r="N66" i="79"/>
  <c r="L66" i="79"/>
  <c r="E66" i="79"/>
  <c r="C66" i="79"/>
  <c r="B66" i="79"/>
  <c r="L65" i="79"/>
  <c r="N65" i="79" s="1"/>
  <c r="E65" i="79"/>
  <c r="C65" i="79"/>
  <c r="D65" i="79" s="1"/>
  <c r="G65" i="79" s="1"/>
  <c r="B65" i="79"/>
  <c r="L64" i="79"/>
  <c r="N64" i="79"/>
  <c r="E64" i="79"/>
  <c r="C64" i="79"/>
  <c r="B64" i="79"/>
  <c r="L63" i="79"/>
  <c r="N63" i="79" s="1"/>
  <c r="E63" i="79"/>
  <c r="C63" i="79"/>
  <c r="B63" i="79"/>
  <c r="L62" i="79"/>
  <c r="N62" i="79" s="1"/>
  <c r="E62" i="79"/>
  <c r="C62" i="79"/>
  <c r="B62" i="79"/>
  <c r="D62" i="79" s="1"/>
  <c r="G62" i="79" s="1"/>
  <c r="L61" i="79"/>
  <c r="N61" i="79"/>
  <c r="E61" i="79"/>
  <c r="C61" i="79"/>
  <c r="B61" i="79"/>
  <c r="L60" i="79"/>
  <c r="E60" i="79"/>
  <c r="D60" i="79"/>
  <c r="G60" i="79" s="1"/>
  <c r="C60" i="79"/>
  <c r="B60" i="79"/>
  <c r="L59" i="79"/>
  <c r="N59" i="79" s="1"/>
  <c r="E59" i="79"/>
  <c r="C59" i="79"/>
  <c r="B59" i="79"/>
  <c r="L58" i="79"/>
  <c r="N58" i="79" s="1"/>
  <c r="E58" i="79"/>
  <c r="C58" i="79"/>
  <c r="B58" i="79"/>
  <c r="L57" i="79"/>
  <c r="N57" i="79" s="1"/>
  <c r="E57" i="79"/>
  <c r="D57" i="79"/>
  <c r="G57" i="79" s="1"/>
  <c r="C57" i="79"/>
  <c r="B57" i="79"/>
  <c r="L56" i="79"/>
  <c r="N56" i="79" s="1"/>
  <c r="O56" i="79" s="1"/>
  <c r="E56" i="79"/>
  <c r="C56" i="79"/>
  <c r="D56" i="79" s="1"/>
  <c r="G56" i="79" s="1"/>
  <c r="B56" i="79"/>
  <c r="L55" i="79"/>
  <c r="N55" i="79" s="1"/>
  <c r="E55" i="79"/>
  <c r="C55" i="79"/>
  <c r="B55" i="79"/>
  <c r="L54" i="79"/>
  <c r="N54" i="79" s="1"/>
  <c r="E54" i="79"/>
  <c r="C54" i="79"/>
  <c r="B54" i="79"/>
  <c r="L53" i="79"/>
  <c r="E53" i="79"/>
  <c r="C53" i="79"/>
  <c r="B53" i="79"/>
  <c r="D53" i="79" s="1"/>
  <c r="L52" i="79"/>
  <c r="N52" i="79" s="1"/>
  <c r="E52" i="79"/>
  <c r="C52" i="79"/>
  <c r="B52" i="79"/>
  <c r="D52" i="79" s="1"/>
  <c r="G52" i="79" s="1"/>
  <c r="L51" i="79"/>
  <c r="N51" i="79"/>
  <c r="E51" i="79"/>
  <c r="C51" i="79"/>
  <c r="B51" i="79"/>
  <c r="N50" i="79"/>
  <c r="L50" i="79"/>
  <c r="E50" i="79"/>
  <c r="C50" i="79"/>
  <c r="B50" i="79"/>
  <c r="D50" i="79" s="1"/>
  <c r="G50" i="79" s="1"/>
  <c r="L49" i="79"/>
  <c r="N49" i="79" s="1"/>
  <c r="E49" i="79"/>
  <c r="D49" i="79"/>
  <c r="G49" i="79" s="1"/>
  <c r="C49" i="79"/>
  <c r="B49" i="79"/>
  <c r="L48" i="79"/>
  <c r="N48" i="79"/>
  <c r="E48" i="79"/>
  <c r="D48" i="79"/>
  <c r="C48" i="79"/>
  <c r="B48" i="79"/>
  <c r="L47" i="79"/>
  <c r="N47" i="79" s="1"/>
  <c r="E47" i="79"/>
  <c r="C47" i="79"/>
  <c r="B47" i="79"/>
  <c r="L46" i="79"/>
  <c r="N46" i="79" s="1"/>
  <c r="E46" i="79"/>
  <c r="C46" i="79"/>
  <c r="B46" i="79"/>
  <c r="L45" i="79"/>
  <c r="E45" i="79"/>
  <c r="C45" i="79"/>
  <c r="B45" i="79"/>
  <c r="L44" i="79"/>
  <c r="E44" i="79"/>
  <c r="D44" i="79"/>
  <c r="C44" i="79"/>
  <c r="B44" i="79"/>
  <c r="L43" i="79"/>
  <c r="N43" i="79" s="1"/>
  <c r="E43" i="79"/>
  <c r="C43" i="79"/>
  <c r="B43" i="79"/>
  <c r="D43" i="79" s="1"/>
  <c r="G43" i="79" s="1"/>
  <c r="L42" i="79"/>
  <c r="N42" i="79" s="1"/>
  <c r="E42" i="79"/>
  <c r="C42" i="79"/>
  <c r="B42" i="79"/>
  <c r="L41" i="79"/>
  <c r="N41" i="79" s="1"/>
  <c r="E41" i="79"/>
  <c r="C41" i="79"/>
  <c r="B41" i="79"/>
  <c r="D41" i="79" s="1"/>
  <c r="G41" i="79" s="1"/>
  <c r="L40" i="79"/>
  <c r="E40" i="79"/>
  <c r="D40" i="79"/>
  <c r="C40" i="79"/>
  <c r="B40" i="79"/>
  <c r="L39" i="79"/>
  <c r="N39" i="79" s="1"/>
  <c r="E39" i="79"/>
  <c r="C39" i="79"/>
  <c r="B39" i="79"/>
  <c r="L38" i="79"/>
  <c r="N38" i="79" s="1"/>
  <c r="E38" i="79"/>
  <c r="C38" i="79"/>
  <c r="B38" i="79"/>
  <c r="D38" i="79" s="1"/>
  <c r="G38" i="79" s="1"/>
  <c r="L37" i="79"/>
  <c r="N37" i="79"/>
  <c r="E37" i="79"/>
  <c r="C37" i="79"/>
  <c r="B37" i="79"/>
  <c r="L36" i="79"/>
  <c r="N36" i="79" s="1"/>
  <c r="E36" i="79"/>
  <c r="C36" i="79"/>
  <c r="B36" i="79"/>
  <c r="D36" i="79" s="1"/>
  <c r="G36" i="79" s="1"/>
  <c r="L35" i="79"/>
  <c r="N35" i="79" s="1"/>
  <c r="E35" i="79"/>
  <c r="C35" i="79"/>
  <c r="B35" i="79"/>
  <c r="L34" i="79"/>
  <c r="N34" i="79" s="1"/>
  <c r="E34" i="79"/>
  <c r="C34" i="79"/>
  <c r="B34" i="79"/>
  <c r="L33" i="79"/>
  <c r="N33" i="79" s="1"/>
  <c r="E33" i="79"/>
  <c r="C33" i="79"/>
  <c r="B33" i="79"/>
  <c r="L32" i="79"/>
  <c r="N32" i="79"/>
  <c r="G32" i="79"/>
  <c r="E32" i="79"/>
  <c r="C32" i="79"/>
  <c r="D32" i="79" s="1"/>
  <c r="B32" i="79"/>
  <c r="L31" i="79"/>
  <c r="N31" i="79" s="1"/>
  <c r="E31" i="79"/>
  <c r="C31" i="79"/>
  <c r="B31" i="79"/>
  <c r="L30" i="79"/>
  <c r="E30" i="79"/>
  <c r="C30" i="79"/>
  <c r="B30" i="79"/>
  <c r="D30" i="79" s="1"/>
  <c r="L29" i="79"/>
  <c r="E29" i="79"/>
  <c r="D29" i="79"/>
  <c r="C29" i="79"/>
  <c r="B29" i="79"/>
  <c r="L28" i="79"/>
  <c r="N28" i="79" s="1"/>
  <c r="E28" i="79"/>
  <c r="C28" i="79"/>
  <c r="B28" i="79"/>
  <c r="D28" i="79" s="1"/>
  <c r="G28" i="79" s="1"/>
  <c r="L27" i="79"/>
  <c r="N27" i="79" s="1"/>
  <c r="E27" i="79"/>
  <c r="C27" i="79"/>
  <c r="D27" i="79" s="1"/>
  <c r="B27" i="79"/>
  <c r="L26" i="79"/>
  <c r="N26" i="79" s="1"/>
  <c r="E26" i="79"/>
  <c r="C26" i="79"/>
  <c r="B26" i="79"/>
  <c r="L25" i="79"/>
  <c r="N25" i="79" s="1"/>
  <c r="E25" i="79"/>
  <c r="C25" i="79"/>
  <c r="B25" i="79"/>
  <c r="D25" i="79" s="1"/>
  <c r="G25" i="79" s="1"/>
  <c r="L24" i="79"/>
  <c r="E24" i="79"/>
  <c r="C24" i="79"/>
  <c r="B24" i="79"/>
  <c r="D24" i="79" s="1"/>
  <c r="L23" i="79"/>
  <c r="E23" i="79"/>
  <c r="C23" i="79"/>
  <c r="B23" i="79"/>
  <c r="D23" i="79" s="1"/>
  <c r="G23" i="79" s="1"/>
  <c r="L22" i="79"/>
  <c r="N22" i="79" s="1"/>
  <c r="E22" i="79"/>
  <c r="C22" i="79"/>
  <c r="B22" i="79"/>
  <c r="L21" i="79"/>
  <c r="N21" i="79" s="1"/>
  <c r="E21" i="79"/>
  <c r="C21" i="79"/>
  <c r="B21" i="79"/>
  <c r="L20" i="79"/>
  <c r="N20" i="79" s="1"/>
  <c r="O20" i="79" s="1"/>
  <c r="P20" i="79" s="1"/>
  <c r="Q20" i="79" s="1"/>
  <c r="E20" i="79"/>
  <c r="D20" i="79"/>
  <c r="G20" i="79" s="1"/>
  <c r="C20" i="79"/>
  <c r="B20" i="79"/>
  <c r="L19" i="79"/>
  <c r="N19" i="79" s="1"/>
  <c r="E19" i="79"/>
  <c r="C19" i="79"/>
  <c r="D19" i="79" s="1"/>
  <c r="G19" i="79" s="1"/>
  <c r="B19" i="79"/>
  <c r="L18" i="79"/>
  <c r="N18" i="79" s="1"/>
  <c r="E18" i="79"/>
  <c r="C18" i="79"/>
  <c r="B18" i="79"/>
  <c r="L17" i="79"/>
  <c r="N17" i="79" s="1"/>
  <c r="E17" i="79"/>
  <c r="C17" i="79"/>
  <c r="B17" i="79"/>
  <c r="D17" i="79" s="1"/>
  <c r="G17" i="79" s="1"/>
  <c r="L16" i="79"/>
  <c r="E16" i="79"/>
  <c r="C16" i="79"/>
  <c r="B16" i="79"/>
  <c r="D16" i="79" s="1"/>
  <c r="G16" i="79" s="1"/>
  <c r="L15" i="79"/>
  <c r="N15" i="79" s="1"/>
  <c r="E15" i="79"/>
  <c r="C15" i="79"/>
  <c r="D15" i="79" s="1"/>
  <c r="B15" i="79"/>
  <c r="L14" i="79"/>
  <c r="E14" i="79"/>
  <c r="C14" i="79"/>
  <c r="B14" i="79"/>
  <c r="L13" i="79"/>
  <c r="N13" i="79" s="1"/>
  <c r="E13" i="79"/>
  <c r="C13" i="79"/>
  <c r="B13" i="79"/>
  <c r="L12" i="79"/>
  <c r="E12" i="79"/>
  <c r="D12" i="79"/>
  <c r="C12" i="79"/>
  <c r="B12" i="79"/>
  <c r="L11" i="79"/>
  <c r="E11" i="79"/>
  <c r="C11" i="79"/>
  <c r="B11" i="79"/>
  <c r="L10" i="79"/>
  <c r="E10" i="79"/>
  <c r="C10" i="79"/>
  <c r="B10" i="79"/>
  <c r="L9" i="79"/>
  <c r="E9" i="79"/>
  <c r="C9" i="79"/>
  <c r="B9" i="79"/>
  <c r="D9" i="79" s="1"/>
  <c r="G9" i="79" s="1"/>
  <c r="L8" i="79"/>
  <c r="N8" i="79" s="1"/>
  <c r="E8" i="79"/>
  <c r="C8" i="79"/>
  <c r="B8" i="79"/>
  <c r="D8" i="79" s="1"/>
  <c r="L7" i="79"/>
  <c r="E7" i="79"/>
  <c r="C7" i="79"/>
  <c r="B7" i="79"/>
  <c r="D7" i="79" s="1"/>
  <c r="G7" i="79" s="1"/>
  <c r="L6" i="79"/>
  <c r="N6" i="79" s="1"/>
  <c r="E6" i="79"/>
  <c r="C6" i="79"/>
  <c r="B6" i="79"/>
  <c r="N5" i="79"/>
  <c r="L5" i="79"/>
  <c r="E5" i="79"/>
  <c r="C5" i="79"/>
  <c r="B5" i="79"/>
  <c r="L4" i="79"/>
  <c r="N4" i="79" s="1"/>
  <c r="E4" i="79"/>
  <c r="D4" i="79"/>
  <c r="C4" i="79"/>
  <c r="B4" i="79"/>
  <c r="L3" i="79"/>
  <c r="N3" i="79" s="1"/>
  <c r="E3" i="79"/>
  <c r="C3" i="79"/>
  <c r="B3" i="79"/>
  <c r="G10" i="9"/>
  <c r="I56" i="11" s="1"/>
  <c r="F126" i="72"/>
  <c r="E124" i="72"/>
  <c r="F124" i="72"/>
  <c r="F123" i="72"/>
  <c r="E123" i="72"/>
  <c r="O52" i="79" l="1"/>
  <c r="D11" i="79"/>
  <c r="G11" i="79" s="1"/>
  <c r="D13" i="79"/>
  <c r="G13" i="79" s="1"/>
  <c r="D51" i="79"/>
  <c r="D120" i="79" s="1"/>
  <c r="D59" i="79"/>
  <c r="G59" i="79" s="1"/>
  <c r="O59" i="79" s="1"/>
  <c r="O72" i="79"/>
  <c r="E122" i="79"/>
  <c r="O122" i="79" s="1"/>
  <c r="D6" i="79"/>
  <c r="G6" i="79" s="1"/>
  <c r="D37" i="79"/>
  <c r="G37" i="79" s="1"/>
  <c r="G40" i="79"/>
  <c r="D42" i="79"/>
  <c r="G42" i="79" s="1"/>
  <c r="O42" i="79" s="1"/>
  <c r="D45" i="79"/>
  <c r="G45" i="79" s="1"/>
  <c r="G48" i="79"/>
  <c r="D74" i="79"/>
  <c r="G74" i="79" s="1"/>
  <c r="D83" i="79"/>
  <c r="G83" i="79" s="1"/>
  <c r="D96" i="79"/>
  <c r="D104" i="79"/>
  <c r="G29" i="79"/>
  <c r="D31" i="79"/>
  <c r="D47" i="79"/>
  <c r="G47" i="79" s="1"/>
  <c r="O47" i="79" s="1"/>
  <c r="D58" i="79"/>
  <c r="G58" i="79" s="1"/>
  <c r="D61" i="79"/>
  <c r="G61" i="79" s="1"/>
  <c r="D64" i="79"/>
  <c r="G64" i="79" s="1"/>
  <c r="D69" i="79"/>
  <c r="G69" i="79" s="1"/>
  <c r="D71" i="79"/>
  <c r="G71" i="79" s="1"/>
  <c r="O71" i="79" s="1"/>
  <c r="D77" i="79"/>
  <c r="G77" i="79" s="1"/>
  <c r="O78" i="79"/>
  <c r="G80" i="79"/>
  <c r="O80" i="79" s="1"/>
  <c r="O81" i="79"/>
  <c r="D5" i="79"/>
  <c r="G5" i="79" s="1"/>
  <c r="O5" i="79" s="1"/>
  <c r="D10" i="79"/>
  <c r="G10" i="79" s="1"/>
  <c r="O48" i="79"/>
  <c r="O62" i="79"/>
  <c r="S62" i="79" s="1"/>
  <c r="T62" i="79" s="1"/>
  <c r="D66" i="79"/>
  <c r="D89" i="79"/>
  <c r="G31" i="79"/>
  <c r="O31" i="79" s="1"/>
  <c r="G12" i="79"/>
  <c r="D33" i="79"/>
  <c r="G33" i="79" s="1"/>
  <c r="O33" i="79" s="1"/>
  <c r="D46" i="79"/>
  <c r="G46" i="79" s="1"/>
  <c r="O46" i="79" s="1"/>
  <c r="O61" i="79"/>
  <c r="R61" i="79" s="1"/>
  <c r="G66" i="79"/>
  <c r="D101" i="79"/>
  <c r="D18" i="79"/>
  <c r="G18" i="79" s="1"/>
  <c r="O18" i="79" s="1"/>
  <c r="E119" i="79"/>
  <c r="O119" i="79" s="1"/>
  <c r="O50" i="79"/>
  <c r="P50" i="79" s="1"/>
  <c r="Q50" i="79" s="1"/>
  <c r="D54" i="79"/>
  <c r="G54" i="79" s="1"/>
  <c r="O54" i="79" s="1"/>
  <c r="E121" i="79"/>
  <c r="O121" i="79" s="1"/>
  <c r="D70" i="79"/>
  <c r="G70" i="79" s="1"/>
  <c r="O70" i="79" s="1"/>
  <c r="G4" i="79"/>
  <c r="D21" i="79"/>
  <c r="G21" i="79" s="1"/>
  <c r="G24" i="79"/>
  <c r="O25" i="79"/>
  <c r="D35" i="79"/>
  <c r="G35" i="79" s="1"/>
  <c r="O35" i="79" s="1"/>
  <c r="R35" i="79" s="1"/>
  <c r="D75" i="79"/>
  <c r="G75" i="79" s="1"/>
  <c r="D94" i="79"/>
  <c r="O67" i="79"/>
  <c r="P67" i="79" s="1"/>
  <c r="Q67" i="79" s="1"/>
  <c r="O19" i="79"/>
  <c r="S20" i="79" s="1"/>
  <c r="T20" i="79" s="1"/>
  <c r="N9" i="79"/>
  <c r="O9" i="79" s="1"/>
  <c r="P9" i="79" s="1"/>
  <c r="Q9" i="79" s="1"/>
  <c r="O6" i="79"/>
  <c r="P6" i="79" s="1"/>
  <c r="Q6" i="79" s="1"/>
  <c r="R56" i="79"/>
  <c r="P56" i="79"/>
  <c r="Q56" i="79" s="1"/>
  <c r="P31" i="79"/>
  <c r="Q31" i="79" s="1"/>
  <c r="R31" i="79"/>
  <c r="P25" i="79"/>
  <c r="Q25" i="79" s="1"/>
  <c r="R25" i="79"/>
  <c r="O17" i="79"/>
  <c r="G27" i="79"/>
  <c r="O27" i="79" s="1"/>
  <c r="O38" i="79"/>
  <c r="B117" i="79"/>
  <c r="E116" i="79"/>
  <c r="N7" i="79"/>
  <c r="O7" i="79" s="1"/>
  <c r="D22" i="79"/>
  <c r="G22" i="79" s="1"/>
  <c r="O22" i="79" s="1"/>
  <c r="N24" i="79"/>
  <c r="O24" i="79" s="1"/>
  <c r="N30" i="79"/>
  <c r="B119" i="79"/>
  <c r="D39" i="79"/>
  <c r="D55" i="79"/>
  <c r="G55" i="79" s="1"/>
  <c r="O55" i="79" s="1"/>
  <c r="S56" i="79" s="1"/>
  <c r="T56" i="79" s="1"/>
  <c r="R86" i="79"/>
  <c r="P86" i="79"/>
  <c r="Q86" i="79" s="1"/>
  <c r="N14" i="79"/>
  <c r="O4" i="79"/>
  <c r="O32" i="79"/>
  <c r="O43" i="79"/>
  <c r="R48" i="79"/>
  <c r="P48" i="79"/>
  <c r="Q48" i="79" s="1"/>
  <c r="R80" i="79"/>
  <c r="P80" i="79"/>
  <c r="Q80" i="79" s="1"/>
  <c r="O28" i="79"/>
  <c r="R72" i="79"/>
  <c r="P72" i="79"/>
  <c r="Q72" i="79" s="1"/>
  <c r="G15" i="79"/>
  <c r="O15" i="79" s="1"/>
  <c r="O13" i="79"/>
  <c r="N10" i="79"/>
  <c r="O10" i="79" s="1"/>
  <c r="N11" i="79"/>
  <c r="O11" i="79" s="1"/>
  <c r="D14" i="79"/>
  <c r="G14" i="79" s="1"/>
  <c r="N16" i="79"/>
  <c r="O16" i="79" s="1"/>
  <c r="O21" i="79"/>
  <c r="D26" i="79"/>
  <c r="G26" i="79" s="1"/>
  <c r="O26" i="79" s="1"/>
  <c r="O37" i="79"/>
  <c r="O41" i="79"/>
  <c r="O57" i="79"/>
  <c r="P116" i="79"/>
  <c r="R20" i="79"/>
  <c r="B116" i="79"/>
  <c r="D3" i="79"/>
  <c r="G8" i="79"/>
  <c r="O8" i="79" s="1"/>
  <c r="S9" i="79" s="1"/>
  <c r="T9" i="79" s="1"/>
  <c r="N12" i="79"/>
  <c r="O12" i="79" s="1"/>
  <c r="N23" i="79"/>
  <c r="O23" i="79" s="1"/>
  <c r="N29" i="79"/>
  <c r="G30" i="79"/>
  <c r="E120" i="79"/>
  <c r="O120" i="79" s="1"/>
  <c r="R52" i="79"/>
  <c r="P52" i="79"/>
  <c r="Q52" i="79" s="1"/>
  <c r="O64" i="79"/>
  <c r="O73" i="79"/>
  <c r="E118" i="79"/>
  <c r="O118" i="79" s="1"/>
  <c r="O75" i="79"/>
  <c r="O36" i="79"/>
  <c r="N40" i="79"/>
  <c r="O40" i="79" s="1"/>
  <c r="B120" i="79"/>
  <c r="N53" i="79"/>
  <c r="O58" i="79"/>
  <c r="B121" i="79"/>
  <c r="D63" i="79"/>
  <c r="O74" i="79"/>
  <c r="O76" i="79"/>
  <c r="N77" i="79"/>
  <c r="O77" i="79" s="1"/>
  <c r="G44" i="79"/>
  <c r="N60" i="79"/>
  <c r="O60" i="79" s="1"/>
  <c r="O65" i="79"/>
  <c r="D92" i="79"/>
  <c r="S81" i="79"/>
  <c r="T81" i="79" s="1"/>
  <c r="R81" i="79"/>
  <c r="E117" i="79"/>
  <c r="O117" i="79" s="1"/>
  <c r="D34" i="79"/>
  <c r="G34" i="79" s="1"/>
  <c r="O34" i="79" s="1"/>
  <c r="N44" i="79"/>
  <c r="O49" i="79"/>
  <c r="O66" i="79"/>
  <c r="S67" i="79" s="1"/>
  <c r="T67" i="79" s="1"/>
  <c r="D79" i="79"/>
  <c r="G79" i="79" s="1"/>
  <c r="O79" i="79" s="1"/>
  <c r="P81" i="79"/>
  <c r="Q81" i="79" s="1"/>
  <c r="O83" i="79"/>
  <c r="R78" i="79"/>
  <c r="P78" i="79"/>
  <c r="Q78" i="79" s="1"/>
  <c r="B118" i="79"/>
  <c r="N45" i="79"/>
  <c r="N120" i="79"/>
  <c r="Q120" i="79" s="1"/>
  <c r="R120" i="72" s="1"/>
  <c r="G53" i="79"/>
  <c r="N68" i="79"/>
  <c r="O68" i="79" s="1"/>
  <c r="N69" i="79"/>
  <c r="O69" i="79" s="1"/>
  <c r="O82" i="79"/>
  <c r="N84" i="79"/>
  <c r="O84" i="79" s="1"/>
  <c r="N85" i="79"/>
  <c r="O85" i="79" s="1"/>
  <c r="S86" i="79" s="1"/>
  <c r="T86" i="79" s="1"/>
  <c r="D100" i="79"/>
  <c r="D124" i="79" s="1"/>
  <c r="R13" i="17"/>
  <c r="L100" i="79" s="1"/>
  <c r="N100" i="79" s="1"/>
  <c r="R14" i="17"/>
  <c r="L101" i="79" s="1"/>
  <c r="N101" i="79" s="1"/>
  <c r="R15" i="17"/>
  <c r="L102" i="79" s="1"/>
  <c r="N102" i="79" s="1"/>
  <c r="R16" i="17"/>
  <c r="L103" i="79" s="1"/>
  <c r="N103" i="79" s="1"/>
  <c r="R17" i="17"/>
  <c r="L104" i="79" s="1"/>
  <c r="N104" i="79" s="1"/>
  <c r="R12" i="17"/>
  <c r="L99" i="79" s="1"/>
  <c r="N99" i="79" s="1"/>
  <c r="Q23" i="17"/>
  <c r="L98" i="79" s="1"/>
  <c r="N98" i="79" s="1"/>
  <c r="G58" i="17"/>
  <c r="H58" i="17"/>
  <c r="I58" i="17"/>
  <c r="G59" i="17"/>
  <c r="H59" i="17"/>
  <c r="I59" i="17"/>
  <c r="G60" i="17"/>
  <c r="H60" i="17"/>
  <c r="I60" i="17"/>
  <c r="G61" i="17"/>
  <c r="H61" i="17"/>
  <c r="I61" i="17"/>
  <c r="G62" i="17"/>
  <c r="H62" i="17"/>
  <c r="I62" i="17"/>
  <c r="G57" i="17"/>
  <c r="H57" i="17"/>
  <c r="I57" i="17"/>
  <c r="G48" i="17"/>
  <c r="H48" i="17"/>
  <c r="H55" i="17" s="1"/>
  <c r="I48" i="17"/>
  <c r="G49" i="17"/>
  <c r="H49" i="17"/>
  <c r="I49" i="17"/>
  <c r="G50" i="17"/>
  <c r="H50" i="17"/>
  <c r="I50" i="17"/>
  <c r="G51" i="17"/>
  <c r="H51" i="17"/>
  <c r="I51" i="17"/>
  <c r="G52" i="17"/>
  <c r="H52" i="17"/>
  <c r="I52" i="17"/>
  <c r="G53" i="17"/>
  <c r="H53" i="17"/>
  <c r="I53" i="17"/>
  <c r="D40" i="17"/>
  <c r="C40" i="17"/>
  <c r="B40" i="17"/>
  <c r="D18" i="17"/>
  <c r="J18" i="9" s="1"/>
  <c r="C18" i="17"/>
  <c r="I18" i="9" s="1"/>
  <c r="G30" i="17"/>
  <c r="H30" i="17"/>
  <c r="A30" i="17"/>
  <c r="B18" i="17"/>
  <c r="H18" i="9" s="1"/>
  <c r="P46" i="79" l="1"/>
  <c r="Q46" i="79" s="1"/>
  <c r="R46" i="79"/>
  <c r="R70" i="79"/>
  <c r="P70" i="79"/>
  <c r="Q70" i="79" s="1"/>
  <c r="R59" i="79"/>
  <c r="P59" i="79"/>
  <c r="Q59" i="79" s="1"/>
  <c r="S47" i="79"/>
  <c r="T47" i="79" s="1"/>
  <c r="R47" i="79"/>
  <c r="S48" i="79"/>
  <c r="T48" i="79" s="1"/>
  <c r="P47" i="79"/>
  <c r="Q47" i="79" s="1"/>
  <c r="P54" i="79"/>
  <c r="Q54" i="79" s="1"/>
  <c r="R54" i="79"/>
  <c r="R18" i="79"/>
  <c r="P18" i="79"/>
  <c r="Q18" i="79" s="1"/>
  <c r="P71" i="79"/>
  <c r="Q71" i="79" s="1"/>
  <c r="R71" i="79"/>
  <c r="S71" i="79"/>
  <c r="T71" i="79" s="1"/>
  <c r="S72" i="79"/>
  <c r="T72" i="79" s="1"/>
  <c r="S70" i="79"/>
  <c r="T70" i="79" s="1"/>
  <c r="O14" i="79"/>
  <c r="S18" i="79"/>
  <c r="T18" i="79" s="1"/>
  <c r="O45" i="79"/>
  <c r="S46" i="79" s="1"/>
  <c r="T46" i="79" s="1"/>
  <c r="G51" i="79"/>
  <c r="R62" i="79"/>
  <c r="P61" i="79"/>
  <c r="Q61" i="79" s="1"/>
  <c r="N122" i="79"/>
  <c r="Q122" i="79" s="1"/>
  <c r="R122" i="72" s="1"/>
  <c r="R50" i="79"/>
  <c r="P62" i="79"/>
  <c r="Q62" i="79" s="1"/>
  <c r="R9" i="79"/>
  <c r="G55" i="17"/>
  <c r="G63" i="17" s="1"/>
  <c r="G64" i="17" s="1"/>
  <c r="G65" i="17" s="1"/>
  <c r="G66" i="17" s="1"/>
  <c r="G67" i="17" s="1"/>
  <c r="G68" i="17" s="1"/>
  <c r="O44" i="79"/>
  <c r="R44" i="79" s="1"/>
  <c r="S25" i="79"/>
  <c r="T25" i="79" s="1"/>
  <c r="I55" i="17"/>
  <c r="I63" i="17" s="1"/>
  <c r="G122" i="79"/>
  <c r="O29" i="79"/>
  <c r="S29" i="79" s="1"/>
  <c r="T29" i="79" s="1"/>
  <c r="N121" i="79"/>
  <c r="Q121" i="79" s="1"/>
  <c r="R121" i="72" s="1"/>
  <c r="R67" i="79"/>
  <c r="P35" i="79"/>
  <c r="Q35" i="79" s="1"/>
  <c r="P19" i="79"/>
  <c r="Q19" i="79" s="1"/>
  <c r="R19" i="79"/>
  <c r="S19" i="79"/>
  <c r="T19" i="79" s="1"/>
  <c r="R6" i="79"/>
  <c r="S6" i="79"/>
  <c r="T6" i="79" s="1"/>
  <c r="P42" i="79"/>
  <c r="Q42" i="79" s="1"/>
  <c r="S42" i="79"/>
  <c r="T42" i="79" s="1"/>
  <c r="R42" i="79"/>
  <c r="R26" i="79"/>
  <c r="P26" i="79"/>
  <c r="Q26" i="79" s="1"/>
  <c r="S26" i="79"/>
  <c r="T26" i="79" s="1"/>
  <c r="P44" i="79"/>
  <c r="Q44" i="79" s="1"/>
  <c r="O53" i="79"/>
  <c r="P75" i="79"/>
  <c r="Q75" i="79" s="1"/>
  <c r="R75" i="79"/>
  <c r="S75" i="79"/>
  <c r="T75" i="79" s="1"/>
  <c r="S73" i="79"/>
  <c r="T73" i="79" s="1"/>
  <c r="R73" i="79"/>
  <c r="P73" i="79"/>
  <c r="Q73" i="79" s="1"/>
  <c r="R29" i="79"/>
  <c r="S37" i="79"/>
  <c r="T37" i="79" s="1"/>
  <c r="P37" i="79"/>
  <c r="Q37" i="79" s="1"/>
  <c r="R37" i="79"/>
  <c r="R10" i="79"/>
  <c r="P10" i="79"/>
  <c r="Q10" i="79" s="1"/>
  <c r="S10" i="79"/>
  <c r="T10" i="79" s="1"/>
  <c r="P43" i="79"/>
  <c r="Q43" i="79" s="1"/>
  <c r="R43" i="79"/>
  <c r="S43" i="79"/>
  <c r="T43" i="79" s="1"/>
  <c r="N117" i="79"/>
  <c r="Q117" i="79" s="1"/>
  <c r="R117" i="72" s="1"/>
  <c r="G39" i="79"/>
  <c r="D119" i="79"/>
  <c r="P38" i="79"/>
  <c r="Q38" i="79" s="1"/>
  <c r="S38" i="79"/>
  <c r="T38" i="79" s="1"/>
  <c r="R38" i="79"/>
  <c r="P58" i="79"/>
  <c r="Q58" i="79" s="1"/>
  <c r="S58" i="79"/>
  <c r="T58" i="79" s="1"/>
  <c r="R58" i="79"/>
  <c r="S41" i="79"/>
  <c r="T41" i="79" s="1"/>
  <c r="R41" i="79"/>
  <c r="P41" i="79"/>
  <c r="Q41" i="79" s="1"/>
  <c r="S27" i="79"/>
  <c r="T27" i="79" s="1"/>
  <c r="R27" i="79"/>
  <c r="P27" i="79"/>
  <c r="Q27" i="79" s="1"/>
  <c r="P83" i="79"/>
  <c r="Q83" i="79" s="1"/>
  <c r="S83" i="79"/>
  <c r="T83" i="79" s="1"/>
  <c r="R83" i="79"/>
  <c r="R40" i="79"/>
  <c r="P40" i="79"/>
  <c r="Q40" i="79" s="1"/>
  <c r="R64" i="79"/>
  <c r="P64" i="79"/>
  <c r="Q64" i="79" s="1"/>
  <c r="N119" i="79"/>
  <c r="Q119" i="79" s="1"/>
  <c r="R119" i="72" s="1"/>
  <c r="O30" i="79"/>
  <c r="P5" i="79"/>
  <c r="Q5" i="79" s="1"/>
  <c r="S5" i="79"/>
  <c r="T5" i="79" s="1"/>
  <c r="R5" i="79"/>
  <c r="D118" i="79"/>
  <c r="R15" i="79"/>
  <c r="P15" i="79"/>
  <c r="Q15" i="79" s="1"/>
  <c r="S15" i="79"/>
  <c r="T15" i="79" s="1"/>
  <c r="P34" i="79"/>
  <c r="Q34" i="79" s="1"/>
  <c r="S34" i="79"/>
  <c r="T34" i="79" s="1"/>
  <c r="R34" i="79"/>
  <c r="S45" i="79"/>
  <c r="T45" i="79" s="1"/>
  <c r="P45" i="79"/>
  <c r="Q45" i="79" s="1"/>
  <c r="P13" i="79"/>
  <c r="Q13" i="79" s="1"/>
  <c r="S13" i="79"/>
  <c r="T13" i="79" s="1"/>
  <c r="R13" i="79"/>
  <c r="R4" i="79"/>
  <c r="P4" i="79"/>
  <c r="Q4" i="79" s="1"/>
  <c r="S77" i="79"/>
  <c r="T77" i="79" s="1"/>
  <c r="R77" i="79"/>
  <c r="P77" i="79"/>
  <c r="Q77" i="79" s="1"/>
  <c r="S12" i="79"/>
  <c r="T12" i="79" s="1"/>
  <c r="R12" i="79"/>
  <c r="P12" i="79"/>
  <c r="Q12" i="79" s="1"/>
  <c r="R84" i="79"/>
  <c r="P84" i="79"/>
  <c r="Q84" i="79" s="1"/>
  <c r="S84" i="79"/>
  <c r="T84" i="79" s="1"/>
  <c r="R60" i="79"/>
  <c r="P60" i="79"/>
  <c r="Q60" i="79" s="1"/>
  <c r="S60" i="79"/>
  <c r="T60" i="79" s="1"/>
  <c r="R76" i="79"/>
  <c r="P76" i="79"/>
  <c r="Q76" i="79" s="1"/>
  <c r="S76" i="79"/>
  <c r="T76" i="79" s="1"/>
  <c r="S59" i="79"/>
  <c r="T59" i="79" s="1"/>
  <c r="P21" i="79"/>
  <c r="Q21" i="79" s="1"/>
  <c r="S21" i="79"/>
  <c r="T21" i="79" s="1"/>
  <c r="R21" i="79"/>
  <c r="S24" i="79"/>
  <c r="T24" i="79" s="1"/>
  <c r="R24" i="79"/>
  <c r="P24" i="79"/>
  <c r="Q24" i="79" s="1"/>
  <c r="P123" i="79"/>
  <c r="S8" i="79"/>
  <c r="T8" i="79" s="1"/>
  <c r="R8" i="79"/>
  <c r="P8" i="79"/>
  <c r="Q8" i="79" s="1"/>
  <c r="P82" i="79"/>
  <c r="Q82" i="79" s="1"/>
  <c r="S82" i="79"/>
  <c r="T82" i="79" s="1"/>
  <c r="R82" i="79"/>
  <c r="S79" i="79"/>
  <c r="T79" i="79" s="1"/>
  <c r="R79" i="79"/>
  <c r="P79" i="79"/>
  <c r="Q79" i="79" s="1"/>
  <c r="P74" i="79"/>
  <c r="Q74" i="79" s="1"/>
  <c r="S74" i="79"/>
  <c r="T74" i="79" s="1"/>
  <c r="R74" i="79"/>
  <c r="R36" i="79"/>
  <c r="S36" i="79"/>
  <c r="T36" i="79" s="1"/>
  <c r="P36" i="79"/>
  <c r="Q36" i="79" s="1"/>
  <c r="D116" i="79"/>
  <c r="G3" i="79"/>
  <c r="S16" i="79"/>
  <c r="T16" i="79" s="1"/>
  <c r="R16" i="79"/>
  <c r="P16" i="79"/>
  <c r="Q16" i="79" s="1"/>
  <c r="G117" i="79"/>
  <c r="R55" i="79"/>
  <c r="P55" i="79"/>
  <c r="Q55" i="79" s="1"/>
  <c r="S55" i="79"/>
  <c r="T55" i="79" s="1"/>
  <c r="D122" i="79"/>
  <c r="P22" i="79"/>
  <c r="Q22" i="79" s="1"/>
  <c r="S22" i="79"/>
  <c r="T22" i="79" s="1"/>
  <c r="R22" i="79"/>
  <c r="S17" i="79"/>
  <c r="T17" i="79" s="1"/>
  <c r="P17" i="79"/>
  <c r="Q17" i="79" s="1"/>
  <c r="R17" i="79"/>
  <c r="S35" i="79"/>
  <c r="T35" i="79" s="1"/>
  <c r="G118" i="79"/>
  <c r="S69" i="79"/>
  <c r="T69" i="79" s="1"/>
  <c r="R69" i="79"/>
  <c r="P69" i="79"/>
  <c r="Q69" i="79" s="1"/>
  <c r="B126" i="79"/>
  <c r="S57" i="79"/>
  <c r="T57" i="79" s="1"/>
  <c r="R57" i="79"/>
  <c r="P57" i="79"/>
  <c r="Q57" i="79" s="1"/>
  <c r="D117" i="79"/>
  <c r="R28" i="79"/>
  <c r="S28" i="79"/>
  <c r="T28" i="79" s="1"/>
  <c r="P28" i="79"/>
  <c r="Q28" i="79" s="1"/>
  <c r="S80" i="79"/>
  <c r="T80" i="79" s="1"/>
  <c r="R32" i="79"/>
  <c r="P32" i="79"/>
  <c r="Q32" i="79" s="1"/>
  <c r="S32" i="79"/>
  <c r="T32" i="79" s="1"/>
  <c r="R7" i="79"/>
  <c r="P7" i="79"/>
  <c r="Q7" i="79" s="1"/>
  <c r="S7" i="79"/>
  <c r="T7" i="79" s="1"/>
  <c r="S49" i="79"/>
  <c r="T49" i="79" s="1"/>
  <c r="R49" i="79"/>
  <c r="P49" i="79"/>
  <c r="Q49" i="79" s="1"/>
  <c r="S50" i="79"/>
  <c r="T50" i="79" s="1"/>
  <c r="R23" i="79"/>
  <c r="P23" i="79"/>
  <c r="Q23" i="79" s="1"/>
  <c r="S23" i="79"/>
  <c r="T23" i="79" s="1"/>
  <c r="P14" i="79"/>
  <c r="Q14" i="79" s="1"/>
  <c r="S14" i="79"/>
  <c r="T14" i="79" s="1"/>
  <c r="R14" i="79"/>
  <c r="S85" i="79"/>
  <c r="T85" i="79" s="1"/>
  <c r="R85" i="79"/>
  <c r="P85" i="79"/>
  <c r="Q85" i="79" s="1"/>
  <c r="S65" i="79"/>
  <c r="T65" i="79" s="1"/>
  <c r="R65" i="79"/>
  <c r="P65" i="79"/>
  <c r="Q65" i="79" s="1"/>
  <c r="P66" i="79"/>
  <c r="Q66" i="79" s="1"/>
  <c r="S66" i="79"/>
  <c r="T66" i="79" s="1"/>
  <c r="R66" i="79"/>
  <c r="D121" i="79"/>
  <c r="G63" i="79"/>
  <c r="R68" i="79"/>
  <c r="P68" i="79"/>
  <c r="Q68" i="79" s="1"/>
  <c r="S68" i="79"/>
  <c r="T68" i="79" s="1"/>
  <c r="S78" i="79"/>
  <c r="T78" i="79" s="1"/>
  <c r="G120" i="79"/>
  <c r="O51" i="79"/>
  <c r="D123" i="79"/>
  <c r="R33" i="79"/>
  <c r="P33" i="79"/>
  <c r="Q33" i="79" s="1"/>
  <c r="S33" i="79"/>
  <c r="T33" i="79" s="1"/>
  <c r="S11" i="79"/>
  <c r="T11" i="79" s="1"/>
  <c r="R11" i="79"/>
  <c r="P11" i="79"/>
  <c r="Q11" i="79" s="1"/>
  <c r="N118" i="79"/>
  <c r="Q118" i="79" s="1"/>
  <c r="R118" i="72" s="1"/>
  <c r="S61" i="79"/>
  <c r="T61" i="79" s="1"/>
  <c r="E126" i="79"/>
  <c r="O116" i="79"/>
  <c r="N116" i="79"/>
  <c r="H70" i="17"/>
  <c r="H63" i="17"/>
  <c r="H64" i="17" s="1"/>
  <c r="H65" i="17" s="1"/>
  <c r="H66" i="17" s="1"/>
  <c r="H67" i="17" s="1"/>
  <c r="H68" i="17" s="1"/>
  <c r="F42" i="17"/>
  <c r="F43" i="17"/>
  <c r="F44" i="17"/>
  <c r="F45" i="17"/>
  <c r="F46" i="17"/>
  <c r="F41" i="17"/>
  <c r="E42" i="17"/>
  <c r="E43" i="17"/>
  <c r="E44" i="17"/>
  <c r="E45" i="17"/>
  <c r="E46" i="17"/>
  <c r="E41" i="17"/>
  <c r="D42" i="17"/>
  <c r="D43" i="17"/>
  <c r="D44" i="17"/>
  <c r="D45" i="17"/>
  <c r="D46" i="17"/>
  <c r="D41" i="17"/>
  <c r="C42" i="17"/>
  <c r="C43" i="17"/>
  <c r="C44" i="17"/>
  <c r="C45" i="17"/>
  <c r="C46" i="17"/>
  <c r="C41" i="17"/>
  <c r="B42" i="17"/>
  <c r="B43" i="17"/>
  <c r="B44" i="17"/>
  <c r="B45" i="17"/>
  <c r="B46" i="17"/>
  <c r="B41" i="17"/>
  <c r="I64" i="17" l="1"/>
  <c r="I65" i="17" s="1"/>
  <c r="I66" i="17" s="1"/>
  <c r="I67" i="17" s="1"/>
  <c r="I68" i="17" s="1"/>
  <c r="I70" i="17" s="1"/>
  <c r="I19" i="17" s="1"/>
  <c r="R45" i="79"/>
  <c r="S44" i="79"/>
  <c r="T44" i="79" s="1"/>
  <c r="P29" i="79"/>
  <c r="Q29" i="79" s="1"/>
  <c r="G116" i="79"/>
  <c r="O3" i="79"/>
  <c r="F96" i="79"/>
  <c r="G96" i="79" s="1"/>
  <c r="F88" i="79"/>
  <c r="F95" i="79"/>
  <c r="G95" i="79" s="1"/>
  <c r="F94" i="79"/>
  <c r="G94" i="79" s="1"/>
  <c r="F93" i="79"/>
  <c r="G93" i="79" s="1"/>
  <c r="F92" i="79"/>
  <c r="F87" i="79"/>
  <c r="F91" i="79"/>
  <c r="F98" i="79"/>
  <c r="G98" i="79" s="1"/>
  <c r="F97" i="79"/>
  <c r="G97" i="79" s="1"/>
  <c r="F90" i="79"/>
  <c r="F89" i="79"/>
  <c r="P124" i="79"/>
  <c r="S53" i="79"/>
  <c r="T53" i="79" s="1"/>
  <c r="R53" i="79"/>
  <c r="P53" i="79"/>
  <c r="Q53" i="79" s="1"/>
  <c r="S54" i="79"/>
  <c r="T54" i="79" s="1"/>
  <c r="P51" i="79"/>
  <c r="Q51" i="79" s="1"/>
  <c r="S51" i="79"/>
  <c r="T51" i="79" s="1"/>
  <c r="R51" i="79"/>
  <c r="S52" i="79"/>
  <c r="T52" i="79" s="1"/>
  <c r="D126" i="79"/>
  <c r="G119" i="79"/>
  <c r="O39" i="79"/>
  <c r="G121" i="79"/>
  <c r="O63" i="79"/>
  <c r="Q116" i="79"/>
  <c r="R116" i="72" s="1"/>
  <c r="R30" i="79"/>
  <c r="S30" i="79"/>
  <c r="T30" i="79" s="1"/>
  <c r="P30" i="79"/>
  <c r="Q30" i="79" s="1"/>
  <c r="S31" i="79"/>
  <c r="T31" i="79" s="1"/>
  <c r="F50" i="17"/>
  <c r="F59" i="17"/>
  <c r="D60" i="17"/>
  <c r="D51" i="17"/>
  <c r="E49" i="17"/>
  <c r="E58" i="17"/>
  <c r="B50" i="17"/>
  <c r="B59" i="17"/>
  <c r="D57" i="17"/>
  <c r="D48" i="17"/>
  <c r="B49" i="17"/>
  <c r="B58" i="17"/>
  <c r="D62" i="17"/>
  <c r="D53" i="17"/>
  <c r="E60" i="17"/>
  <c r="E51" i="17"/>
  <c r="F49" i="17"/>
  <c r="F58" i="17"/>
  <c r="C48" i="17"/>
  <c r="C57" i="17"/>
  <c r="D61" i="17"/>
  <c r="D52" i="17"/>
  <c r="E50" i="17"/>
  <c r="E59" i="17"/>
  <c r="C62" i="17"/>
  <c r="C53" i="17"/>
  <c r="B57" i="17"/>
  <c r="B48" i="17"/>
  <c r="C61" i="17"/>
  <c r="C52" i="17"/>
  <c r="D50" i="17"/>
  <c r="D59" i="17"/>
  <c r="F57" i="17"/>
  <c r="F48" i="17"/>
  <c r="B53" i="17"/>
  <c r="B62" i="17"/>
  <c r="C60" i="17"/>
  <c r="C51" i="17"/>
  <c r="D49" i="17"/>
  <c r="D58" i="17"/>
  <c r="F62" i="17"/>
  <c r="F53" i="17"/>
  <c r="E52" i="17"/>
  <c r="E61" i="17"/>
  <c r="B61" i="17"/>
  <c r="B52" i="17"/>
  <c r="C59" i="17"/>
  <c r="C50" i="17"/>
  <c r="E57" i="17"/>
  <c r="E48" i="17"/>
  <c r="F61" i="17"/>
  <c r="F52" i="17"/>
  <c r="B51" i="17"/>
  <c r="B60" i="17"/>
  <c r="C58" i="17"/>
  <c r="C49" i="17"/>
  <c r="E62" i="17"/>
  <c r="E53" i="17"/>
  <c r="F51" i="17"/>
  <c r="F60" i="17"/>
  <c r="G70" i="17"/>
  <c r="G19" i="17" s="1"/>
  <c r="X164" i="73"/>
  <c r="Q126" i="79" l="1"/>
  <c r="Q127" i="79" s="1"/>
  <c r="F101" i="79"/>
  <c r="G101" i="79" s="1"/>
  <c r="G89" i="79"/>
  <c r="F104" i="79"/>
  <c r="G104" i="79" s="1"/>
  <c r="G92" i="79"/>
  <c r="F102" i="79"/>
  <c r="G102" i="79" s="1"/>
  <c r="G90" i="79"/>
  <c r="R63" i="79"/>
  <c r="P63" i="79"/>
  <c r="Q63" i="79" s="1"/>
  <c r="S63" i="79"/>
  <c r="T63" i="79" s="1"/>
  <c r="S64" i="79"/>
  <c r="T64" i="79" s="1"/>
  <c r="F100" i="79"/>
  <c r="G100" i="79" s="1"/>
  <c r="G88" i="79"/>
  <c r="R39" i="79"/>
  <c r="P39" i="79"/>
  <c r="Q39" i="79" s="1"/>
  <c r="S39" i="79"/>
  <c r="T39" i="79" s="1"/>
  <c r="S40" i="79"/>
  <c r="T40" i="79" s="1"/>
  <c r="F103" i="79"/>
  <c r="G103" i="79" s="1"/>
  <c r="G91" i="79"/>
  <c r="P3" i="79"/>
  <c r="Q3" i="79" s="1"/>
  <c r="R3" i="79"/>
  <c r="S4" i="79"/>
  <c r="T4" i="79" s="1"/>
  <c r="F123" i="79"/>
  <c r="F99" i="79"/>
  <c r="G87" i="79"/>
  <c r="D63" i="17"/>
  <c r="D64" i="17" s="1"/>
  <c r="D65" i="17" s="1"/>
  <c r="D66" i="17" s="1"/>
  <c r="D67" i="17" s="1"/>
  <c r="D68" i="17" s="1"/>
  <c r="B55" i="17"/>
  <c r="B63" i="17" s="1"/>
  <c r="C55" i="17"/>
  <c r="C63" i="17" s="1"/>
  <c r="C64" i="17" s="1"/>
  <c r="C65" i="17" s="1"/>
  <c r="C66" i="17" s="1"/>
  <c r="C67" i="17" s="1"/>
  <c r="C68" i="17" s="1"/>
  <c r="E55" i="17"/>
  <c r="E63" i="17" s="1"/>
  <c r="F55" i="17"/>
  <c r="F63" i="17" s="1"/>
  <c r="D55" i="17"/>
  <c r="C87" i="72"/>
  <c r="C88" i="72"/>
  <c r="C89" i="72"/>
  <c r="C90" i="72"/>
  <c r="C91" i="72"/>
  <c r="C92" i="72"/>
  <c r="C93" i="72"/>
  <c r="C94" i="72"/>
  <c r="C95" i="72"/>
  <c r="C96" i="72"/>
  <c r="C97" i="72"/>
  <c r="C98" i="72"/>
  <c r="C99" i="72"/>
  <c r="C100" i="72"/>
  <c r="C101" i="72"/>
  <c r="C102" i="72"/>
  <c r="C103" i="72"/>
  <c r="C104" i="72"/>
  <c r="D104" i="72" s="1"/>
  <c r="B88" i="72"/>
  <c r="D88" i="72" s="1"/>
  <c r="B89" i="72"/>
  <c r="B90" i="72"/>
  <c r="D90" i="72" s="1"/>
  <c r="B93" i="72"/>
  <c r="D93" i="72" s="1"/>
  <c r="B95" i="72"/>
  <c r="B96" i="72"/>
  <c r="B97" i="72"/>
  <c r="B98" i="72"/>
  <c r="D98" i="72" s="1"/>
  <c r="B101" i="72"/>
  <c r="D101" i="72" s="1"/>
  <c r="B102" i="72"/>
  <c r="B103" i="72"/>
  <c r="B104" i="72"/>
  <c r="B87" i="72"/>
  <c r="B91" i="72"/>
  <c r="B92" i="72"/>
  <c r="D92" i="72" s="1"/>
  <c r="B94" i="72"/>
  <c r="D94" i="72" s="1"/>
  <c r="B99" i="72"/>
  <c r="D99" i="72" s="1"/>
  <c r="B100" i="72"/>
  <c r="D96" i="72" l="1"/>
  <c r="D97" i="72"/>
  <c r="D95" i="72"/>
  <c r="D103" i="72"/>
  <c r="D91" i="72"/>
  <c r="D87" i="72"/>
  <c r="D123" i="72" s="1"/>
  <c r="B10" i="9" s="1"/>
  <c r="F10" i="9" s="1"/>
  <c r="D100" i="72"/>
  <c r="D124" i="72" s="1"/>
  <c r="D102" i="72"/>
  <c r="D89" i="72"/>
  <c r="Q87" i="79"/>
  <c r="T87" i="79"/>
  <c r="W28" i="79" s="1"/>
  <c r="R87" i="79"/>
  <c r="W29" i="79" s="1"/>
  <c r="F124" i="79"/>
  <c r="G99" i="79"/>
  <c r="G124" i="79" s="1"/>
  <c r="G123" i="79"/>
  <c r="G126" i="79" s="1"/>
  <c r="F126" i="79"/>
  <c r="F64" i="17"/>
  <c r="F65" i="17" s="1"/>
  <c r="F66" i="17" s="1"/>
  <c r="F67" i="17" s="1"/>
  <c r="F68" i="17" s="1"/>
  <c r="F70" i="17"/>
  <c r="F19" i="17" s="1"/>
  <c r="B64" i="17"/>
  <c r="B65" i="17" s="1"/>
  <c r="B66" i="17" s="1"/>
  <c r="B67" i="17" s="1"/>
  <c r="B68" i="17" s="1"/>
  <c r="B70" i="17"/>
  <c r="B19" i="17" s="1"/>
  <c r="E64" i="17"/>
  <c r="E65" i="17" s="1"/>
  <c r="E66" i="17" s="1"/>
  <c r="E67" i="17" s="1"/>
  <c r="E68" i="17" s="1"/>
  <c r="E70" i="17" s="1"/>
  <c r="E19" i="17" s="1"/>
  <c r="C70" i="17"/>
  <c r="C19" i="17" s="1"/>
  <c r="D70" i="17"/>
  <c r="D19" i="17" s="1"/>
  <c r="AC156" i="73"/>
  <c r="AC157" i="73"/>
  <c r="AC158" i="73"/>
  <c r="AC159" i="73"/>
  <c r="AC160" i="73"/>
  <c r="AC161" i="73"/>
  <c r="AC143" i="73"/>
  <c r="AC144" i="73"/>
  <c r="AC145" i="73"/>
  <c r="AC146" i="73"/>
  <c r="AC147" i="73"/>
  <c r="AC148" i="73"/>
  <c r="AC149" i="73"/>
  <c r="AC150" i="73"/>
  <c r="AC151" i="73"/>
  <c r="AC152" i="73"/>
  <c r="AC153" i="73"/>
  <c r="AC154" i="73"/>
  <c r="AC155" i="73"/>
  <c r="W31" i="79" l="1"/>
  <c r="J11" i="18"/>
  <c r="E86" i="72" l="1"/>
  <c r="E85" i="72"/>
  <c r="E84" i="72"/>
  <c r="E83" i="72"/>
  <c r="E82" i="72"/>
  <c r="E81" i="72"/>
  <c r="E80" i="72"/>
  <c r="E79" i="72"/>
  <c r="E78" i="72"/>
  <c r="E77" i="72"/>
  <c r="E76" i="72"/>
  <c r="E75" i="72"/>
  <c r="E74" i="72"/>
  <c r="E73" i="72"/>
  <c r="E72" i="72"/>
  <c r="E71" i="72"/>
  <c r="E70" i="72"/>
  <c r="E69" i="72"/>
  <c r="E68" i="72"/>
  <c r="E67" i="72"/>
  <c r="E66" i="72"/>
  <c r="E65" i="72"/>
  <c r="E64" i="72"/>
  <c r="E63" i="72"/>
  <c r="E62" i="72"/>
  <c r="E61" i="72"/>
  <c r="E60" i="72"/>
  <c r="E59" i="72"/>
  <c r="E58" i="72"/>
  <c r="E57" i="72"/>
  <c r="E56" i="72"/>
  <c r="E55" i="72"/>
  <c r="E54" i="72"/>
  <c r="E53" i="72"/>
  <c r="E52" i="72"/>
  <c r="E51" i="72"/>
  <c r="E50" i="72"/>
  <c r="E49" i="72"/>
  <c r="E48" i="72"/>
  <c r="E47" i="72"/>
  <c r="E46" i="72"/>
  <c r="E45" i="72"/>
  <c r="E44" i="72"/>
  <c r="E43" i="72"/>
  <c r="E42" i="72"/>
  <c r="E41" i="72"/>
  <c r="E40" i="72"/>
  <c r="E39" i="72"/>
  <c r="E38" i="72"/>
  <c r="E37" i="72"/>
  <c r="E36" i="72"/>
  <c r="E35" i="72"/>
  <c r="E34" i="72"/>
  <c r="E33" i="72"/>
  <c r="E32" i="72"/>
  <c r="E31" i="72"/>
  <c r="E30" i="72"/>
  <c r="E29" i="72"/>
  <c r="E28" i="72"/>
  <c r="E27" i="72"/>
  <c r="E26" i="72"/>
  <c r="E25" i="72"/>
  <c r="E24" i="72"/>
  <c r="E23" i="72"/>
  <c r="E22" i="72"/>
  <c r="E21" i="72"/>
  <c r="E20" i="72"/>
  <c r="E19" i="72"/>
  <c r="E18" i="72"/>
  <c r="E17" i="72"/>
  <c r="E16" i="72"/>
  <c r="E15" i="72"/>
  <c r="E14" i="72"/>
  <c r="E13" i="72"/>
  <c r="E12" i="72"/>
  <c r="E11" i="72"/>
  <c r="E10" i="72"/>
  <c r="E9" i="72"/>
  <c r="E8" i="72"/>
  <c r="E7" i="72"/>
  <c r="E6" i="72"/>
  <c r="E5" i="72"/>
  <c r="E4" i="72"/>
  <c r="AG61" i="73"/>
  <c r="AG62" i="73" s="1"/>
  <c r="AG63" i="73" s="1"/>
  <c r="AG64" i="73" s="1"/>
  <c r="AG65" i="73" s="1"/>
  <c r="AG66" i="73" s="1"/>
  <c r="AG67" i="73" s="1"/>
  <c r="AG68" i="73" s="1"/>
  <c r="AG69" i="73" s="1"/>
  <c r="AG70" i="73" s="1"/>
  <c r="AG71" i="73" s="1"/>
  <c r="AG72" i="73" s="1"/>
  <c r="AG73" i="73" s="1"/>
  <c r="AG74" i="73" s="1"/>
  <c r="AG75" i="73" s="1"/>
  <c r="AG76" i="73" s="1"/>
  <c r="AG77" i="73" s="1"/>
  <c r="AG78" i="73" s="1"/>
  <c r="AG79" i="73" s="1"/>
  <c r="AG80" i="73" s="1"/>
  <c r="AG81" i="73" s="1"/>
  <c r="AG82" i="73" s="1"/>
  <c r="AG83" i="73" s="1"/>
  <c r="AG84" i="73" s="1"/>
  <c r="AG85" i="73" s="1"/>
  <c r="AG86" i="73" s="1"/>
  <c r="AG87" i="73" s="1"/>
  <c r="AG88" i="73" s="1"/>
  <c r="AG89" i="73" s="1"/>
  <c r="AG90" i="73" s="1"/>
  <c r="AG91" i="73" s="1"/>
  <c r="AG92" i="73" s="1"/>
  <c r="AG93" i="73" s="1"/>
  <c r="AG94" i="73" s="1"/>
  <c r="AG95" i="73" s="1"/>
  <c r="AG96" i="73" s="1"/>
  <c r="AG97" i="73" s="1"/>
  <c r="AG98" i="73" s="1"/>
  <c r="AG99" i="73" s="1"/>
  <c r="AG100" i="73" s="1"/>
  <c r="AG101" i="73" s="1"/>
  <c r="AG102" i="73" s="1"/>
  <c r="AG103" i="73" s="1"/>
  <c r="AG104" i="73" s="1"/>
  <c r="AG105" i="73" s="1"/>
  <c r="AG106" i="73" s="1"/>
  <c r="AG107" i="73" s="1"/>
  <c r="AG108" i="73" s="1"/>
  <c r="AG109" i="73" s="1"/>
  <c r="AG110" i="73" s="1"/>
  <c r="AG111" i="73" s="1"/>
  <c r="AG112" i="73" s="1"/>
  <c r="AG113" i="73" s="1"/>
  <c r="AG114" i="73" s="1"/>
  <c r="AG115" i="73" s="1"/>
  <c r="AG116" i="73" s="1"/>
  <c r="AG117" i="73" s="1"/>
  <c r="AG118" i="73" s="1"/>
  <c r="AG119" i="73" s="1"/>
  <c r="AG120" i="73" s="1"/>
  <c r="AG121" i="73" s="1"/>
  <c r="AG122" i="73" s="1"/>
  <c r="AG123" i="73" s="1"/>
  <c r="AG124" i="73" s="1"/>
  <c r="AG125" i="73" s="1"/>
  <c r="AG126" i="73" s="1"/>
  <c r="AG127" i="73" s="1"/>
  <c r="AG128" i="73" s="1"/>
  <c r="AG129" i="73" s="1"/>
  <c r="AG130" i="73" s="1"/>
  <c r="AG131" i="73" s="1"/>
  <c r="AG132" i="73" s="1"/>
  <c r="AG133" i="73" s="1"/>
  <c r="AG134" i="73" s="1"/>
  <c r="AG135" i="73" s="1"/>
  <c r="AG136" i="73" s="1"/>
  <c r="AG137" i="73" s="1"/>
  <c r="AG138" i="73" s="1"/>
  <c r="AG139" i="73" s="1"/>
  <c r="AG140" i="73" s="1"/>
  <c r="AG141" i="73" s="1"/>
  <c r="AG142" i="73" s="1"/>
  <c r="AG143" i="73" s="1"/>
  <c r="AG144" i="73" s="1"/>
  <c r="AG145" i="73" s="1"/>
  <c r="AG146" i="73" s="1"/>
  <c r="AG147" i="73" s="1"/>
  <c r="AG148" i="73" s="1"/>
  <c r="AG149" i="73" s="1"/>
  <c r="AG150" i="73" s="1"/>
  <c r="AG151" i="73" s="1"/>
  <c r="AG152" i="73" s="1"/>
  <c r="AG153" i="73" s="1"/>
  <c r="AG154" i="73" s="1"/>
  <c r="AG155" i="73" s="1"/>
  <c r="AG156" i="73" s="1"/>
  <c r="AG157" i="73" s="1"/>
  <c r="AG158" i="73" s="1"/>
  <c r="AG159" i="73" s="1"/>
  <c r="AG160" i="73" s="1"/>
  <c r="AG161" i="73" s="1"/>
  <c r="K13" i="18"/>
  <c r="E3" i="72"/>
  <c r="K14" i="18" l="1"/>
  <c r="K15" i="18"/>
  <c r="K16" i="18"/>
  <c r="K17" i="18"/>
  <c r="K18" i="18"/>
  <c r="K19" i="18"/>
  <c r="AF164" i="73"/>
  <c r="AE164" i="73"/>
  <c r="AG164" i="73"/>
  <c r="K28" i="9" l="1"/>
  <c r="L28" i="9" s="1"/>
  <c r="F122" i="78"/>
  <c r="P122" i="78" s="1"/>
  <c r="E122" i="78"/>
  <c r="O122" i="78" s="1"/>
  <c r="F121" i="78"/>
  <c r="P121" i="78" s="1"/>
  <c r="E121" i="78"/>
  <c r="O121" i="78" s="1"/>
  <c r="F120" i="78"/>
  <c r="P120" i="78" s="1"/>
  <c r="E120" i="78"/>
  <c r="O120" i="78" s="1"/>
  <c r="O119" i="78"/>
  <c r="F119" i="78"/>
  <c r="P119" i="78" s="1"/>
  <c r="E119" i="78"/>
  <c r="F118" i="78"/>
  <c r="P118" i="78" s="1"/>
  <c r="E118" i="78"/>
  <c r="O118" i="78" s="1"/>
  <c r="F117" i="78"/>
  <c r="P117" i="78" s="1"/>
  <c r="E117" i="78"/>
  <c r="O117" i="78" s="1"/>
  <c r="F116" i="78"/>
  <c r="P116" i="78" s="1"/>
  <c r="E116" i="78"/>
  <c r="O116" i="78" s="1"/>
  <c r="L86" i="78"/>
  <c r="C86" i="78"/>
  <c r="B86" i="78"/>
  <c r="D86" i="78" s="1"/>
  <c r="G86" i="78" s="1"/>
  <c r="L85" i="78"/>
  <c r="C85" i="78"/>
  <c r="B85" i="78"/>
  <c r="L84" i="78"/>
  <c r="C84" i="78"/>
  <c r="B84" i="78"/>
  <c r="L83" i="78"/>
  <c r="C83" i="78"/>
  <c r="B83" i="78"/>
  <c r="L82" i="78"/>
  <c r="C82" i="78"/>
  <c r="B82" i="78"/>
  <c r="L81" i="78"/>
  <c r="C81" i="78"/>
  <c r="B81" i="78"/>
  <c r="L80" i="78"/>
  <c r="C80" i="78"/>
  <c r="B80" i="78"/>
  <c r="L79" i="78"/>
  <c r="C79" i="78"/>
  <c r="B79" i="78"/>
  <c r="L78" i="78"/>
  <c r="C78" i="78"/>
  <c r="B78" i="78"/>
  <c r="L77" i="78"/>
  <c r="C77" i="78"/>
  <c r="B77" i="78"/>
  <c r="L76" i="78"/>
  <c r="C76" i="78"/>
  <c r="B76" i="78"/>
  <c r="L75" i="78"/>
  <c r="C75" i="78"/>
  <c r="B75" i="78"/>
  <c r="L74" i="78"/>
  <c r="C74" i="78"/>
  <c r="B74" i="78"/>
  <c r="L73" i="78"/>
  <c r="C73" i="78"/>
  <c r="B73" i="78"/>
  <c r="L72" i="78"/>
  <c r="C72" i="78"/>
  <c r="B72" i="78"/>
  <c r="L71" i="78"/>
  <c r="C71" i="78"/>
  <c r="B71" i="78"/>
  <c r="L70" i="78"/>
  <c r="C70" i="78"/>
  <c r="B70" i="78"/>
  <c r="L69" i="78"/>
  <c r="C69" i="78"/>
  <c r="B69" i="78"/>
  <c r="L68" i="78"/>
  <c r="C68" i="78"/>
  <c r="B68" i="78"/>
  <c r="L67" i="78"/>
  <c r="C67" i="78"/>
  <c r="B67" i="78"/>
  <c r="D67" i="78" s="1"/>
  <c r="G67" i="78" s="1"/>
  <c r="L66" i="78"/>
  <c r="C66" i="78"/>
  <c r="B66" i="78"/>
  <c r="L65" i="78"/>
  <c r="C65" i="78"/>
  <c r="B65" i="78"/>
  <c r="D65" i="78" s="1"/>
  <c r="G65" i="78" s="1"/>
  <c r="L64" i="78"/>
  <c r="C64" i="78"/>
  <c r="B64" i="78"/>
  <c r="L63" i="78"/>
  <c r="C63" i="78"/>
  <c r="B63" i="78"/>
  <c r="L62" i="78"/>
  <c r="C62" i="78"/>
  <c r="B62" i="78"/>
  <c r="L61" i="78"/>
  <c r="C61" i="78"/>
  <c r="B61" i="78"/>
  <c r="L60" i="78"/>
  <c r="C60" i="78"/>
  <c r="B60" i="78"/>
  <c r="L59" i="78"/>
  <c r="C59" i="78"/>
  <c r="B59" i="78"/>
  <c r="L58" i="78"/>
  <c r="C58" i="78"/>
  <c r="B58" i="78"/>
  <c r="L57" i="78"/>
  <c r="C57" i="78"/>
  <c r="B57" i="78"/>
  <c r="L56" i="78"/>
  <c r="C56" i="78"/>
  <c r="B56" i="78"/>
  <c r="L55" i="78"/>
  <c r="C55" i="78"/>
  <c r="B55" i="78"/>
  <c r="L54" i="78"/>
  <c r="C54" i="78"/>
  <c r="B54" i="78"/>
  <c r="L53" i="78"/>
  <c r="C53" i="78"/>
  <c r="B53" i="78"/>
  <c r="L52" i="78"/>
  <c r="C52" i="78"/>
  <c r="B52" i="78"/>
  <c r="L51" i="78"/>
  <c r="C51" i="78"/>
  <c r="B51" i="78"/>
  <c r="L50" i="78"/>
  <c r="C50" i="78"/>
  <c r="B50" i="78"/>
  <c r="L49" i="78"/>
  <c r="C49" i="78"/>
  <c r="B49" i="78"/>
  <c r="L48" i="78"/>
  <c r="C48" i="78"/>
  <c r="B48" i="78"/>
  <c r="L47" i="78"/>
  <c r="C47" i="78"/>
  <c r="B47" i="78"/>
  <c r="L46" i="78"/>
  <c r="C46" i="78"/>
  <c r="B46" i="78"/>
  <c r="L45" i="78"/>
  <c r="C45" i="78"/>
  <c r="B45" i="78"/>
  <c r="L44" i="78"/>
  <c r="C44" i="78"/>
  <c r="B44" i="78"/>
  <c r="L43" i="78"/>
  <c r="C43" i="78"/>
  <c r="B43" i="78"/>
  <c r="L42" i="78"/>
  <c r="C42" i="78"/>
  <c r="B42" i="78"/>
  <c r="L41" i="78"/>
  <c r="C41" i="78"/>
  <c r="B41" i="78"/>
  <c r="L40" i="78"/>
  <c r="C40" i="78"/>
  <c r="B40" i="78"/>
  <c r="L39" i="78"/>
  <c r="C39" i="78"/>
  <c r="B39" i="78"/>
  <c r="L38" i="78"/>
  <c r="C38" i="78"/>
  <c r="B38" i="78"/>
  <c r="L37" i="78"/>
  <c r="C37" i="78"/>
  <c r="B37" i="78"/>
  <c r="L36" i="78"/>
  <c r="C36" i="78"/>
  <c r="B36" i="78"/>
  <c r="L35" i="78"/>
  <c r="C35" i="78"/>
  <c r="B35" i="78"/>
  <c r="L34" i="78"/>
  <c r="C34" i="78"/>
  <c r="B34" i="78"/>
  <c r="L33" i="78"/>
  <c r="C33" i="78"/>
  <c r="B33" i="78"/>
  <c r="L32" i="78"/>
  <c r="C32" i="78"/>
  <c r="B32" i="78"/>
  <c r="D32" i="78" s="1"/>
  <c r="G32" i="78" s="1"/>
  <c r="L31" i="78"/>
  <c r="C31" i="78"/>
  <c r="B31" i="78"/>
  <c r="L30" i="78"/>
  <c r="C30" i="78"/>
  <c r="B30" i="78"/>
  <c r="L29" i="78"/>
  <c r="C29" i="78"/>
  <c r="B29" i="78"/>
  <c r="L28" i="78"/>
  <c r="C28" i="78"/>
  <c r="B28" i="78"/>
  <c r="L27" i="78"/>
  <c r="C27" i="78"/>
  <c r="B27" i="78"/>
  <c r="D27" i="78" s="1"/>
  <c r="G27" i="78" s="1"/>
  <c r="L26" i="78"/>
  <c r="C26" i="78"/>
  <c r="B26" i="78"/>
  <c r="L25" i="78"/>
  <c r="C25" i="78"/>
  <c r="B25" i="78"/>
  <c r="L24" i="78"/>
  <c r="C24" i="78"/>
  <c r="B24" i="78"/>
  <c r="L23" i="78"/>
  <c r="C23" i="78"/>
  <c r="B23" i="78"/>
  <c r="L22" i="78"/>
  <c r="C22" i="78"/>
  <c r="B22" i="78"/>
  <c r="L21" i="78"/>
  <c r="C21" i="78"/>
  <c r="B21" i="78"/>
  <c r="L20" i="78"/>
  <c r="C20" i="78"/>
  <c r="B20" i="78"/>
  <c r="L19" i="78"/>
  <c r="C19" i="78"/>
  <c r="B19" i="78"/>
  <c r="L18" i="78"/>
  <c r="C18" i="78"/>
  <c r="B18" i="78"/>
  <c r="L17" i="78"/>
  <c r="C17" i="78"/>
  <c r="B17" i="78"/>
  <c r="L16" i="78"/>
  <c r="C16" i="78"/>
  <c r="B16" i="78"/>
  <c r="L15" i="78"/>
  <c r="C15" i="78"/>
  <c r="B15" i="78"/>
  <c r="L14" i="78"/>
  <c r="C14" i="78"/>
  <c r="B14" i="78"/>
  <c r="D14" i="78" s="1"/>
  <c r="G14" i="78" s="1"/>
  <c r="L13" i="78"/>
  <c r="C13" i="78"/>
  <c r="B13" i="78"/>
  <c r="L12" i="78"/>
  <c r="C12" i="78"/>
  <c r="B12" i="78"/>
  <c r="L11" i="78"/>
  <c r="C11" i="78"/>
  <c r="B11" i="78"/>
  <c r="D11" i="78" s="1"/>
  <c r="G11" i="78" s="1"/>
  <c r="L10" i="78"/>
  <c r="C10" i="78"/>
  <c r="B10" i="78"/>
  <c r="L9" i="78"/>
  <c r="C9" i="78"/>
  <c r="B9" i="78"/>
  <c r="L8" i="78"/>
  <c r="C8" i="78"/>
  <c r="B8" i="78"/>
  <c r="L7" i="78"/>
  <c r="C7" i="78"/>
  <c r="B7" i="78"/>
  <c r="L6" i="78"/>
  <c r="C6" i="78"/>
  <c r="B6" i="78"/>
  <c r="L5" i="78"/>
  <c r="C5" i="78"/>
  <c r="B5" i="78"/>
  <c r="L4" i="78"/>
  <c r="C4" i="78"/>
  <c r="B4" i="78"/>
  <c r="L3" i="78"/>
  <c r="C3" i="78"/>
  <c r="B3" i="78"/>
  <c r="D48" i="78" l="1"/>
  <c r="G48" i="78" s="1"/>
  <c r="D56" i="78"/>
  <c r="G56" i="78" s="1"/>
  <c r="D33" i="78"/>
  <c r="G33" i="78" s="1"/>
  <c r="D20" i="78"/>
  <c r="G20" i="78" s="1"/>
  <c r="D36" i="78"/>
  <c r="G36" i="78" s="1"/>
  <c r="D60" i="78"/>
  <c r="G60" i="78" s="1"/>
  <c r="D68" i="78"/>
  <c r="G68" i="78" s="1"/>
  <c r="D76" i="78"/>
  <c r="G76" i="78" s="1"/>
  <c r="D84" i="78"/>
  <c r="G84" i="78" s="1"/>
  <c r="D44" i="78"/>
  <c r="G44" i="78" s="1"/>
  <c r="D47" i="78"/>
  <c r="G47" i="78" s="1"/>
  <c r="D74" i="78"/>
  <c r="G74" i="78" s="1"/>
  <c r="D72" i="78"/>
  <c r="G72" i="78" s="1"/>
  <c r="D21" i="78"/>
  <c r="G21" i="78" s="1"/>
  <c r="D29" i="78"/>
  <c r="G29" i="78" s="1"/>
  <c r="D53" i="78"/>
  <c r="G53" i="78" s="1"/>
  <c r="D66" i="78"/>
  <c r="G66" i="78" s="1"/>
  <c r="D69" i="78"/>
  <c r="G69" i="78" s="1"/>
  <c r="D85" i="78"/>
  <c r="G85" i="78" s="1"/>
  <c r="D70" i="78"/>
  <c r="G70" i="78" s="1"/>
  <c r="D59" i="78"/>
  <c r="G59" i="78" s="1"/>
  <c r="D41" i="78"/>
  <c r="G41" i="78" s="1"/>
  <c r="D10" i="78"/>
  <c r="G10" i="78" s="1"/>
  <c r="D18" i="78"/>
  <c r="G18" i="78" s="1"/>
  <c r="D23" i="78"/>
  <c r="G23" i="78" s="1"/>
  <c r="D52" i="78"/>
  <c r="G52" i="78" s="1"/>
  <c r="D62" i="78"/>
  <c r="G62" i="78" s="1"/>
  <c r="D80" i="78"/>
  <c r="G80" i="78" s="1"/>
  <c r="D50" i="78"/>
  <c r="G50" i="78" s="1"/>
  <c r="D30" i="78"/>
  <c r="G30" i="78" s="1"/>
  <c r="D38" i="78"/>
  <c r="G38" i="78" s="1"/>
  <c r="D71" i="78"/>
  <c r="G71" i="78" s="1"/>
  <c r="D7" i="78"/>
  <c r="G7" i="78" s="1"/>
  <c r="D5" i="78"/>
  <c r="G5" i="78" s="1"/>
  <c r="D13" i="78"/>
  <c r="G13" i="78" s="1"/>
  <c r="D26" i="78"/>
  <c r="G26" i="78" s="1"/>
  <c r="D61" i="78"/>
  <c r="G61" i="78" s="1"/>
  <c r="D78" i="78"/>
  <c r="G78" i="78" s="1"/>
  <c r="D83" i="78"/>
  <c r="G83" i="78" s="1"/>
  <c r="D34" i="78"/>
  <c r="G34" i="78" s="1"/>
  <c r="D54" i="78"/>
  <c r="G54" i="78" s="1"/>
  <c r="D16" i="78"/>
  <c r="G16" i="78" s="1"/>
  <c r="D49" i="78"/>
  <c r="G49" i="78" s="1"/>
  <c r="D79" i="78"/>
  <c r="G79" i="78" s="1"/>
  <c r="D3" i="78"/>
  <c r="D9" i="78"/>
  <c r="G9" i="78" s="1"/>
  <c r="D42" i="78"/>
  <c r="G42" i="78" s="1"/>
  <c r="D4" i="78"/>
  <c r="G4" i="78" s="1"/>
  <c r="D12" i="78"/>
  <c r="G12" i="78" s="1"/>
  <c r="D40" i="78"/>
  <c r="G40" i="78" s="1"/>
  <c r="D45" i="78"/>
  <c r="G45" i="78" s="1"/>
  <c r="D77" i="78"/>
  <c r="G77" i="78" s="1"/>
  <c r="D25" i="78"/>
  <c r="G25" i="78" s="1"/>
  <c r="D37" i="78"/>
  <c r="G37" i="78" s="1"/>
  <c r="D58" i="78"/>
  <c r="G58" i="78" s="1"/>
  <c r="D81" i="78"/>
  <c r="G81" i="78" s="1"/>
  <c r="D8" i="78"/>
  <c r="G8" i="78" s="1"/>
  <c r="B117" i="78"/>
  <c r="D17" i="78"/>
  <c r="G17" i="78" s="1"/>
  <c r="D19" i="78"/>
  <c r="G19" i="78" s="1"/>
  <c r="D24" i="78"/>
  <c r="G24" i="78" s="1"/>
  <c r="D43" i="78"/>
  <c r="G43" i="78" s="1"/>
  <c r="D82" i="78"/>
  <c r="G82" i="78" s="1"/>
  <c r="D6" i="78"/>
  <c r="G6" i="78" s="1"/>
  <c r="D57" i="78"/>
  <c r="G57" i="78" s="1"/>
  <c r="D64" i="78"/>
  <c r="G64" i="78" s="1"/>
  <c r="D73" i="78"/>
  <c r="G73" i="78" s="1"/>
  <c r="D35" i="78"/>
  <c r="G35" i="78" s="1"/>
  <c r="D46" i="78"/>
  <c r="G46" i="78" s="1"/>
  <c r="D55" i="78"/>
  <c r="G55" i="78" s="1"/>
  <c r="D22" i="78"/>
  <c r="G22" i="78" s="1"/>
  <c r="F126" i="78"/>
  <c r="B116" i="78"/>
  <c r="D28" i="78"/>
  <c r="G28" i="78" s="1"/>
  <c r="B120" i="78"/>
  <c r="D51" i="78"/>
  <c r="B119" i="78"/>
  <c r="D39" i="78"/>
  <c r="D63" i="78"/>
  <c r="B121" i="78"/>
  <c r="D15" i="78"/>
  <c r="B118" i="78"/>
  <c r="B122" i="78"/>
  <c r="D75" i="78"/>
  <c r="D31" i="78"/>
  <c r="G31" i="78" s="1"/>
  <c r="E126" i="78"/>
  <c r="P123" i="78"/>
  <c r="P124" i="78" s="1"/>
  <c r="D116" i="78" l="1"/>
  <c r="D118" i="78"/>
  <c r="G3" i="78"/>
  <c r="G116" i="78" s="1"/>
  <c r="B126" i="78"/>
  <c r="G118" i="78"/>
  <c r="D119" i="78"/>
  <c r="G39" i="78"/>
  <c r="D120" i="78"/>
  <c r="G51" i="78"/>
  <c r="G63" i="78"/>
  <c r="D121" i="78"/>
  <c r="D122" i="78"/>
  <c r="G75" i="78"/>
  <c r="D117" i="78"/>
  <c r="G15" i="78"/>
  <c r="I78" i="72"/>
  <c r="I84" i="72"/>
  <c r="I69" i="72"/>
  <c r="H70" i="72"/>
  <c r="I54" i="72"/>
  <c r="I60" i="72"/>
  <c r="I42" i="72"/>
  <c r="I48" i="72"/>
  <c r="I30" i="72"/>
  <c r="I36" i="72"/>
  <c r="I21" i="72"/>
  <c r="I9" i="72"/>
  <c r="H22" i="72"/>
  <c r="H9" i="72"/>
  <c r="N33" i="76"/>
  <c r="N19" i="76"/>
  <c r="M19" i="76"/>
  <c r="I86" i="72"/>
  <c r="I85" i="72"/>
  <c r="I83" i="72"/>
  <c r="I82" i="72"/>
  <c r="I81" i="72"/>
  <c r="I80" i="72"/>
  <c r="I79" i="72"/>
  <c r="I77" i="72"/>
  <c r="I76" i="72"/>
  <c r="I75" i="72"/>
  <c r="H86" i="72"/>
  <c r="H85" i="72"/>
  <c r="H84" i="72"/>
  <c r="H83" i="72"/>
  <c r="H82" i="72"/>
  <c r="H81" i="72"/>
  <c r="H80" i="72"/>
  <c r="H79" i="72"/>
  <c r="H78" i="72"/>
  <c r="H77" i="72"/>
  <c r="H76" i="72"/>
  <c r="H75" i="72"/>
  <c r="I74" i="72"/>
  <c r="I73" i="72"/>
  <c r="I72" i="72"/>
  <c r="I71" i="72"/>
  <c r="I70" i="72"/>
  <c r="I68" i="72"/>
  <c r="I67" i="72"/>
  <c r="I66" i="72"/>
  <c r="I65" i="72"/>
  <c r="I64" i="72"/>
  <c r="I63" i="72"/>
  <c r="H74" i="72"/>
  <c r="H73" i="72"/>
  <c r="H72" i="72"/>
  <c r="H71" i="72"/>
  <c r="H69" i="72"/>
  <c r="H68" i="72"/>
  <c r="H67" i="72"/>
  <c r="H66" i="72"/>
  <c r="H65" i="72"/>
  <c r="H64" i="72"/>
  <c r="H63" i="72"/>
  <c r="I62" i="72"/>
  <c r="I61" i="72"/>
  <c r="I59" i="72"/>
  <c r="I58" i="72"/>
  <c r="I57" i="72"/>
  <c r="I56" i="72"/>
  <c r="I55" i="72"/>
  <c r="I53" i="72"/>
  <c r="I52" i="72"/>
  <c r="I51" i="72"/>
  <c r="H62" i="72"/>
  <c r="H61" i="72"/>
  <c r="H60" i="72"/>
  <c r="H59" i="72"/>
  <c r="H58" i="72"/>
  <c r="H57" i="72"/>
  <c r="H56" i="72"/>
  <c r="H55" i="72"/>
  <c r="H54" i="72"/>
  <c r="H53" i="72"/>
  <c r="H52" i="72"/>
  <c r="H51" i="72"/>
  <c r="I50" i="72"/>
  <c r="I49" i="72"/>
  <c r="I47" i="72"/>
  <c r="I46" i="72"/>
  <c r="I45" i="72"/>
  <c r="I44" i="72"/>
  <c r="I43" i="72"/>
  <c r="I41" i="72"/>
  <c r="I40" i="72"/>
  <c r="I39" i="72"/>
  <c r="H50" i="72"/>
  <c r="H49" i="72"/>
  <c r="H48" i="72"/>
  <c r="H47" i="72"/>
  <c r="H46" i="72"/>
  <c r="H45" i="72"/>
  <c r="H44" i="72"/>
  <c r="H43" i="72"/>
  <c r="H42" i="72"/>
  <c r="H41" i="72"/>
  <c r="H40" i="72"/>
  <c r="H39" i="72"/>
  <c r="I38" i="72"/>
  <c r="I37" i="72"/>
  <c r="I35" i="72"/>
  <c r="I34" i="72"/>
  <c r="I33" i="72"/>
  <c r="I32" i="72"/>
  <c r="I31" i="72"/>
  <c r="I29" i="72"/>
  <c r="I28" i="72"/>
  <c r="I27" i="72"/>
  <c r="H38" i="72"/>
  <c r="H37" i="72"/>
  <c r="H36" i="72"/>
  <c r="H35" i="72"/>
  <c r="H34" i="72"/>
  <c r="H33" i="72"/>
  <c r="H32" i="72"/>
  <c r="H31" i="72"/>
  <c r="H30" i="72"/>
  <c r="H29" i="72"/>
  <c r="H28" i="72"/>
  <c r="H27" i="72"/>
  <c r="I26" i="72"/>
  <c r="I25" i="72"/>
  <c r="I24" i="72"/>
  <c r="I23" i="72"/>
  <c r="I22" i="72"/>
  <c r="I20" i="72"/>
  <c r="I19" i="72"/>
  <c r="I18" i="72"/>
  <c r="I17" i="72"/>
  <c r="I16" i="72"/>
  <c r="I15" i="72"/>
  <c r="H26" i="72"/>
  <c r="H25" i="72"/>
  <c r="H24" i="72"/>
  <c r="H23" i="72"/>
  <c r="H21" i="72"/>
  <c r="H20" i="72"/>
  <c r="H19" i="72"/>
  <c r="H18" i="72"/>
  <c r="H17" i="72"/>
  <c r="H16" i="72"/>
  <c r="H15" i="72"/>
  <c r="M38" i="76"/>
  <c r="M37" i="76"/>
  <c r="I12" i="72"/>
  <c r="I108" i="72" s="1"/>
  <c r="I11" i="72"/>
  <c r="I107" i="72" s="1"/>
  <c r="M34" i="76"/>
  <c r="M33" i="76"/>
  <c r="M32" i="76"/>
  <c r="M31" i="76"/>
  <c r="I6" i="72"/>
  <c r="I5" i="72"/>
  <c r="I4" i="72"/>
  <c r="I3" i="72"/>
  <c r="H14" i="72"/>
  <c r="H13" i="72"/>
  <c r="H12" i="72"/>
  <c r="H11" i="72"/>
  <c r="M15" i="76"/>
  <c r="M14" i="76"/>
  <c r="M13" i="76"/>
  <c r="M12" i="76"/>
  <c r="M11" i="76"/>
  <c r="M10" i="76"/>
  <c r="M9" i="76"/>
  <c r="H3" i="72"/>
  <c r="N28" i="76"/>
  <c r="N14" i="76"/>
  <c r="L5" i="76"/>
  <c r="K5" i="76"/>
  <c r="J5" i="76"/>
  <c r="I5" i="76"/>
  <c r="H5" i="76"/>
  <c r="G5" i="76"/>
  <c r="F5" i="76"/>
  <c r="E5" i="76"/>
  <c r="D5" i="76"/>
  <c r="C5" i="76"/>
  <c r="N38" i="76"/>
  <c r="N37" i="76"/>
  <c r="N36" i="76"/>
  <c r="N35" i="76"/>
  <c r="N34" i="76"/>
  <c r="N32" i="76"/>
  <c r="N31" i="76"/>
  <c r="N30" i="76"/>
  <c r="N29" i="76"/>
  <c r="N27" i="76"/>
  <c r="N8" i="76"/>
  <c r="N15" i="76"/>
  <c r="N16" i="76"/>
  <c r="N17" i="76"/>
  <c r="N18" i="76"/>
  <c r="N13" i="76"/>
  <c r="N12" i="76"/>
  <c r="N11" i="76"/>
  <c r="N10" i="76"/>
  <c r="N9" i="76"/>
  <c r="B5" i="76"/>
  <c r="F122" i="72"/>
  <c r="F121" i="72"/>
  <c r="P121" i="72" s="1"/>
  <c r="F120" i="72"/>
  <c r="P120" i="72" s="1"/>
  <c r="F119" i="72"/>
  <c r="P119" i="72" s="1"/>
  <c r="F118" i="72"/>
  <c r="P118" i="72" s="1"/>
  <c r="F117" i="72"/>
  <c r="P117" i="72" s="1"/>
  <c r="F116" i="72"/>
  <c r="P116" i="72" s="1"/>
  <c r="E122" i="72"/>
  <c r="O122" i="72" s="1"/>
  <c r="J19" i="18" s="1"/>
  <c r="E121" i="72"/>
  <c r="O121" i="72" s="1"/>
  <c r="J18" i="18" s="1"/>
  <c r="E120" i="72"/>
  <c r="O120" i="72" s="1"/>
  <c r="J17" i="18" s="1"/>
  <c r="E119" i="72"/>
  <c r="E118" i="72"/>
  <c r="O118" i="72" s="1"/>
  <c r="J15" i="18" s="1"/>
  <c r="E117" i="72"/>
  <c r="O117" i="72" s="1"/>
  <c r="J14" i="18" s="1"/>
  <c r="E116" i="72"/>
  <c r="O116" i="72" l="1"/>
  <c r="E126" i="72"/>
  <c r="H107" i="72"/>
  <c r="H105" i="72"/>
  <c r="H108" i="72"/>
  <c r="I105" i="72"/>
  <c r="H109" i="72"/>
  <c r="H110" i="72"/>
  <c r="J13" i="18"/>
  <c r="D126" i="78"/>
  <c r="H11" i="78"/>
  <c r="H3" i="78"/>
  <c r="I12" i="78"/>
  <c r="G117" i="78"/>
  <c r="G121" i="78"/>
  <c r="G120" i="78"/>
  <c r="G119" i="78"/>
  <c r="G122" i="78"/>
  <c r="M8" i="76"/>
  <c r="M27" i="76"/>
  <c r="H10" i="72"/>
  <c r="H106" i="72" s="1"/>
  <c r="I10" i="72"/>
  <c r="I106" i="72" s="1"/>
  <c r="M18" i="76"/>
  <c r="M29" i="76"/>
  <c r="H8" i="72"/>
  <c r="I8" i="72"/>
  <c r="M17" i="76"/>
  <c r="M30" i="76"/>
  <c r="H7" i="72"/>
  <c r="I7" i="72"/>
  <c r="M28" i="76"/>
  <c r="M16" i="76"/>
  <c r="H6" i="72"/>
  <c r="H5" i="72"/>
  <c r="H4" i="72"/>
  <c r="M35" i="76"/>
  <c r="I14" i="72"/>
  <c r="I110" i="72" s="1"/>
  <c r="M36" i="76"/>
  <c r="I13" i="72"/>
  <c r="I109" i="72" s="1"/>
  <c r="P122" i="72"/>
  <c r="O119" i="72"/>
  <c r="J16" i="18" s="1"/>
  <c r="I20" i="76"/>
  <c r="J20" i="76"/>
  <c r="J39" i="76"/>
  <c r="H39" i="76"/>
  <c r="L20" i="76"/>
  <c r="L39" i="76"/>
  <c r="D39" i="76"/>
  <c r="E39" i="76"/>
  <c r="K39" i="76"/>
  <c r="D20" i="76"/>
  <c r="E20" i="76"/>
  <c r="F39" i="76"/>
  <c r="K20" i="76"/>
  <c r="F20" i="76"/>
  <c r="G39" i="76"/>
  <c r="G20" i="76"/>
  <c r="I39" i="76"/>
  <c r="H20" i="76"/>
  <c r="C39" i="76"/>
  <c r="C20" i="76"/>
  <c r="B39" i="76"/>
  <c r="B20" i="76"/>
  <c r="Z168" i="73"/>
  <c r="W168" i="73"/>
  <c r="Q168" i="73"/>
  <c r="N168" i="73"/>
  <c r="K168" i="73"/>
  <c r="I14" i="78" l="1"/>
  <c r="H7" i="78"/>
  <c r="I10" i="78"/>
  <c r="I4" i="78"/>
  <c r="H14" i="78"/>
  <c r="H10" i="78"/>
  <c r="H4" i="78"/>
  <c r="I6" i="78"/>
  <c r="I7" i="78"/>
  <c r="H15" i="78"/>
  <c r="N3" i="78"/>
  <c r="I11" i="78"/>
  <c r="N11" i="78" s="1"/>
  <c r="H13" i="78"/>
  <c r="H5" i="78"/>
  <c r="H6" i="78"/>
  <c r="I8" i="78"/>
  <c r="H9" i="78"/>
  <c r="I3" i="78"/>
  <c r="I5" i="78"/>
  <c r="I9" i="78"/>
  <c r="H8" i="78"/>
  <c r="H12" i="78"/>
  <c r="P123" i="72"/>
  <c r="I13" i="78"/>
  <c r="I24" i="78"/>
  <c r="I36" i="78" s="1"/>
  <c r="I48" i="78" s="1"/>
  <c r="I60" i="78" s="1"/>
  <c r="I72" i="78" s="1"/>
  <c r="I84" i="78" s="1"/>
  <c r="H23" i="78"/>
  <c r="G126" i="78"/>
  <c r="F92" i="72" l="1"/>
  <c r="F94" i="72"/>
  <c r="G94" i="72" s="1"/>
  <c r="F88" i="72"/>
  <c r="F93" i="72"/>
  <c r="G93" i="72" s="1"/>
  <c r="F95" i="72"/>
  <c r="G95" i="72" s="1"/>
  <c r="F96" i="72"/>
  <c r="G96" i="72" s="1"/>
  <c r="F97" i="72"/>
  <c r="G97" i="72" s="1"/>
  <c r="F90" i="72"/>
  <c r="F87" i="72"/>
  <c r="F89" i="72"/>
  <c r="F98" i="72"/>
  <c r="G98" i="72" s="1"/>
  <c r="F91" i="72"/>
  <c r="P124" i="72"/>
  <c r="I96" i="78"/>
  <c r="I108" i="78" s="1"/>
  <c r="I22" i="78"/>
  <c r="I34" i="78" s="1"/>
  <c r="I46" i="78" s="1"/>
  <c r="I58" i="78" s="1"/>
  <c r="I70" i="78" s="1"/>
  <c r="I82" i="78" s="1"/>
  <c r="H27" i="78"/>
  <c r="I15" i="78"/>
  <c r="I27" i="78" s="1"/>
  <c r="I39" i="78" s="1"/>
  <c r="I51" i="78" s="1"/>
  <c r="I63" i="78" s="1"/>
  <c r="I75" i="78" s="1"/>
  <c r="H24" i="78"/>
  <c r="N12" i="78"/>
  <c r="H17" i="78"/>
  <c r="N5" i="78"/>
  <c r="H22" i="78"/>
  <c r="N10" i="78"/>
  <c r="I19" i="78"/>
  <c r="I31" i="78" s="1"/>
  <c r="I43" i="78" s="1"/>
  <c r="I55" i="78" s="1"/>
  <c r="I67" i="78" s="1"/>
  <c r="I79" i="78" s="1"/>
  <c r="H20" i="78"/>
  <c r="N8" i="78"/>
  <c r="H25" i="78"/>
  <c r="N13" i="78"/>
  <c r="H26" i="78"/>
  <c r="N14" i="78"/>
  <c r="I26" i="78"/>
  <c r="I38" i="78" s="1"/>
  <c r="I50" i="78" s="1"/>
  <c r="I62" i="78" s="1"/>
  <c r="I74" i="78" s="1"/>
  <c r="I86" i="78" s="1"/>
  <c r="I17" i="78"/>
  <c r="I29" i="78" s="1"/>
  <c r="I41" i="78" s="1"/>
  <c r="I53" i="78" s="1"/>
  <c r="I65" i="78" s="1"/>
  <c r="I77" i="78" s="1"/>
  <c r="H16" i="78"/>
  <c r="N4" i="78"/>
  <c r="H19" i="78"/>
  <c r="N7" i="78"/>
  <c r="H35" i="78"/>
  <c r="H21" i="78"/>
  <c r="N9" i="78"/>
  <c r="I18" i="78"/>
  <c r="I30" i="78" s="1"/>
  <c r="I42" i="78" s="1"/>
  <c r="I54" i="78" s="1"/>
  <c r="I66" i="78" s="1"/>
  <c r="I78" i="78" s="1"/>
  <c r="I25" i="78"/>
  <c r="I37" i="78" s="1"/>
  <c r="I49" i="78" s="1"/>
  <c r="I61" i="78" s="1"/>
  <c r="I73" i="78" s="1"/>
  <c r="I85" i="78" s="1"/>
  <c r="H18" i="78"/>
  <c r="N6" i="78"/>
  <c r="I21" i="78"/>
  <c r="I33" i="78" s="1"/>
  <c r="I45" i="78" s="1"/>
  <c r="I57" i="78" s="1"/>
  <c r="I69" i="78" s="1"/>
  <c r="I81" i="78" s="1"/>
  <c r="I20" i="78"/>
  <c r="I32" i="78" s="1"/>
  <c r="I44" i="78" s="1"/>
  <c r="I56" i="78" s="1"/>
  <c r="I68" i="78" s="1"/>
  <c r="I80" i="78" s="1"/>
  <c r="I23" i="78"/>
  <c r="I35" i="78" s="1"/>
  <c r="I47" i="78" s="1"/>
  <c r="I59" i="78" s="1"/>
  <c r="I71" i="78" s="1"/>
  <c r="I83" i="78" s="1"/>
  <c r="I16" i="78"/>
  <c r="I28" i="78" s="1"/>
  <c r="I40" i="78" s="1"/>
  <c r="I52" i="78" s="1"/>
  <c r="I64" i="78" s="1"/>
  <c r="I76" i="78" s="1"/>
  <c r="Y168" i="73"/>
  <c r="V168" i="73"/>
  <c r="S168" i="73"/>
  <c r="P168" i="73"/>
  <c r="M168" i="73"/>
  <c r="J168" i="73"/>
  <c r="H168" i="73"/>
  <c r="O2" i="9"/>
  <c r="F1" i="18" s="1"/>
  <c r="N2" i="9"/>
  <c r="E1" i="18" s="1"/>
  <c r="M2" i="9"/>
  <c r="L2" i="9"/>
  <c r="K2" i="9"/>
  <c r="J2" i="9"/>
  <c r="I2" i="9"/>
  <c r="H2" i="9"/>
  <c r="F102" i="72" l="1"/>
  <c r="G102" i="72" s="1"/>
  <c r="G90" i="72"/>
  <c r="F103" i="72"/>
  <c r="G103" i="72" s="1"/>
  <c r="G91" i="72"/>
  <c r="F100" i="72"/>
  <c r="G100" i="72" s="1"/>
  <c r="G88" i="72"/>
  <c r="F101" i="72"/>
  <c r="G101" i="72" s="1"/>
  <c r="G89" i="72"/>
  <c r="F99" i="72"/>
  <c r="G99" i="72" s="1"/>
  <c r="G87" i="72"/>
  <c r="F104" i="72"/>
  <c r="G104" i="72" s="1"/>
  <c r="G92" i="72"/>
  <c r="I88" i="78"/>
  <c r="I100" i="78" s="1"/>
  <c r="I98" i="78"/>
  <c r="I110" i="78" s="1"/>
  <c r="I90" i="78"/>
  <c r="I102" i="78" s="1"/>
  <c r="I95" i="78"/>
  <c r="I107" i="78" s="1"/>
  <c r="N116" i="78"/>
  <c r="Q116" i="78" s="1"/>
  <c r="H30" i="78"/>
  <c r="N18" i="78"/>
  <c r="N23" i="78"/>
  <c r="F2" i="17"/>
  <c r="D1" i="18" s="1"/>
  <c r="A31" i="11"/>
  <c r="H34" i="78"/>
  <c r="H46" i="78" s="1"/>
  <c r="H58" i="78" s="1"/>
  <c r="H70" i="78" s="1"/>
  <c r="H82" i="78" s="1"/>
  <c r="N22" i="78"/>
  <c r="E2" i="17"/>
  <c r="C1" i="18" s="1"/>
  <c r="A26" i="11"/>
  <c r="I97" i="78"/>
  <c r="I109" i="78" s="1"/>
  <c r="H47" i="78"/>
  <c r="H59" i="78" s="1"/>
  <c r="H71" i="78" s="1"/>
  <c r="H83" i="78" s="1"/>
  <c r="H95" i="78" s="1"/>
  <c r="H107" i="78" s="1"/>
  <c r="I89" i="78"/>
  <c r="I101" i="78" s="1"/>
  <c r="H37" i="78"/>
  <c r="N25" i="78"/>
  <c r="H94" i="78"/>
  <c r="H106" i="78" s="1"/>
  <c r="I87" i="78"/>
  <c r="I99" i="78" s="1"/>
  <c r="N15" i="78"/>
  <c r="H29" i="78"/>
  <c r="N17" i="78"/>
  <c r="H39" i="78"/>
  <c r="H51" i="78" s="1"/>
  <c r="H63" i="78" s="1"/>
  <c r="H75" i="78" s="1"/>
  <c r="N27" i="78"/>
  <c r="I92" i="78"/>
  <c r="I104" i="78" s="1"/>
  <c r="H31" i="78"/>
  <c r="N19" i="78"/>
  <c r="I93" i="78"/>
  <c r="I105" i="78" s="1"/>
  <c r="H32" i="78"/>
  <c r="N20" i="78"/>
  <c r="I94" i="78"/>
  <c r="I106" i="78" s="1"/>
  <c r="H33" i="78"/>
  <c r="N33" i="78" s="1"/>
  <c r="N21" i="78"/>
  <c r="H28" i="78"/>
  <c r="N16" i="78"/>
  <c r="H38" i="78"/>
  <c r="N26" i="78"/>
  <c r="I91" i="78"/>
  <c r="I103" i="78" s="1"/>
  <c r="H36" i="78"/>
  <c r="H48" i="78" s="1"/>
  <c r="H60" i="78" s="1"/>
  <c r="H72" i="78" s="1"/>
  <c r="H84" i="78" s="1"/>
  <c r="N24" i="78"/>
  <c r="T164" i="73"/>
  <c r="C3" i="72"/>
  <c r="C4" i="72"/>
  <c r="C5" i="72"/>
  <c r="C6" i="72"/>
  <c r="C7" i="72"/>
  <c r="C8" i="72"/>
  <c r="C9" i="72"/>
  <c r="C10" i="72"/>
  <c r="C11" i="72"/>
  <c r="C12" i="72"/>
  <c r="C13" i="72"/>
  <c r="C14" i="72"/>
  <c r="C15" i="72"/>
  <c r="C16" i="72"/>
  <c r="C17" i="72"/>
  <c r="C18" i="72"/>
  <c r="C19" i="72"/>
  <c r="C20" i="72"/>
  <c r="C21" i="72"/>
  <c r="C22" i="72"/>
  <c r="C23" i="72"/>
  <c r="C24" i="72"/>
  <c r="C25" i="72"/>
  <c r="C26" i="72"/>
  <c r="C27" i="72"/>
  <c r="C28" i="72"/>
  <c r="C29" i="72"/>
  <c r="C30" i="72"/>
  <c r="C31" i="72"/>
  <c r="C32" i="72"/>
  <c r="C33" i="72"/>
  <c r="C34" i="72"/>
  <c r="C35" i="72"/>
  <c r="C36" i="72"/>
  <c r="C37" i="72"/>
  <c r="C38" i="72"/>
  <c r="C39" i="72"/>
  <c r="C40" i="72"/>
  <c r="C41" i="72"/>
  <c r="C42" i="72"/>
  <c r="C43" i="72"/>
  <c r="C44" i="72"/>
  <c r="C45" i="72"/>
  <c r="C46" i="72"/>
  <c r="C47" i="72"/>
  <c r="C48" i="72"/>
  <c r="C49" i="72"/>
  <c r="C50" i="72"/>
  <c r="C51" i="72"/>
  <c r="C52" i="72"/>
  <c r="C53" i="72"/>
  <c r="C54" i="72"/>
  <c r="C55" i="72"/>
  <c r="C56" i="72"/>
  <c r="C57" i="72"/>
  <c r="C58" i="72"/>
  <c r="C59" i="72"/>
  <c r="C60" i="72"/>
  <c r="C61" i="72"/>
  <c r="C62" i="72"/>
  <c r="C63" i="72"/>
  <c r="C64" i="72"/>
  <c r="C65" i="72"/>
  <c r="C66" i="72"/>
  <c r="C67" i="72"/>
  <c r="C68" i="72"/>
  <c r="C69" i="72"/>
  <c r="C70" i="72"/>
  <c r="C71" i="72"/>
  <c r="C72" i="72"/>
  <c r="C73" i="72"/>
  <c r="C74" i="72"/>
  <c r="C75" i="72"/>
  <c r="C76" i="72"/>
  <c r="C77" i="72"/>
  <c r="C78" i="72"/>
  <c r="C79" i="72"/>
  <c r="C80" i="72"/>
  <c r="C81" i="72"/>
  <c r="C82" i="72"/>
  <c r="C83" i="72"/>
  <c r="C84" i="72"/>
  <c r="C85" i="72"/>
  <c r="C86" i="72"/>
  <c r="Y21" i="73"/>
  <c r="V21" i="73"/>
  <c r="S21" i="73"/>
  <c r="G123" i="72" l="1"/>
  <c r="G124" i="72"/>
  <c r="H87" i="78"/>
  <c r="H99" i="78" s="1"/>
  <c r="H40" i="78"/>
  <c r="H52" i="78" s="1"/>
  <c r="H64" i="78" s="1"/>
  <c r="H76" i="78" s="1"/>
  <c r="N28" i="78"/>
  <c r="N117" i="78"/>
  <c r="Q117" i="78" s="1"/>
  <c r="H42" i="78"/>
  <c r="H54" i="78" s="1"/>
  <c r="H66" i="78" s="1"/>
  <c r="H78" i="78" s="1"/>
  <c r="N30" i="78"/>
  <c r="H41" i="78"/>
  <c r="H53" i="78" s="1"/>
  <c r="H65" i="78" s="1"/>
  <c r="H77" i="78" s="1"/>
  <c r="N29" i="78"/>
  <c r="H45" i="78"/>
  <c r="H57" i="78" s="1"/>
  <c r="H69" i="78" s="1"/>
  <c r="H81" i="78" s="1"/>
  <c r="H43" i="78"/>
  <c r="H55" i="78" s="1"/>
  <c r="H67" i="78" s="1"/>
  <c r="H79" i="78" s="1"/>
  <c r="N31" i="78"/>
  <c r="H96" i="78"/>
  <c r="H108" i="78" s="1"/>
  <c r="H44" i="78"/>
  <c r="H56" i="78" s="1"/>
  <c r="H68" i="78" s="1"/>
  <c r="H80" i="78" s="1"/>
  <c r="N32" i="78"/>
  <c r="H49" i="78"/>
  <c r="H61" i="78" s="1"/>
  <c r="H73" i="78" s="1"/>
  <c r="H85" i="78" s="1"/>
  <c r="H50" i="78"/>
  <c r="H62" i="78" s="1"/>
  <c r="H74" i="78" s="1"/>
  <c r="H86" i="78" s="1"/>
  <c r="N34" i="78"/>
  <c r="AC52" i="73"/>
  <c r="AC40" i="73"/>
  <c r="AC28" i="73"/>
  <c r="F168" i="73"/>
  <c r="I5" i="9"/>
  <c r="L9" i="9"/>
  <c r="L6" i="9"/>
  <c r="L3" i="9"/>
  <c r="AC55" i="73"/>
  <c r="AC43" i="73"/>
  <c r="AC31" i="73"/>
  <c r="J8" i="9"/>
  <c r="K9" i="9"/>
  <c r="K8" i="9"/>
  <c r="K6" i="9"/>
  <c r="K5" i="9"/>
  <c r="K4" i="9"/>
  <c r="K3" i="9"/>
  <c r="K7" i="9"/>
  <c r="AC53" i="73"/>
  <c r="AC41" i="73"/>
  <c r="AC29" i="73"/>
  <c r="J5" i="9"/>
  <c r="J4" i="9"/>
  <c r="J7" i="9"/>
  <c r="J6" i="9"/>
  <c r="J3" i="9"/>
  <c r="AC50" i="73"/>
  <c r="AC38" i="73"/>
  <c r="AC26" i="73"/>
  <c r="T166" i="73"/>
  <c r="I9" i="9"/>
  <c r="I8" i="9"/>
  <c r="I3" i="9"/>
  <c r="H8" i="9"/>
  <c r="H6" i="9"/>
  <c r="H4" i="9"/>
  <c r="H3" i="9"/>
  <c r="AC49" i="73"/>
  <c r="AC37" i="73"/>
  <c r="AC25" i="73"/>
  <c r="I4" i="9"/>
  <c r="H9" i="9"/>
  <c r="H7" i="9"/>
  <c r="H5" i="9"/>
  <c r="AC58" i="73"/>
  <c r="AC46" i="73"/>
  <c r="AC34" i="73"/>
  <c r="I7" i="9"/>
  <c r="L7" i="9"/>
  <c r="L5" i="9"/>
  <c r="J9" i="9"/>
  <c r="I6" i="9"/>
  <c r="L8" i="9"/>
  <c r="L4" i="9"/>
  <c r="AC56" i="73"/>
  <c r="AC44" i="73"/>
  <c r="AC32" i="73"/>
  <c r="E14" i="73"/>
  <c r="E17" i="17" s="1"/>
  <c r="E30" i="17" s="1"/>
  <c r="E13" i="73"/>
  <c r="E16" i="17" s="1"/>
  <c r="E12" i="73"/>
  <c r="E15" i="17" s="1"/>
  <c r="E11" i="73"/>
  <c r="E14" i="17" s="1"/>
  <c r="E10" i="73"/>
  <c r="E13" i="17" s="1"/>
  <c r="E9" i="73"/>
  <c r="E12" i="17" s="1"/>
  <c r="E8" i="73"/>
  <c r="E11" i="17" s="1"/>
  <c r="B27" i="11" s="1"/>
  <c r="E7" i="73"/>
  <c r="E6" i="73"/>
  <c r="AC80" i="73"/>
  <c r="L23" i="72"/>
  <c r="N23" i="72" s="1"/>
  <c r="L84" i="72"/>
  <c r="N84" i="72" s="1"/>
  <c r="AC141" i="73"/>
  <c r="AC129" i="73"/>
  <c r="L72" i="72"/>
  <c r="N72" i="72" s="1"/>
  <c r="L60" i="72"/>
  <c r="N60" i="72" s="1"/>
  <c r="AC117" i="73"/>
  <c r="AC105" i="73"/>
  <c r="L48" i="72"/>
  <c r="N48" i="72" s="1"/>
  <c r="AC93" i="73"/>
  <c r="L36" i="72"/>
  <c r="N36" i="72" s="1"/>
  <c r="L24" i="72"/>
  <c r="N24" i="72" s="1"/>
  <c r="AC81" i="73"/>
  <c r="L12" i="72"/>
  <c r="N12" i="72" s="1"/>
  <c r="AC69" i="73"/>
  <c r="AC57" i="73"/>
  <c r="AC45" i="73"/>
  <c r="AC33" i="73"/>
  <c r="L82" i="72"/>
  <c r="N82" i="72" s="1"/>
  <c r="AC139" i="73"/>
  <c r="L70" i="72"/>
  <c r="N70" i="72" s="1"/>
  <c r="AC127" i="73"/>
  <c r="L58" i="72"/>
  <c r="N58" i="72" s="1"/>
  <c r="AC115" i="73"/>
  <c r="L46" i="72"/>
  <c r="N46" i="72" s="1"/>
  <c r="AC103" i="73"/>
  <c r="AC91" i="73"/>
  <c r="L34" i="72"/>
  <c r="N34" i="72" s="1"/>
  <c r="L22" i="72"/>
  <c r="N22" i="72" s="1"/>
  <c r="AC79" i="73"/>
  <c r="L10" i="72"/>
  <c r="N10" i="72" s="1"/>
  <c r="AC67" i="73"/>
  <c r="AC138" i="73"/>
  <c r="L81" i="72"/>
  <c r="N81" i="72" s="1"/>
  <c r="AC126" i="73"/>
  <c r="L69" i="72"/>
  <c r="N69" i="72" s="1"/>
  <c r="AC114" i="73"/>
  <c r="L57" i="72"/>
  <c r="N57" i="72" s="1"/>
  <c r="AC102" i="73"/>
  <c r="L45" i="72"/>
  <c r="N45" i="72" s="1"/>
  <c r="AC90" i="73"/>
  <c r="L33" i="72"/>
  <c r="N33" i="72" s="1"/>
  <c r="AC78" i="73"/>
  <c r="L21" i="72"/>
  <c r="N21" i="72" s="1"/>
  <c r="AC66" i="73"/>
  <c r="L9" i="72"/>
  <c r="N9" i="72" s="1"/>
  <c r="AC54" i="73"/>
  <c r="AC42" i="73"/>
  <c r="AC30" i="73"/>
  <c r="L35" i="72"/>
  <c r="N35" i="72" s="1"/>
  <c r="AC92" i="73"/>
  <c r="AC137" i="73"/>
  <c r="L80" i="72"/>
  <c r="N80" i="72" s="1"/>
  <c r="AC125" i="73"/>
  <c r="L68" i="72"/>
  <c r="N68" i="72" s="1"/>
  <c r="AC113" i="73"/>
  <c r="L56" i="72"/>
  <c r="N56" i="72" s="1"/>
  <c r="AC101" i="73"/>
  <c r="L44" i="72"/>
  <c r="N44" i="72" s="1"/>
  <c r="AC89" i="73"/>
  <c r="L32" i="72"/>
  <c r="N32" i="72" s="1"/>
  <c r="AC77" i="73"/>
  <c r="L20" i="72"/>
  <c r="N20" i="72" s="1"/>
  <c r="AC65" i="73"/>
  <c r="L8" i="72"/>
  <c r="N8" i="72" s="1"/>
  <c r="D14" i="73"/>
  <c r="D17" i="17" s="1"/>
  <c r="D30" i="17" s="1"/>
  <c r="D13" i="73"/>
  <c r="D16" i="17" s="1"/>
  <c r="D12" i="73"/>
  <c r="D15" i="17" s="1"/>
  <c r="D11" i="73"/>
  <c r="D14" i="17" s="1"/>
  <c r="D10" i="73"/>
  <c r="D13" i="17" s="1"/>
  <c r="D9" i="73"/>
  <c r="D12" i="17" s="1"/>
  <c r="D8" i="73"/>
  <c r="D11" i="17" s="1"/>
  <c r="D7" i="73"/>
  <c r="D6" i="73"/>
  <c r="AC140" i="73"/>
  <c r="L83" i="72"/>
  <c r="N83" i="72" s="1"/>
  <c r="L11" i="72"/>
  <c r="N11" i="72" s="1"/>
  <c r="AC68" i="73"/>
  <c r="AC136" i="73"/>
  <c r="L79" i="72"/>
  <c r="N79" i="72" s="1"/>
  <c r="AC124" i="73"/>
  <c r="L67" i="72"/>
  <c r="N67" i="72" s="1"/>
  <c r="AC112" i="73"/>
  <c r="L55" i="72"/>
  <c r="N55" i="72" s="1"/>
  <c r="AC100" i="73"/>
  <c r="L43" i="72"/>
  <c r="N43" i="72" s="1"/>
  <c r="AC88" i="73"/>
  <c r="L31" i="72"/>
  <c r="N31" i="72" s="1"/>
  <c r="AC76" i="73"/>
  <c r="L19" i="72"/>
  <c r="N19" i="72" s="1"/>
  <c r="AC64" i="73"/>
  <c r="L7" i="72"/>
  <c r="N7" i="72" s="1"/>
  <c r="AC135" i="73"/>
  <c r="L78" i="72"/>
  <c r="N78" i="72" s="1"/>
  <c r="AC123" i="73"/>
  <c r="L66" i="72"/>
  <c r="N66" i="72" s="1"/>
  <c r="AC111" i="73"/>
  <c r="L54" i="72"/>
  <c r="N54" i="72" s="1"/>
  <c r="AC99" i="73"/>
  <c r="L42" i="72"/>
  <c r="N42" i="72" s="1"/>
  <c r="AC87" i="73"/>
  <c r="L30" i="72"/>
  <c r="N30" i="72" s="1"/>
  <c r="AC75" i="73"/>
  <c r="L18" i="72"/>
  <c r="N18" i="72" s="1"/>
  <c r="AC63" i="73"/>
  <c r="L6" i="72"/>
  <c r="N6" i="72" s="1"/>
  <c r="AC51" i="73"/>
  <c r="AC39" i="73"/>
  <c r="AC27" i="73"/>
  <c r="AC134" i="73"/>
  <c r="L77" i="72"/>
  <c r="N77" i="72" s="1"/>
  <c r="AC122" i="73"/>
  <c r="L65" i="72"/>
  <c r="N65" i="72" s="1"/>
  <c r="AC110" i="73"/>
  <c r="L53" i="72"/>
  <c r="N53" i="72" s="1"/>
  <c r="AC98" i="73"/>
  <c r="L41" i="72"/>
  <c r="N41" i="72" s="1"/>
  <c r="AC86" i="73"/>
  <c r="L29" i="72"/>
  <c r="N29" i="72" s="1"/>
  <c r="AC74" i="73"/>
  <c r="L17" i="72"/>
  <c r="N17" i="72" s="1"/>
  <c r="AC62" i="73"/>
  <c r="L5" i="72"/>
  <c r="N5" i="72" s="1"/>
  <c r="L59" i="72"/>
  <c r="N59" i="72" s="1"/>
  <c r="AC116" i="73"/>
  <c r="L76" i="72"/>
  <c r="N76" i="72" s="1"/>
  <c r="AC133" i="73"/>
  <c r="AC121" i="73"/>
  <c r="L64" i="72"/>
  <c r="N64" i="72" s="1"/>
  <c r="AC109" i="73"/>
  <c r="L52" i="72"/>
  <c r="N52" i="72" s="1"/>
  <c r="AC97" i="73"/>
  <c r="L40" i="72"/>
  <c r="N40" i="72" s="1"/>
  <c r="AC85" i="73"/>
  <c r="L28" i="72"/>
  <c r="N28" i="72" s="1"/>
  <c r="AC73" i="73"/>
  <c r="L16" i="72"/>
  <c r="N16" i="72" s="1"/>
  <c r="AC61" i="73"/>
  <c r="L4" i="72"/>
  <c r="N4" i="72" s="1"/>
  <c r="AC132" i="73"/>
  <c r="L75" i="72"/>
  <c r="N75" i="72" s="1"/>
  <c r="AC120" i="73"/>
  <c r="L63" i="72"/>
  <c r="N63" i="72" s="1"/>
  <c r="AC108" i="73"/>
  <c r="L51" i="72"/>
  <c r="N51" i="72" s="1"/>
  <c r="AC96" i="73"/>
  <c r="L39" i="72"/>
  <c r="N39" i="72" s="1"/>
  <c r="AC84" i="73"/>
  <c r="L27" i="72"/>
  <c r="N27" i="72" s="1"/>
  <c r="AC72" i="73"/>
  <c r="L15" i="72"/>
  <c r="N15" i="72" s="1"/>
  <c r="AC60" i="73"/>
  <c r="L3" i="72"/>
  <c r="N3" i="72" s="1"/>
  <c r="AC48" i="73"/>
  <c r="AC36" i="73"/>
  <c r="L71" i="72"/>
  <c r="N71" i="72" s="1"/>
  <c r="AC128" i="73"/>
  <c r="L86" i="72"/>
  <c r="L74" i="72"/>
  <c r="N74" i="72" s="1"/>
  <c r="AC131" i="73"/>
  <c r="L62" i="72"/>
  <c r="N62" i="72" s="1"/>
  <c r="AC119" i="73"/>
  <c r="L50" i="72"/>
  <c r="N50" i="72" s="1"/>
  <c r="AC107" i="73"/>
  <c r="L38" i="72"/>
  <c r="N38" i="72" s="1"/>
  <c r="AC95" i="73"/>
  <c r="L26" i="72"/>
  <c r="N26" i="72" s="1"/>
  <c r="AC83" i="73"/>
  <c r="L14" i="72"/>
  <c r="N14" i="72" s="1"/>
  <c r="AC71" i="73"/>
  <c r="AC59" i="73"/>
  <c r="AC47" i="73"/>
  <c r="AC35" i="73"/>
  <c r="F14" i="73"/>
  <c r="F17" i="17" s="1"/>
  <c r="F30" i="17" s="1"/>
  <c r="F13" i="73"/>
  <c r="F16" i="17" s="1"/>
  <c r="F12" i="73"/>
  <c r="F15" i="17" s="1"/>
  <c r="F11" i="73"/>
  <c r="F14" i="17" s="1"/>
  <c r="F10" i="73"/>
  <c r="F13" i="17" s="1"/>
  <c r="F9" i="73"/>
  <c r="F12" i="17" s="1"/>
  <c r="F8" i="73"/>
  <c r="F11" i="17" s="1"/>
  <c r="B32" i="11" s="1"/>
  <c r="F7" i="73"/>
  <c r="F6" i="73"/>
  <c r="AC104" i="73"/>
  <c r="L47" i="72"/>
  <c r="N47" i="72" s="1"/>
  <c r="AC142" i="73"/>
  <c r="L85" i="72"/>
  <c r="N85" i="72" s="1"/>
  <c r="AC130" i="73"/>
  <c r="L73" i="72"/>
  <c r="N73" i="72" s="1"/>
  <c r="L61" i="72"/>
  <c r="N61" i="72" s="1"/>
  <c r="AC118" i="73"/>
  <c r="AC106" i="73"/>
  <c r="L49" i="72"/>
  <c r="N49" i="72" s="1"/>
  <c r="AC94" i="73"/>
  <c r="L37" i="72"/>
  <c r="N37" i="72" s="1"/>
  <c r="AC82" i="73"/>
  <c r="L25" i="72"/>
  <c r="N25" i="72" s="1"/>
  <c r="AC70" i="73"/>
  <c r="L13" i="72"/>
  <c r="N13" i="72" s="1"/>
  <c r="AA164" i="73"/>
  <c r="AA166" i="73" s="1"/>
  <c r="Z164" i="73"/>
  <c r="Z166" i="73" s="1"/>
  <c r="Y164" i="73"/>
  <c r="Y166" i="73" s="1"/>
  <c r="W164" i="73"/>
  <c r="W166" i="73" s="1"/>
  <c r="U164" i="73"/>
  <c r="U166" i="73" s="1"/>
  <c r="S164" i="73"/>
  <c r="S166" i="73" s="1"/>
  <c r="K164" i="73"/>
  <c r="K166" i="73" s="1"/>
  <c r="N164" i="73"/>
  <c r="N166" i="73" s="1"/>
  <c r="Q164" i="73"/>
  <c r="Q166" i="73" s="1"/>
  <c r="E164" i="73"/>
  <c r="E166" i="73" s="1"/>
  <c r="M21" i="73"/>
  <c r="J21" i="73"/>
  <c r="H90" i="78" l="1"/>
  <c r="H102" i="78" s="1"/>
  <c r="H88" i="78"/>
  <c r="H100" i="78" s="1"/>
  <c r="H93" i="78"/>
  <c r="H105" i="78" s="1"/>
  <c r="H91" i="78"/>
  <c r="H103" i="78" s="1"/>
  <c r="D25" i="17"/>
  <c r="D28" i="17"/>
  <c r="J19" i="9"/>
  <c r="G27" i="11"/>
  <c r="E28" i="17"/>
  <c r="H32" i="11"/>
  <c r="F29" i="17"/>
  <c r="D24" i="17"/>
  <c r="H27" i="11"/>
  <c r="E29" i="17"/>
  <c r="D33" i="11"/>
  <c r="F28" i="11"/>
  <c r="H98" i="78"/>
  <c r="H110" i="78" s="1"/>
  <c r="B28" i="11"/>
  <c r="D26" i="17"/>
  <c r="C28" i="11"/>
  <c r="G32" i="11"/>
  <c r="F28" i="17"/>
  <c r="F24" i="17"/>
  <c r="C32" i="11"/>
  <c r="D27" i="17"/>
  <c r="C27" i="11"/>
  <c r="E24" i="17"/>
  <c r="D28" i="11"/>
  <c r="B33" i="11"/>
  <c r="H97" i="78"/>
  <c r="H109" i="78" s="1"/>
  <c r="E28" i="11"/>
  <c r="E33" i="11"/>
  <c r="D32" i="11"/>
  <c r="F25" i="17"/>
  <c r="C33" i="11"/>
  <c r="F26" i="17"/>
  <c r="E32" i="11"/>
  <c r="D29" i="17"/>
  <c r="E26" i="17"/>
  <c r="E27" i="11"/>
  <c r="G33" i="11"/>
  <c r="G28" i="11"/>
  <c r="H33" i="11"/>
  <c r="H89" i="78"/>
  <c r="H101" i="78" s="1"/>
  <c r="F33" i="11"/>
  <c r="D27" i="11"/>
  <c r="E25" i="17"/>
  <c r="F32" i="11"/>
  <c r="F27" i="17"/>
  <c r="F27" i="11"/>
  <c r="E27" i="17"/>
  <c r="H28" i="11"/>
  <c r="H92" i="78"/>
  <c r="H104" i="78" s="1"/>
  <c r="N35" i="78"/>
  <c r="O11" i="17"/>
  <c r="Q12" i="17" s="1"/>
  <c r="L87" i="79" s="1"/>
  <c r="N87" i="79" s="1"/>
  <c r="N86" i="72"/>
  <c r="N116" i="72"/>
  <c r="P169" i="73"/>
  <c r="P170" i="73" s="1"/>
  <c r="F169" i="73"/>
  <c r="F170" i="73" s="1"/>
  <c r="J169" i="73"/>
  <c r="J170" i="73" s="1"/>
  <c r="M169" i="73"/>
  <c r="M170" i="73" s="1"/>
  <c r="H169" i="73"/>
  <c r="H170" i="73" s="1"/>
  <c r="D164" i="73"/>
  <c r="D166" i="73" s="1"/>
  <c r="F164" i="73"/>
  <c r="F166" i="73" s="1"/>
  <c r="H164" i="73"/>
  <c r="H166" i="73" s="1"/>
  <c r="V164" i="73"/>
  <c r="V166" i="73" s="1"/>
  <c r="P164" i="73"/>
  <c r="P166" i="73" s="1"/>
  <c r="J164" i="73"/>
  <c r="J166" i="73" s="1"/>
  <c r="M164" i="73"/>
  <c r="M166" i="73" s="1"/>
  <c r="AC24" i="73"/>
  <c r="AC164" i="73" s="1"/>
  <c r="G164" i="73"/>
  <c r="G166" i="73" s="1"/>
  <c r="F5" i="73"/>
  <c r="R164" i="73"/>
  <c r="R166" i="73" s="1"/>
  <c r="H5" i="73"/>
  <c r="X166" i="73"/>
  <c r="E5" i="73"/>
  <c r="O164" i="73"/>
  <c r="O166" i="73" s="1"/>
  <c r="AC165" i="73"/>
  <c r="D5" i="73"/>
  <c r="L164" i="73"/>
  <c r="L166" i="73" s="1"/>
  <c r="C5" i="73"/>
  <c r="I164" i="73"/>
  <c r="I166" i="73" s="1"/>
  <c r="G14" i="73"/>
  <c r="P21" i="73"/>
  <c r="H21" i="73"/>
  <c r="F21" i="73"/>
  <c r="Q116" i="72" l="1"/>
  <c r="L87" i="78"/>
  <c r="E36" i="17"/>
  <c r="F36" i="17"/>
  <c r="J32" i="11"/>
  <c r="I32" i="11"/>
  <c r="J27" i="11"/>
  <c r="I27" i="11"/>
  <c r="C3" i="9"/>
  <c r="S116" i="72"/>
  <c r="L19" i="9"/>
  <c r="K19" i="9"/>
  <c r="N36" i="78"/>
  <c r="L87" i="72"/>
  <c r="N87" i="72" s="1"/>
  <c r="Q13" i="17"/>
  <c r="AC166" i="73"/>
  <c r="L88" i="78" l="1"/>
  <c r="L88" i="79"/>
  <c r="N88" i="79" s="1"/>
  <c r="L23" i="9"/>
  <c r="L29" i="9" s="1"/>
  <c r="K23" i="9"/>
  <c r="K29" i="9" s="1"/>
  <c r="K36" i="9" s="1"/>
  <c r="N37" i="78"/>
  <c r="Q14" i="17"/>
  <c r="L89" i="79" s="1"/>
  <c r="N89" i="79" s="1"/>
  <c r="L88" i="72"/>
  <c r="N88" i="72" s="1"/>
  <c r="L89" i="78" l="1"/>
  <c r="L89" i="72"/>
  <c r="N89" i="72" s="1"/>
  <c r="N38" i="78"/>
  <c r="Q15" i="17"/>
  <c r="B3" i="72"/>
  <c r="D3" i="72" s="1"/>
  <c r="G3" i="72" s="1"/>
  <c r="B4" i="72"/>
  <c r="D4" i="72" s="1"/>
  <c r="G4" i="72" s="1"/>
  <c r="B5" i="72"/>
  <c r="D5" i="72" s="1"/>
  <c r="G5" i="72" s="1"/>
  <c r="B6" i="72"/>
  <c r="D6" i="72" s="1"/>
  <c r="G6" i="72" s="1"/>
  <c r="B7" i="72"/>
  <c r="D7" i="72" s="1"/>
  <c r="G7" i="72" s="1"/>
  <c r="B8" i="72"/>
  <c r="D8" i="72" s="1"/>
  <c r="G8" i="72" s="1"/>
  <c r="B9" i="72"/>
  <c r="D9" i="72" s="1"/>
  <c r="G9" i="72" s="1"/>
  <c r="B10" i="72"/>
  <c r="D10" i="72" s="1"/>
  <c r="G10" i="72" s="1"/>
  <c r="B11" i="72"/>
  <c r="D11" i="72" s="1"/>
  <c r="G11" i="72" s="1"/>
  <c r="B12" i="72"/>
  <c r="D12" i="72" s="1"/>
  <c r="G12" i="72" s="1"/>
  <c r="B13" i="72"/>
  <c r="D13" i="72" s="1"/>
  <c r="G13" i="72" s="1"/>
  <c r="B14" i="72"/>
  <c r="D14" i="72" s="1"/>
  <c r="G14" i="72" s="1"/>
  <c r="B15" i="72"/>
  <c r="D15" i="72" s="1"/>
  <c r="B16" i="72"/>
  <c r="D16" i="72" s="1"/>
  <c r="G16" i="72" s="1"/>
  <c r="B17" i="72"/>
  <c r="D17" i="72" s="1"/>
  <c r="G17" i="72" s="1"/>
  <c r="B18" i="72"/>
  <c r="D18" i="72" s="1"/>
  <c r="G18" i="72" s="1"/>
  <c r="B19" i="72"/>
  <c r="D19" i="72" s="1"/>
  <c r="G19" i="72" s="1"/>
  <c r="B20" i="72"/>
  <c r="D20" i="72" s="1"/>
  <c r="G20" i="72" s="1"/>
  <c r="B21" i="72"/>
  <c r="D21" i="72" s="1"/>
  <c r="G21" i="72" s="1"/>
  <c r="B22" i="72"/>
  <c r="D22" i="72" s="1"/>
  <c r="G22" i="72" s="1"/>
  <c r="B23" i="72"/>
  <c r="D23" i="72" s="1"/>
  <c r="G23" i="72" s="1"/>
  <c r="B24" i="72"/>
  <c r="D24" i="72" s="1"/>
  <c r="G24" i="72" s="1"/>
  <c r="B25" i="72"/>
  <c r="D25" i="72" s="1"/>
  <c r="G25" i="72" s="1"/>
  <c r="B26" i="72"/>
  <c r="D26" i="72" s="1"/>
  <c r="G26" i="72" s="1"/>
  <c r="B27" i="72"/>
  <c r="D27" i="72" s="1"/>
  <c r="B28" i="72"/>
  <c r="D28" i="72" s="1"/>
  <c r="G28" i="72" s="1"/>
  <c r="B29" i="72"/>
  <c r="D29" i="72" s="1"/>
  <c r="G29" i="72" s="1"/>
  <c r="B30" i="72"/>
  <c r="D30" i="72" s="1"/>
  <c r="G30" i="72" s="1"/>
  <c r="B31" i="72"/>
  <c r="D31" i="72" s="1"/>
  <c r="G31" i="72" s="1"/>
  <c r="B32" i="72"/>
  <c r="D32" i="72" s="1"/>
  <c r="G32" i="72" s="1"/>
  <c r="B33" i="72"/>
  <c r="D33" i="72" s="1"/>
  <c r="G33" i="72" s="1"/>
  <c r="B34" i="72"/>
  <c r="D34" i="72" s="1"/>
  <c r="G34" i="72" s="1"/>
  <c r="B35" i="72"/>
  <c r="D35" i="72" s="1"/>
  <c r="G35" i="72" s="1"/>
  <c r="B36" i="72"/>
  <c r="D36" i="72" s="1"/>
  <c r="G36" i="72" s="1"/>
  <c r="B37" i="72"/>
  <c r="D37" i="72" s="1"/>
  <c r="G37" i="72" s="1"/>
  <c r="B38" i="72"/>
  <c r="D38" i="72" s="1"/>
  <c r="G38" i="72" s="1"/>
  <c r="B39" i="72"/>
  <c r="D39" i="72" s="1"/>
  <c r="B40" i="72"/>
  <c r="D40" i="72" s="1"/>
  <c r="G40" i="72" s="1"/>
  <c r="B41" i="72"/>
  <c r="D41" i="72" s="1"/>
  <c r="G41" i="72" s="1"/>
  <c r="B42" i="72"/>
  <c r="D42" i="72" s="1"/>
  <c r="G42" i="72" s="1"/>
  <c r="B43" i="72"/>
  <c r="D43" i="72" s="1"/>
  <c r="G43" i="72" s="1"/>
  <c r="B44" i="72"/>
  <c r="D44" i="72" s="1"/>
  <c r="G44" i="72" s="1"/>
  <c r="B45" i="72"/>
  <c r="D45" i="72" s="1"/>
  <c r="G45" i="72" s="1"/>
  <c r="B46" i="72"/>
  <c r="D46" i="72" s="1"/>
  <c r="G46" i="72" s="1"/>
  <c r="B47" i="72"/>
  <c r="D47" i="72" s="1"/>
  <c r="G47" i="72" s="1"/>
  <c r="B48" i="72"/>
  <c r="D48" i="72" s="1"/>
  <c r="G48" i="72" s="1"/>
  <c r="B49" i="72"/>
  <c r="D49" i="72" s="1"/>
  <c r="G49" i="72" s="1"/>
  <c r="B50" i="72"/>
  <c r="D50" i="72" s="1"/>
  <c r="G50" i="72" s="1"/>
  <c r="B51" i="72"/>
  <c r="D51" i="72" s="1"/>
  <c r="B52" i="72"/>
  <c r="D52" i="72" s="1"/>
  <c r="G52" i="72" s="1"/>
  <c r="B53" i="72"/>
  <c r="D53" i="72" s="1"/>
  <c r="G53" i="72" s="1"/>
  <c r="B54" i="72"/>
  <c r="D54" i="72" s="1"/>
  <c r="G54" i="72" s="1"/>
  <c r="B55" i="72"/>
  <c r="D55" i="72" s="1"/>
  <c r="G55" i="72" s="1"/>
  <c r="B56" i="72"/>
  <c r="D56" i="72" s="1"/>
  <c r="G56" i="72" s="1"/>
  <c r="B57" i="72"/>
  <c r="D57" i="72" s="1"/>
  <c r="G57" i="72" s="1"/>
  <c r="B58" i="72"/>
  <c r="D58" i="72" s="1"/>
  <c r="G58" i="72" s="1"/>
  <c r="B59" i="72"/>
  <c r="D59" i="72" s="1"/>
  <c r="G59" i="72" s="1"/>
  <c r="B60" i="72"/>
  <c r="D60" i="72" s="1"/>
  <c r="G60" i="72" s="1"/>
  <c r="B61" i="72"/>
  <c r="D61" i="72" s="1"/>
  <c r="G61" i="72" s="1"/>
  <c r="B62" i="72"/>
  <c r="D62" i="72" s="1"/>
  <c r="G62" i="72" s="1"/>
  <c r="B63" i="72"/>
  <c r="D63" i="72" s="1"/>
  <c r="B64" i="72"/>
  <c r="D64" i="72" s="1"/>
  <c r="G64" i="72" s="1"/>
  <c r="B65" i="72"/>
  <c r="D65" i="72" s="1"/>
  <c r="G65" i="72" s="1"/>
  <c r="B66" i="72"/>
  <c r="D66" i="72" s="1"/>
  <c r="G66" i="72" s="1"/>
  <c r="B67" i="72"/>
  <c r="D67" i="72" s="1"/>
  <c r="G67" i="72" s="1"/>
  <c r="B68" i="72"/>
  <c r="D68" i="72" s="1"/>
  <c r="G68" i="72" s="1"/>
  <c r="B69" i="72"/>
  <c r="D69" i="72" s="1"/>
  <c r="G69" i="72" s="1"/>
  <c r="B70" i="72"/>
  <c r="D70" i="72" s="1"/>
  <c r="G70" i="72" s="1"/>
  <c r="B71" i="72"/>
  <c r="D71" i="72" s="1"/>
  <c r="G71" i="72" s="1"/>
  <c r="B72" i="72"/>
  <c r="D72" i="72" s="1"/>
  <c r="G72" i="72" s="1"/>
  <c r="B73" i="72"/>
  <c r="D73" i="72" s="1"/>
  <c r="G73" i="72" s="1"/>
  <c r="B74" i="72"/>
  <c r="D74" i="72" s="1"/>
  <c r="G74" i="72" s="1"/>
  <c r="B75" i="72"/>
  <c r="D75" i="72" s="1"/>
  <c r="B76" i="72"/>
  <c r="D76" i="72" s="1"/>
  <c r="G76" i="72" s="1"/>
  <c r="B77" i="72"/>
  <c r="D77" i="72" s="1"/>
  <c r="G77" i="72" s="1"/>
  <c r="B78" i="72"/>
  <c r="D78" i="72" s="1"/>
  <c r="G78" i="72" s="1"/>
  <c r="B79" i="72"/>
  <c r="D79" i="72" s="1"/>
  <c r="G79" i="72" s="1"/>
  <c r="B80" i="72"/>
  <c r="D80" i="72" s="1"/>
  <c r="G80" i="72" s="1"/>
  <c r="B81" i="72"/>
  <c r="D81" i="72" s="1"/>
  <c r="G81" i="72" s="1"/>
  <c r="B82" i="72"/>
  <c r="D82" i="72" s="1"/>
  <c r="G82" i="72" s="1"/>
  <c r="B83" i="72"/>
  <c r="D83" i="72" s="1"/>
  <c r="G83" i="72" s="1"/>
  <c r="B84" i="72"/>
  <c r="D84" i="72" s="1"/>
  <c r="G84" i="72" s="1"/>
  <c r="B85" i="72"/>
  <c r="D85" i="72" s="1"/>
  <c r="G85" i="72" s="1"/>
  <c r="B86" i="72"/>
  <c r="D86" i="72" s="1"/>
  <c r="G86" i="72" s="1"/>
  <c r="H28" i="9"/>
  <c r="L90" i="78" l="1"/>
  <c r="L90" i="79"/>
  <c r="N90" i="79" s="1"/>
  <c r="N39" i="78"/>
  <c r="N118" i="78"/>
  <c r="L90" i="72"/>
  <c r="N90" i="72" s="1"/>
  <c r="Q16" i="17"/>
  <c r="G27" i="72"/>
  <c r="G118" i="72" s="1"/>
  <c r="D118" i="72"/>
  <c r="B5" i="9" s="1"/>
  <c r="G63" i="72"/>
  <c r="G121" i="72" s="1"/>
  <c r="D121" i="72"/>
  <c r="B8" i="9" s="1"/>
  <c r="G116" i="72"/>
  <c r="D116" i="72"/>
  <c r="G39" i="72"/>
  <c r="G119" i="72" s="1"/>
  <c r="D119" i="72"/>
  <c r="G51" i="72"/>
  <c r="G120" i="72" s="1"/>
  <c r="D120" i="72"/>
  <c r="B7" i="9" s="1"/>
  <c r="G75" i="72"/>
  <c r="G122" i="72" s="1"/>
  <c r="D122" i="72"/>
  <c r="B9" i="9" s="1"/>
  <c r="G15" i="72"/>
  <c r="G117" i="72" s="1"/>
  <c r="D117" i="72"/>
  <c r="B4" i="9" s="1"/>
  <c r="G126" i="72" l="1"/>
  <c r="L91" i="78"/>
  <c r="L91" i="79"/>
  <c r="N91" i="79" s="1"/>
  <c r="B3" i="9"/>
  <c r="D126" i="72"/>
  <c r="L91" i="72"/>
  <c r="N91" i="72" s="1"/>
  <c r="Q17" i="17"/>
  <c r="Q118" i="78"/>
  <c r="N40" i="78"/>
  <c r="B6" i="9"/>
  <c r="L92" i="78" l="1"/>
  <c r="L92" i="79"/>
  <c r="N92" i="79" s="1"/>
  <c r="Q18" i="17"/>
  <c r="L92" i="72"/>
  <c r="N92" i="72" s="1"/>
  <c r="N41" i="78"/>
  <c r="Q19" i="17"/>
  <c r="L93" i="72"/>
  <c r="N93" i="72" s="1"/>
  <c r="L94" i="78" l="1"/>
  <c r="L94" i="79"/>
  <c r="N94" i="79" s="1"/>
  <c r="L93" i="78"/>
  <c r="L93" i="79"/>
  <c r="N93" i="79" s="1"/>
  <c r="N42" i="78"/>
  <c r="Q20" i="17"/>
  <c r="L94" i="72"/>
  <c r="N94" i="72" s="1"/>
  <c r="L95" i="78" l="1"/>
  <c r="L95" i="79"/>
  <c r="N95" i="79" s="1"/>
  <c r="N43" i="78"/>
  <c r="Q21" i="17"/>
  <c r="L95" i="72"/>
  <c r="N95" i="72" s="1"/>
  <c r="B116" i="72"/>
  <c r="B118" i="72"/>
  <c r="B120" i="72"/>
  <c r="B122" i="72"/>
  <c r="L96" i="78" l="1"/>
  <c r="L96" i="79"/>
  <c r="N96" i="79" s="1"/>
  <c r="N44" i="78"/>
  <c r="Q22" i="17"/>
  <c r="L97" i="79" s="1"/>
  <c r="N97" i="79" s="1"/>
  <c r="N123" i="79" s="1"/>
  <c r="L96" i="72"/>
  <c r="N96" i="72" s="1"/>
  <c r="B119" i="72"/>
  <c r="B117" i="72"/>
  <c r="B121" i="72"/>
  <c r="N126" i="79" l="1"/>
  <c r="N127" i="79" s="1"/>
  <c r="Q123" i="79"/>
  <c r="R123" i="72" s="1"/>
  <c r="L97" i="78"/>
  <c r="Q24" i="17"/>
  <c r="N45" i="78"/>
  <c r="L98" i="78"/>
  <c r="L97" i="72"/>
  <c r="N97" i="72" s="1"/>
  <c r="O63" i="72"/>
  <c r="O64" i="72"/>
  <c r="O65" i="72"/>
  <c r="O66" i="72"/>
  <c r="O67" i="72"/>
  <c r="O68" i="72"/>
  <c r="O69" i="72"/>
  <c r="O70" i="72"/>
  <c r="O71" i="72"/>
  <c r="O72" i="72"/>
  <c r="O73" i="72"/>
  <c r="O74" i="72"/>
  <c r="O4" i="72"/>
  <c r="O5" i="72"/>
  <c r="O7" i="72"/>
  <c r="O8" i="72"/>
  <c r="O9" i="72"/>
  <c r="O10" i="72"/>
  <c r="O11" i="72"/>
  <c r="O12" i="72"/>
  <c r="O13" i="72"/>
  <c r="O15" i="72"/>
  <c r="O16" i="72"/>
  <c r="O17" i="72"/>
  <c r="O18" i="72"/>
  <c r="O20" i="72"/>
  <c r="O21" i="72"/>
  <c r="O23" i="72"/>
  <c r="O24" i="72"/>
  <c r="O25" i="72"/>
  <c r="O26" i="72"/>
  <c r="O27" i="72"/>
  <c r="O28" i="72"/>
  <c r="O29" i="72"/>
  <c r="O31" i="72"/>
  <c r="O32" i="72"/>
  <c r="O33" i="72"/>
  <c r="O34" i="72"/>
  <c r="O35" i="72"/>
  <c r="O36" i="72"/>
  <c r="O37" i="72"/>
  <c r="O39" i="72"/>
  <c r="O40" i="72"/>
  <c r="O41" i="72"/>
  <c r="O42" i="72"/>
  <c r="O43" i="72"/>
  <c r="O44" i="72"/>
  <c r="O45" i="72"/>
  <c r="O47" i="72"/>
  <c r="O48" i="72"/>
  <c r="O49" i="72"/>
  <c r="O50" i="72"/>
  <c r="O51" i="72"/>
  <c r="O52" i="72"/>
  <c r="O53" i="72"/>
  <c r="O55" i="72"/>
  <c r="O56" i="72"/>
  <c r="O57" i="72"/>
  <c r="O58" i="72"/>
  <c r="O59" i="72"/>
  <c r="O61" i="72"/>
  <c r="O76" i="72"/>
  <c r="O77" i="72"/>
  <c r="O78" i="72"/>
  <c r="O79" i="72"/>
  <c r="O81" i="72"/>
  <c r="O84" i="72"/>
  <c r="O85" i="72"/>
  <c r="O86" i="72"/>
  <c r="I14" i="73"/>
  <c r="I17" i="17" s="1"/>
  <c r="H14" i="73"/>
  <c r="C14" i="73"/>
  <c r="C17" i="17" s="1"/>
  <c r="C30" i="17" s="1"/>
  <c r="B14" i="73"/>
  <c r="B17" i="17" s="1"/>
  <c r="I13" i="73"/>
  <c r="I16" i="17" s="1"/>
  <c r="H13" i="73"/>
  <c r="H16" i="17" s="1"/>
  <c r="G13" i="73"/>
  <c r="C13" i="73"/>
  <c r="C16" i="17" s="1"/>
  <c r="B13" i="73"/>
  <c r="B16" i="17" s="1"/>
  <c r="I12" i="73"/>
  <c r="I15" i="17" s="1"/>
  <c r="H12" i="73"/>
  <c r="H15" i="17" s="1"/>
  <c r="G12" i="73"/>
  <c r="C12" i="73"/>
  <c r="C15" i="17" s="1"/>
  <c r="B12" i="73"/>
  <c r="B15" i="17" s="1"/>
  <c r="I11" i="73"/>
  <c r="I14" i="17" s="1"/>
  <c r="H11" i="73"/>
  <c r="H14" i="17" s="1"/>
  <c r="G11" i="73"/>
  <c r="G14" i="17" s="1"/>
  <c r="C11" i="73"/>
  <c r="C14" i="17" s="1"/>
  <c r="B11" i="73"/>
  <c r="B14" i="17" s="1"/>
  <c r="I10" i="73"/>
  <c r="I13" i="17" s="1"/>
  <c r="H10" i="73"/>
  <c r="H13" i="17" s="1"/>
  <c r="G10" i="73"/>
  <c r="G13" i="17" s="1"/>
  <c r="C10" i="73"/>
  <c r="C13" i="17" s="1"/>
  <c r="B10" i="73"/>
  <c r="B13" i="17" s="1"/>
  <c r="I9" i="73"/>
  <c r="I12" i="17" s="1"/>
  <c r="H9" i="73"/>
  <c r="H12" i="17" s="1"/>
  <c r="G9" i="73"/>
  <c r="G12" i="17" s="1"/>
  <c r="C9" i="73"/>
  <c r="C12" i="17" s="1"/>
  <c r="B9" i="73"/>
  <c r="B12" i="17" s="1"/>
  <c r="I8" i="73"/>
  <c r="I11" i="17" s="1"/>
  <c r="H8" i="73"/>
  <c r="H11" i="17" s="1"/>
  <c r="G8" i="73"/>
  <c r="G11" i="17" s="1"/>
  <c r="C8" i="73"/>
  <c r="C11" i="17" s="1"/>
  <c r="B8" i="73"/>
  <c r="B11" i="17" s="1"/>
  <c r="I7" i="73"/>
  <c r="H7" i="73"/>
  <c r="G7" i="73"/>
  <c r="C7" i="73"/>
  <c r="B7" i="73"/>
  <c r="I6" i="73"/>
  <c r="H6" i="73"/>
  <c r="G6" i="73"/>
  <c r="C6" i="73"/>
  <c r="B6" i="73"/>
  <c r="I5" i="73"/>
  <c r="G5" i="73"/>
  <c r="B5" i="73"/>
  <c r="B30" i="17" l="1"/>
  <c r="L13" i="17"/>
  <c r="H26" i="17"/>
  <c r="C28" i="17"/>
  <c r="L12" i="17"/>
  <c r="G25" i="17"/>
  <c r="L15" i="17"/>
  <c r="H28" i="17"/>
  <c r="H24" i="17"/>
  <c r="C26" i="17"/>
  <c r="I27" i="17"/>
  <c r="I29" i="17"/>
  <c r="C25" i="17"/>
  <c r="I26" i="17"/>
  <c r="G28" i="17"/>
  <c r="G29" i="17"/>
  <c r="H25" i="17"/>
  <c r="C27" i="17"/>
  <c r="I28" i="17"/>
  <c r="I25" i="17"/>
  <c r="G27" i="17"/>
  <c r="L17" i="17"/>
  <c r="C24" i="17"/>
  <c r="G24" i="17"/>
  <c r="L14" i="17"/>
  <c r="H27" i="17"/>
  <c r="C29" i="17"/>
  <c r="H29" i="17"/>
  <c r="L11" i="17"/>
  <c r="I24" i="17"/>
  <c r="G26" i="17"/>
  <c r="L16" i="17"/>
  <c r="N46" i="78"/>
  <c r="L99" i="78"/>
  <c r="L98" i="72"/>
  <c r="N98" i="72" s="1"/>
  <c r="R43" i="72"/>
  <c r="P43" i="72"/>
  <c r="S43" i="72"/>
  <c r="T43" i="72" s="1"/>
  <c r="R15" i="72"/>
  <c r="P15" i="72"/>
  <c r="R72" i="72"/>
  <c r="P72" i="72"/>
  <c r="S72" i="72"/>
  <c r="T72" i="72" s="1"/>
  <c r="R56" i="72"/>
  <c r="P56" i="72"/>
  <c r="S56" i="72"/>
  <c r="T56" i="72" s="1"/>
  <c r="P27" i="72"/>
  <c r="S27" i="72"/>
  <c r="T27" i="72" s="1"/>
  <c r="R27" i="72"/>
  <c r="R12" i="72"/>
  <c r="P12" i="72"/>
  <c r="S12" i="72"/>
  <c r="T12" i="72" s="1"/>
  <c r="R70" i="72"/>
  <c r="P70" i="72"/>
  <c r="S70" i="72"/>
  <c r="T70" i="72" s="1"/>
  <c r="S42" i="72"/>
  <c r="T42" i="72" s="1"/>
  <c r="R42" i="72"/>
  <c r="P42" i="72"/>
  <c r="S40" i="72"/>
  <c r="T40" i="72" s="1"/>
  <c r="R40" i="72"/>
  <c r="P40" i="72"/>
  <c r="R26" i="72"/>
  <c r="P26" i="72"/>
  <c r="S26" i="72"/>
  <c r="T26" i="72" s="1"/>
  <c r="R11" i="72"/>
  <c r="P11" i="72"/>
  <c r="S11" i="72"/>
  <c r="T11" i="72" s="1"/>
  <c r="R69" i="72"/>
  <c r="P69" i="72"/>
  <c r="S69" i="72"/>
  <c r="T69" i="72" s="1"/>
  <c r="S28" i="72"/>
  <c r="T28" i="72" s="1"/>
  <c r="R28" i="72"/>
  <c r="P28" i="72"/>
  <c r="R81" i="72"/>
  <c r="P81" i="72"/>
  <c r="R39" i="72"/>
  <c r="P39" i="72"/>
  <c r="R25" i="72"/>
  <c r="P25" i="72"/>
  <c r="S25" i="72"/>
  <c r="T25" i="72" s="1"/>
  <c r="R10" i="72"/>
  <c r="P10" i="72"/>
  <c r="S10" i="72"/>
  <c r="T10" i="72" s="1"/>
  <c r="R68" i="72"/>
  <c r="P68" i="72"/>
  <c r="S68" i="72"/>
  <c r="T68" i="72" s="1"/>
  <c r="R57" i="72"/>
  <c r="P57" i="72"/>
  <c r="S57" i="72"/>
  <c r="T57" i="72" s="1"/>
  <c r="R85" i="72"/>
  <c r="P85" i="72"/>
  <c r="S85" i="72"/>
  <c r="T85" i="72" s="1"/>
  <c r="R9" i="72"/>
  <c r="P9" i="72"/>
  <c r="S9" i="72"/>
  <c r="T9" i="72" s="1"/>
  <c r="R67" i="72"/>
  <c r="P67" i="72"/>
  <c r="S67" i="72"/>
  <c r="T67" i="72" s="1"/>
  <c r="R41" i="72"/>
  <c r="P41" i="72"/>
  <c r="S41" i="72"/>
  <c r="T41" i="72" s="1"/>
  <c r="R50" i="72"/>
  <c r="P50" i="72"/>
  <c r="S50" i="72"/>
  <c r="T50" i="72" s="1"/>
  <c r="R23" i="72"/>
  <c r="P23" i="72"/>
  <c r="R8" i="72"/>
  <c r="P8" i="72"/>
  <c r="S8" i="72"/>
  <c r="T8" i="72" s="1"/>
  <c r="S66" i="72"/>
  <c r="T66" i="72" s="1"/>
  <c r="R66" i="72"/>
  <c r="P66" i="72"/>
  <c r="R29" i="72"/>
  <c r="P29" i="72"/>
  <c r="S29" i="72"/>
  <c r="T29" i="72" s="1"/>
  <c r="R84" i="72"/>
  <c r="P84" i="72"/>
  <c r="R37" i="72"/>
  <c r="P37" i="72"/>
  <c r="S37" i="72"/>
  <c r="T37" i="72" s="1"/>
  <c r="R49" i="72"/>
  <c r="P49" i="72"/>
  <c r="S49" i="72"/>
  <c r="T49" i="72" s="1"/>
  <c r="R35" i="72"/>
  <c r="P35" i="72"/>
  <c r="S35" i="72"/>
  <c r="T35" i="72" s="1"/>
  <c r="R21" i="72"/>
  <c r="P21" i="72"/>
  <c r="S21" i="72"/>
  <c r="T21" i="72" s="1"/>
  <c r="R7" i="72"/>
  <c r="P7" i="72"/>
  <c r="P65" i="72"/>
  <c r="R65" i="72"/>
  <c r="S65" i="72"/>
  <c r="T65" i="72" s="1"/>
  <c r="R55" i="72"/>
  <c r="P55" i="72"/>
  <c r="R24" i="72"/>
  <c r="P24" i="72"/>
  <c r="S24" i="72"/>
  <c r="T24" i="72" s="1"/>
  <c r="R34" i="72"/>
  <c r="P34" i="72"/>
  <c r="S34" i="72"/>
  <c r="T34" i="72" s="1"/>
  <c r="R20" i="72"/>
  <c r="P20" i="72"/>
  <c r="R5" i="72"/>
  <c r="P5" i="72"/>
  <c r="S5" i="72"/>
  <c r="T5" i="72" s="1"/>
  <c r="R64" i="72"/>
  <c r="P64" i="72"/>
  <c r="S64" i="72"/>
  <c r="T64" i="72" s="1"/>
  <c r="R13" i="72"/>
  <c r="P13" i="72"/>
  <c r="S13" i="72"/>
  <c r="T13" i="72" s="1"/>
  <c r="R51" i="72"/>
  <c r="P51" i="72"/>
  <c r="S51" i="72"/>
  <c r="T51" i="72" s="1"/>
  <c r="P77" i="72"/>
  <c r="R77" i="72"/>
  <c r="S77" i="72"/>
  <c r="T77" i="72" s="1"/>
  <c r="R61" i="72"/>
  <c r="P61" i="72"/>
  <c r="R47" i="72"/>
  <c r="P47" i="72"/>
  <c r="R33" i="72"/>
  <c r="P33" i="72"/>
  <c r="S33" i="72"/>
  <c r="T33" i="72" s="1"/>
  <c r="S18" i="72"/>
  <c r="T18" i="72" s="1"/>
  <c r="R18" i="72"/>
  <c r="P18" i="72"/>
  <c r="R4" i="72"/>
  <c r="P4" i="72"/>
  <c r="Q4" i="72" s="1"/>
  <c r="R63" i="72"/>
  <c r="P63" i="72"/>
  <c r="R71" i="72"/>
  <c r="P71" i="72"/>
  <c r="S71" i="72"/>
  <c r="T71" i="72" s="1"/>
  <c r="S52" i="72"/>
  <c r="T52" i="72" s="1"/>
  <c r="R52" i="72"/>
  <c r="P52" i="72"/>
  <c r="R36" i="72"/>
  <c r="P36" i="72"/>
  <c r="S36" i="72"/>
  <c r="T36" i="72" s="1"/>
  <c r="R76" i="72"/>
  <c r="P76" i="72"/>
  <c r="R59" i="72"/>
  <c r="P59" i="72"/>
  <c r="S59" i="72"/>
  <c r="T59" i="72" s="1"/>
  <c r="R45" i="72"/>
  <c r="P45" i="72"/>
  <c r="S45" i="72"/>
  <c r="T45" i="72" s="1"/>
  <c r="R32" i="72"/>
  <c r="P32" i="72"/>
  <c r="S32" i="72"/>
  <c r="T32" i="72" s="1"/>
  <c r="R17" i="72"/>
  <c r="P17" i="72"/>
  <c r="S17" i="72"/>
  <c r="T17" i="72" s="1"/>
  <c r="R74" i="72"/>
  <c r="P74" i="72"/>
  <c r="S74" i="72"/>
  <c r="T74" i="72" s="1"/>
  <c r="S86" i="72"/>
  <c r="T86" i="72" s="1"/>
  <c r="R86" i="72"/>
  <c r="P86" i="72"/>
  <c r="P53" i="72"/>
  <c r="R53" i="72"/>
  <c r="S53" i="72"/>
  <c r="T53" i="72" s="1"/>
  <c r="R79" i="72"/>
  <c r="P79" i="72"/>
  <c r="S79" i="72"/>
  <c r="T79" i="72" s="1"/>
  <c r="S78" i="72"/>
  <c r="T78" i="72" s="1"/>
  <c r="R78" i="72"/>
  <c r="P78" i="72"/>
  <c r="R48" i="72"/>
  <c r="P48" i="72"/>
  <c r="S48" i="72"/>
  <c r="T48" i="72" s="1"/>
  <c r="R58" i="72"/>
  <c r="P58" i="72"/>
  <c r="S58" i="72"/>
  <c r="T58" i="72" s="1"/>
  <c r="R44" i="72"/>
  <c r="P44" i="72"/>
  <c r="S44" i="72"/>
  <c r="T44" i="72" s="1"/>
  <c r="R31" i="72"/>
  <c r="P31" i="72"/>
  <c r="S16" i="72"/>
  <c r="T16" i="72" s="1"/>
  <c r="R16" i="72"/>
  <c r="P16" i="72"/>
  <c r="R73" i="72"/>
  <c r="P73" i="72"/>
  <c r="S73" i="72"/>
  <c r="T73" i="72" s="1"/>
  <c r="O3" i="72"/>
  <c r="O19" i="72"/>
  <c r="S20" i="72" s="1"/>
  <c r="T20" i="72" s="1"/>
  <c r="O83" i="72"/>
  <c r="O75" i="72"/>
  <c r="O82" i="72"/>
  <c r="O62" i="72"/>
  <c r="S63" i="72" s="1"/>
  <c r="T63" i="72" s="1"/>
  <c r="O54" i="72"/>
  <c r="S55" i="72" s="1"/>
  <c r="T55" i="72" s="1"/>
  <c r="O38" i="72"/>
  <c r="S39" i="72" s="1"/>
  <c r="T39" i="72" s="1"/>
  <c r="O30" i="72"/>
  <c r="S31" i="72" s="1"/>
  <c r="T31" i="72" s="1"/>
  <c r="O22" i="72"/>
  <c r="S23" i="72" s="1"/>
  <c r="T23" i="72" s="1"/>
  <c r="O14" i="72"/>
  <c r="S15" i="72" s="1"/>
  <c r="T15" i="72" s="1"/>
  <c r="O6" i="72"/>
  <c r="O80" i="72"/>
  <c r="O60" i="72"/>
  <c r="H36" i="17" l="1"/>
  <c r="G36" i="17"/>
  <c r="I36" i="17"/>
  <c r="N47" i="78"/>
  <c r="L100" i="78"/>
  <c r="L99" i="72"/>
  <c r="N99" i="72" s="1"/>
  <c r="J12" i="17"/>
  <c r="J16" i="17"/>
  <c r="R82" i="72"/>
  <c r="P82" i="72"/>
  <c r="S82" i="72"/>
  <c r="T82" i="72" s="1"/>
  <c r="R60" i="72"/>
  <c r="P60" i="72"/>
  <c r="S60" i="72"/>
  <c r="T60" i="72" s="1"/>
  <c r="R75" i="72"/>
  <c r="P75" i="72"/>
  <c r="S75" i="72"/>
  <c r="T75" i="72" s="1"/>
  <c r="R80" i="72"/>
  <c r="P80" i="72"/>
  <c r="S80" i="72"/>
  <c r="T80" i="72" s="1"/>
  <c r="R83" i="72"/>
  <c r="P83" i="72"/>
  <c r="S83" i="72"/>
  <c r="T83" i="72" s="1"/>
  <c r="P3" i="72"/>
  <c r="Q3" i="72" s="1"/>
  <c r="R3" i="72"/>
  <c r="S6" i="72"/>
  <c r="T6" i="72" s="1"/>
  <c r="R6" i="72"/>
  <c r="P6" i="72"/>
  <c r="S76" i="72"/>
  <c r="T76" i="72" s="1"/>
  <c r="R19" i="72"/>
  <c r="P19" i="72"/>
  <c r="S19" i="72"/>
  <c r="T19" i="72" s="1"/>
  <c r="R14" i="72"/>
  <c r="P14" i="72"/>
  <c r="S14" i="72"/>
  <c r="T14" i="72" s="1"/>
  <c r="S4" i="72"/>
  <c r="T4" i="72" s="1"/>
  <c r="S61" i="72"/>
  <c r="T61" i="72" s="1"/>
  <c r="S84" i="72"/>
  <c r="T84" i="72" s="1"/>
  <c r="S54" i="72"/>
  <c r="T54" i="72" s="1"/>
  <c r="R54" i="72"/>
  <c r="P54" i="72"/>
  <c r="S81" i="72"/>
  <c r="T81" i="72" s="1"/>
  <c r="R22" i="72"/>
  <c r="P22" i="72"/>
  <c r="S22" i="72"/>
  <c r="T22" i="72" s="1"/>
  <c r="R62" i="72"/>
  <c r="P62" i="72"/>
  <c r="S62" i="72"/>
  <c r="T62" i="72" s="1"/>
  <c r="S7" i="72"/>
  <c r="T7" i="72" s="1"/>
  <c r="S30" i="72"/>
  <c r="T30" i="72" s="1"/>
  <c r="R30" i="72"/>
  <c r="P30" i="72"/>
  <c r="R38" i="72"/>
  <c r="P38" i="72"/>
  <c r="S38" i="72"/>
  <c r="T38" i="72" s="1"/>
  <c r="N119" i="72"/>
  <c r="Q119" i="72" s="1"/>
  <c r="C6" i="9" s="1"/>
  <c r="O46" i="72"/>
  <c r="J13" i="17"/>
  <c r="J17" i="17"/>
  <c r="J11" i="17"/>
  <c r="J15" i="17"/>
  <c r="J14" i="17"/>
  <c r="A7" i="18"/>
  <c r="A8" i="18"/>
  <c r="A9" i="18"/>
  <c r="A10" i="18"/>
  <c r="A26" i="9"/>
  <c r="A29" i="9" s="1"/>
  <c r="A32" i="9" s="1"/>
  <c r="A2" i="18"/>
  <c r="A3" i="18"/>
  <c r="A4" i="18"/>
  <c r="A5" i="18"/>
  <c r="A6" i="18"/>
  <c r="D5" i="18" l="1"/>
  <c r="B5" i="18"/>
  <c r="B16" i="18" s="1"/>
  <c r="C5" i="18"/>
  <c r="F5" i="18"/>
  <c r="F8" i="18"/>
  <c r="D8" i="18"/>
  <c r="C8" i="18"/>
  <c r="B8" i="18"/>
  <c r="B19" i="18" s="1"/>
  <c r="B6" i="18"/>
  <c r="B17" i="18" s="1"/>
  <c r="C6" i="18"/>
  <c r="F6" i="18"/>
  <c r="D6" i="18"/>
  <c r="D4" i="18"/>
  <c r="B4" i="18"/>
  <c r="B15" i="18" s="1"/>
  <c r="F4" i="18"/>
  <c r="C4" i="18"/>
  <c r="C7" i="18"/>
  <c r="F7" i="18"/>
  <c r="D7" i="18"/>
  <c r="B7" i="18"/>
  <c r="B18" i="18" s="1"/>
  <c r="D3" i="18"/>
  <c r="C3" i="18"/>
  <c r="F3" i="18"/>
  <c r="B3" i="18"/>
  <c r="B14" i="18" s="1"/>
  <c r="F2" i="18"/>
  <c r="D2" i="18"/>
  <c r="B2" i="18"/>
  <c r="B13" i="18" s="1"/>
  <c r="C2" i="18"/>
  <c r="N48" i="78"/>
  <c r="L101" i="78"/>
  <c r="L100" i="72"/>
  <c r="N100" i="72" s="1"/>
  <c r="R46" i="72"/>
  <c r="R87" i="72" s="1"/>
  <c r="W29" i="72" s="1"/>
  <c r="P46" i="72"/>
  <c r="S46" i="72"/>
  <c r="T46" i="72" s="1"/>
  <c r="S47" i="72"/>
  <c r="T47" i="72" s="1"/>
  <c r="A19" i="18"/>
  <c r="A18" i="18"/>
  <c r="E6" i="18"/>
  <c r="E5" i="18"/>
  <c r="E4" i="18"/>
  <c r="E3" i="18"/>
  <c r="E8" i="18"/>
  <c r="E2" i="18"/>
  <c r="E7" i="18"/>
  <c r="A17" i="18"/>
  <c r="A16" i="18"/>
  <c r="A15" i="18"/>
  <c r="A14" i="18"/>
  <c r="A13" i="18"/>
  <c r="T87" i="72" l="1"/>
  <c r="W28" i="72" s="1"/>
  <c r="W31" i="72" s="1"/>
  <c r="H29" i="11"/>
  <c r="C19" i="18"/>
  <c r="C34" i="11"/>
  <c r="D14" i="18"/>
  <c r="D34" i="11"/>
  <c r="D15" i="18"/>
  <c r="B29" i="11"/>
  <c r="N169" i="73"/>
  <c r="N170" i="73" s="1"/>
  <c r="C13" i="18"/>
  <c r="F34" i="11"/>
  <c r="D17" i="18"/>
  <c r="K169" i="73"/>
  <c r="K170" i="73" s="1"/>
  <c r="G34" i="11"/>
  <c r="D18" i="18"/>
  <c r="E29" i="11"/>
  <c r="C16" i="18"/>
  <c r="C29" i="11"/>
  <c r="C14" i="18"/>
  <c r="Q169" i="73"/>
  <c r="Q170" i="73" s="1"/>
  <c r="B34" i="11"/>
  <c r="D13" i="18"/>
  <c r="F29" i="11"/>
  <c r="C17" i="18"/>
  <c r="D29" i="11"/>
  <c r="C15" i="18"/>
  <c r="H34" i="11"/>
  <c r="D19" i="18"/>
  <c r="Z169" i="73"/>
  <c r="Z170" i="73" s="1"/>
  <c r="G29" i="11"/>
  <c r="C18" i="18"/>
  <c r="E34" i="11"/>
  <c r="D16" i="18"/>
  <c r="N49" i="78"/>
  <c r="W169" i="73"/>
  <c r="W170" i="73" s="1"/>
  <c r="L102" i="78"/>
  <c r="L101" i="72"/>
  <c r="N101" i="72" s="1"/>
  <c r="G8" i="18"/>
  <c r="G6" i="18"/>
  <c r="G2" i="18"/>
  <c r="G7" i="18"/>
  <c r="G3" i="18"/>
  <c r="G4" i="18"/>
  <c r="G5" i="18"/>
  <c r="C22" i="18" l="1"/>
  <c r="D22" i="18"/>
  <c r="N50" i="78"/>
  <c r="L103" i="78"/>
  <c r="L102" i="72"/>
  <c r="N102" i="72" s="1"/>
  <c r="N119" i="78" l="1"/>
  <c r="N51" i="78"/>
  <c r="L104" i="78"/>
  <c r="L103" i="72"/>
  <c r="N103" i="72" s="1"/>
  <c r="N52" i="78" l="1"/>
  <c r="Q119" i="78"/>
  <c r="S119" i="72" s="1"/>
  <c r="R18" i="17"/>
  <c r="L104" i="72"/>
  <c r="N104" i="72" s="1"/>
  <c r="L105" i="78" l="1"/>
  <c r="L105" i="79"/>
  <c r="N105" i="79" s="1"/>
  <c r="N53" i="78"/>
  <c r="R19" i="17"/>
  <c r="L105" i="72"/>
  <c r="N105" i="72" s="1"/>
  <c r="L106" i="78" l="1"/>
  <c r="L106" i="79"/>
  <c r="N106" i="79" s="1"/>
  <c r="N54" i="78"/>
  <c r="R20" i="17"/>
  <c r="L106" i="72"/>
  <c r="N106" i="72" s="1"/>
  <c r="H43" i="11"/>
  <c r="G57" i="11"/>
  <c r="G24" i="11"/>
  <c r="H48" i="11"/>
  <c r="G43" i="11"/>
  <c r="H24" i="11"/>
  <c r="H57" i="11"/>
  <c r="G48" i="11"/>
  <c r="L107" i="78" l="1"/>
  <c r="L107" i="79"/>
  <c r="N107" i="79" s="1"/>
  <c r="G53" i="11"/>
  <c r="G70" i="11" s="1"/>
  <c r="H53" i="11"/>
  <c r="H70" i="11" s="1"/>
  <c r="N55" i="78"/>
  <c r="R21" i="17"/>
  <c r="L107" i="72"/>
  <c r="N107" i="72" s="1"/>
  <c r="L108" i="78" l="1"/>
  <c r="L108" i="79"/>
  <c r="N108" i="79" s="1"/>
  <c r="N56" i="78"/>
  <c r="R22" i="17"/>
  <c r="L108" i="72"/>
  <c r="N108" i="72" s="1"/>
  <c r="G14" i="11"/>
  <c r="F14" i="11"/>
  <c r="E14" i="11"/>
  <c r="D14" i="11"/>
  <c r="C14" i="11"/>
  <c r="B14" i="11"/>
  <c r="L109" i="78" l="1"/>
  <c r="L109" i="79"/>
  <c r="N109" i="79" s="1"/>
  <c r="N57" i="78"/>
  <c r="R23" i="17"/>
  <c r="L109" i="72"/>
  <c r="N109" i="72" s="1"/>
  <c r="H14" i="11"/>
  <c r="L110" i="78" l="1"/>
  <c r="L110" i="79"/>
  <c r="N110" i="79" s="1"/>
  <c r="N58" i="78"/>
  <c r="L110" i="72"/>
  <c r="N110" i="72" s="1"/>
  <c r="R24" i="17"/>
  <c r="B29" i="17"/>
  <c r="A23" i="17"/>
  <c r="A24" i="17"/>
  <c r="A25" i="17"/>
  <c r="A26" i="17"/>
  <c r="A27" i="17"/>
  <c r="A28" i="17"/>
  <c r="A29" i="17"/>
  <c r="N114" i="79" l="1"/>
  <c r="N124" i="79"/>
  <c r="N59" i="78"/>
  <c r="Q58" i="72"/>
  <c r="Q26" i="72"/>
  <c r="Q57" i="72"/>
  <c r="Q55" i="72"/>
  <c r="N130" i="79" l="1"/>
  <c r="Q124" i="79"/>
  <c r="R124" i="72" s="1"/>
  <c r="N131" i="79"/>
  <c r="N60" i="78"/>
  <c r="Q25" i="72"/>
  <c r="Q7" i="72"/>
  <c r="Q49" i="72"/>
  <c r="Q23" i="72"/>
  <c r="Q80" i="72"/>
  <c r="Q17" i="72"/>
  <c r="Q73" i="72"/>
  <c r="Q33" i="72"/>
  <c r="Q71" i="72"/>
  <c r="Q81" i="72"/>
  <c r="Q65" i="72"/>
  <c r="Q16" i="72"/>
  <c r="Q32" i="72"/>
  <c r="Q48" i="72"/>
  <c r="Q64" i="72"/>
  <c r="Q74" i="72"/>
  <c r="Q29" i="72"/>
  <c r="Q78" i="72"/>
  <c r="Q5" i="72"/>
  <c r="Q47" i="72"/>
  <c r="Q54" i="72"/>
  <c r="Q45" i="72"/>
  <c r="Q12" i="72"/>
  <c r="Q28" i="72"/>
  <c r="Q76" i="72"/>
  <c r="Q8" i="72"/>
  <c r="Q72" i="72"/>
  <c r="Q69" i="72"/>
  <c r="Q20" i="72"/>
  <c r="Q84" i="72"/>
  <c r="Q67" i="72"/>
  <c r="Q82" i="72"/>
  <c r="Q30" i="72"/>
  <c r="Q85" i="72"/>
  <c r="Q11" i="72"/>
  <c r="Q39" i="72"/>
  <c r="Q6" i="72"/>
  <c r="Q70" i="72"/>
  <c r="Q66" i="72"/>
  <c r="Q24" i="72"/>
  <c r="Q46" i="72"/>
  <c r="Q21" i="72"/>
  <c r="Q36" i="72"/>
  <c r="Q61" i="72"/>
  <c r="Q44" i="72"/>
  <c r="Q19" i="72"/>
  <c r="Q83" i="72"/>
  <c r="Q9" i="72"/>
  <c r="Q40" i="72"/>
  <c r="Q79" i="72"/>
  <c r="Q43" i="72"/>
  <c r="Q22" i="72"/>
  <c r="Q86" i="72"/>
  <c r="Q13" i="72"/>
  <c r="Q18" i="72"/>
  <c r="Q37" i="72"/>
  <c r="Q52" i="72"/>
  <c r="Q59" i="72"/>
  <c r="Q38" i="72"/>
  <c r="Q77" i="72"/>
  <c r="Q35" i="72"/>
  <c r="Q41" i="72"/>
  <c r="Q31" i="72"/>
  <c r="Q62" i="72"/>
  <c r="Q51" i="72"/>
  <c r="Q60" i="72"/>
  <c r="Q34" i="72"/>
  <c r="Q50" i="72"/>
  <c r="Q56" i="72"/>
  <c r="Q14" i="72"/>
  <c r="Q53" i="72"/>
  <c r="Q68" i="72"/>
  <c r="Q10" i="72"/>
  <c r="Q42" i="72"/>
  <c r="N61" i="78" l="1"/>
  <c r="F4" i="11"/>
  <c r="B4" i="11"/>
  <c r="H4" i="11"/>
  <c r="E4" i="11"/>
  <c r="D4" i="11"/>
  <c r="G4" i="11"/>
  <c r="C4" i="11"/>
  <c r="B126" i="72"/>
  <c r="Q75" i="72"/>
  <c r="N122" i="72"/>
  <c r="Q122" i="72" s="1"/>
  <c r="C9" i="9" s="1"/>
  <c r="Q15" i="72"/>
  <c r="N117" i="72"/>
  <c r="N118" i="72"/>
  <c r="Q118" i="72" s="1"/>
  <c r="Q27" i="72"/>
  <c r="N120" i="72"/>
  <c r="Q120" i="72" s="1"/>
  <c r="C7" i="9" s="1"/>
  <c r="Q63" i="72"/>
  <c r="N121" i="72"/>
  <c r="Q121" i="72" s="1"/>
  <c r="C8" i="9" s="1"/>
  <c r="Q117" i="72" l="1"/>
  <c r="S117" i="72" s="1"/>
  <c r="C5" i="9"/>
  <c r="S118" i="72"/>
  <c r="N62" i="78"/>
  <c r="C4" i="9"/>
  <c r="Q126" i="72"/>
  <c r="Q127" i="72" s="1"/>
  <c r="Q87" i="72"/>
  <c r="G6" i="11"/>
  <c r="H6" i="11"/>
  <c r="N120" i="78" l="1"/>
  <c r="N63" i="78"/>
  <c r="E61" i="11"/>
  <c r="E62" i="11"/>
  <c r="E63" i="11"/>
  <c r="E64" i="11"/>
  <c r="E65" i="11"/>
  <c r="E66" i="11"/>
  <c r="B55" i="11"/>
  <c r="C55" i="11"/>
  <c r="D55" i="11"/>
  <c r="E55" i="11"/>
  <c r="F55" i="11"/>
  <c r="G55" i="11"/>
  <c r="Q120" i="78" l="1"/>
  <c r="S120" i="72" s="1"/>
  <c r="N64" i="78"/>
  <c r="H55" i="11"/>
  <c r="B57" i="11"/>
  <c r="C57" i="11"/>
  <c r="D57" i="11"/>
  <c r="E57" i="11"/>
  <c r="F57" i="11"/>
  <c r="N65" i="78" l="1"/>
  <c r="A19" i="9"/>
  <c r="N66" i="78" l="1"/>
  <c r="H10" i="17"/>
  <c r="N67" i="78" l="1"/>
  <c r="B43" i="11"/>
  <c r="E43" i="11"/>
  <c r="C43" i="11"/>
  <c r="D43" i="11"/>
  <c r="N68" i="78" l="1"/>
  <c r="C2" i="17"/>
  <c r="D2" i="17"/>
  <c r="G2" i="17"/>
  <c r="H2" i="17"/>
  <c r="I2" i="17"/>
  <c r="N69" i="78" l="1"/>
  <c r="G37" i="11"/>
  <c r="N70" i="78" l="1"/>
  <c r="F37" i="11"/>
  <c r="C37" i="11"/>
  <c r="N71" i="78" l="1"/>
  <c r="E37" i="11"/>
  <c r="B37" i="11"/>
  <c r="D37" i="11"/>
  <c r="N72" i="78" l="1"/>
  <c r="C10" i="17"/>
  <c r="D10" i="17"/>
  <c r="B10" i="17"/>
  <c r="H9" i="17"/>
  <c r="G9" i="17"/>
  <c r="D9" i="17"/>
  <c r="C9" i="17"/>
  <c r="B9" i="17"/>
  <c r="H8" i="17"/>
  <c r="G8" i="17"/>
  <c r="D8" i="17"/>
  <c r="C8" i="17"/>
  <c r="B8" i="17"/>
  <c r="H7" i="17"/>
  <c r="G7" i="17"/>
  <c r="D7" i="17"/>
  <c r="C7" i="17"/>
  <c r="B7" i="17"/>
  <c r="G6" i="17"/>
  <c r="D6" i="17"/>
  <c r="C6" i="17"/>
  <c r="B6" i="17"/>
  <c r="H5" i="17"/>
  <c r="G5" i="17"/>
  <c r="D5" i="17"/>
  <c r="C5" i="17"/>
  <c r="B5" i="17"/>
  <c r="B1" i="18"/>
  <c r="B2" i="17"/>
  <c r="A45" i="11"/>
  <c r="A40" i="11"/>
  <c r="A36" i="11"/>
  <c r="A21" i="11"/>
  <c r="A17" i="11"/>
  <c r="A13" i="11"/>
  <c r="N73" i="78" l="1"/>
  <c r="O5" i="9"/>
  <c r="D19" i="11"/>
  <c r="M5" i="9"/>
  <c r="D38" i="11" s="1"/>
  <c r="O6" i="9"/>
  <c r="E19" i="11"/>
  <c r="M6" i="9"/>
  <c r="E38" i="11" s="1"/>
  <c r="E15" i="11"/>
  <c r="M9" i="9"/>
  <c r="O9" i="9"/>
  <c r="O3" i="9"/>
  <c r="F13" i="18" s="1"/>
  <c r="B19" i="11"/>
  <c r="B38" i="11"/>
  <c r="B15" i="11"/>
  <c r="B42" i="11"/>
  <c r="C23" i="11"/>
  <c r="O4" i="9"/>
  <c r="C19" i="11"/>
  <c r="C38" i="11"/>
  <c r="C15" i="11"/>
  <c r="M7" i="9"/>
  <c r="F38" i="11" s="1"/>
  <c r="O7" i="9"/>
  <c r="F19" i="11"/>
  <c r="M8" i="9"/>
  <c r="G38" i="11" s="1"/>
  <c r="O8" i="9"/>
  <c r="G19" i="11"/>
  <c r="I28" i="9"/>
  <c r="E46" i="11"/>
  <c r="C48" i="11"/>
  <c r="F22" i="11"/>
  <c r="D41" i="11"/>
  <c r="C41" i="11"/>
  <c r="B22" i="11"/>
  <c r="B41" i="11"/>
  <c r="F41" i="11"/>
  <c r="F18" i="11"/>
  <c r="E24" i="11"/>
  <c r="E14" i="18" l="1"/>
  <c r="C42" i="11"/>
  <c r="E16" i="18"/>
  <c r="E42" i="11"/>
  <c r="E18" i="18"/>
  <c r="G42" i="11"/>
  <c r="N19" i="9"/>
  <c r="H42" i="11"/>
  <c r="M19" i="9"/>
  <c r="M23" i="9" s="1"/>
  <c r="M29" i="9" s="1"/>
  <c r="H38" i="11"/>
  <c r="E15" i="18"/>
  <c r="D42" i="11"/>
  <c r="E17" i="18"/>
  <c r="F42" i="11"/>
  <c r="F19" i="18"/>
  <c r="D47" i="11"/>
  <c r="F15" i="18"/>
  <c r="C47" i="11"/>
  <c r="F14" i="18"/>
  <c r="G47" i="11"/>
  <c r="F18" i="18"/>
  <c r="E47" i="11"/>
  <c r="F16" i="18"/>
  <c r="F47" i="11"/>
  <c r="F17" i="18"/>
  <c r="N74" i="78"/>
  <c r="B47" i="11"/>
  <c r="Y169" i="73"/>
  <c r="Y170" i="73" s="1"/>
  <c r="S169" i="73"/>
  <c r="S170" i="73" s="1"/>
  <c r="E13" i="18"/>
  <c r="V169" i="73"/>
  <c r="V170" i="73" s="1"/>
  <c r="G9" i="9"/>
  <c r="G5" i="9"/>
  <c r="G6" i="9"/>
  <c r="G7" i="9"/>
  <c r="G3" i="9"/>
  <c r="F3" i="9" s="1"/>
  <c r="G15" i="11"/>
  <c r="G8" i="9"/>
  <c r="G4" i="9"/>
  <c r="E19" i="18"/>
  <c r="G23" i="11"/>
  <c r="D23" i="11"/>
  <c r="F23" i="11"/>
  <c r="B23" i="11"/>
  <c r="H23" i="11"/>
  <c r="H19" i="11"/>
  <c r="H47" i="11"/>
  <c r="F15" i="11"/>
  <c r="H15" i="11"/>
  <c r="E23" i="11"/>
  <c r="D15" i="11"/>
  <c r="H19" i="9"/>
  <c r="H23" i="9" s="1"/>
  <c r="B24" i="17"/>
  <c r="H37" i="11"/>
  <c r="I37" i="11"/>
  <c r="G41" i="11"/>
  <c r="E48" i="11"/>
  <c r="E53" i="11" s="1"/>
  <c r="B48" i="11"/>
  <c r="C24" i="11"/>
  <c r="C53" i="11" s="1"/>
  <c r="D48" i="11"/>
  <c r="D24" i="11"/>
  <c r="E22" i="11"/>
  <c r="B26" i="17"/>
  <c r="B24" i="11"/>
  <c r="C22" i="11"/>
  <c r="B18" i="11"/>
  <c r="B46" i="11"/>
  <c r="E18" i="11"/>
  <c r="D46" i="11"/>
  <c r="G46" i="11"/>
  <c r="C18" i="11"/>
  <c r="C46" i="11"/>
  <c r="F46" i="11"/>
  <c r="F51" i="11" s="1"/>
  <c r="D53" i="11" l="1"/>
  <c r="D70" i="11" s="1"/>
  <c r="B53" i="11"/>
  <c r="B70" i="11" s="1"/>
  <c r="B52" i="11"/>
  <c r="I19" i="9"/>
  <c r="N121" i="78"/>
  <c r="N75" i="78"/>
  <c r="B51" i="11"/>
  <c r="C52" i="11"/>
  <c r="E52" i="11"/>
  <c r="D52" i="11"/>
  <c r="H52" i="11"/>
  <c r="G52" i="11"/>
  <c r="C51" i="11"/>
  <c r="F52" i="11"/>
  <c r="F22" i="18"/>
  <c r="B22" i="18"/>
  <c r="I18" i="17"/>
  <c r="O18" i="9" s="1"/>
  <c r="O19" i="9" s="1"/>
  <c r="C56" i="11"/>
  <c r="C10" i="11"/>
  <c r="B10" i="11"/>
  <c r="B56" i="11"/>
  <c r="G10" i="11"/>
  <c r="G56" i="11"/>
  <c r="E56" i="11"/>
  <c r="E10" i="11"/>
  <c r="H56" i="11"/>
  <c r="H10" i="11"/>
  <c r="D10" i="11"/>
  <c r="D56" i="11"/>
  <c r="F56" i="11"/>
  <c r="F10" i="11"/>
  <c r="E70" i="11"/>
  <c r="F9" i="9"/>
  <c r="C36" i="17"/>
  <c r="C70" i="11"/>
  <c r="B28" i="17"/>
  <c r="B25" i="17"/>
  <c r="B36" i="17" s="1"/>
  <c r="B27" i="17"/>
  <c r="F4" i="9"/>
  <c r="J37" i="11"/>
  <c r="D22" i="11"/>
  <c r="F5" i="9"/>
  <c r="F7" i="9"/>
  <c r="G22" i="11"/>
  <c r="F8" i="9"/>
  <c r="F6" i="9"/>
  <c r="E41" i="11"/>
  <c r="E51" i="11" s="1"/>
  <c r="G18" i="11"/>
  <c r="H46" i="11"/>
  <c r="D18" i="11"/>
  <c r="F13" i="9" l="1"/>
  <c r="I30" i="17"/>
  <c r="G51" i="11"/>
  <c r="G68" i="11" s="1"/>
  <c r="O23" i="9"/>
  <c r="O29" i="9" s="1"/>
  <c r="Q121" i="78"/>
  <c r="S121" i="72" s="1"/>
  <c r="N76" i="78"/>
  <c r="D51" i="11"/>
  <c r="D68" i="11" s="1"/>
  <c r="E69" i="11"/>
  <c r="C69" i="11"/>
  <c r="G69" i="11"/>
  <c r="H69" i="11"/>
  <c r="D69" i="11"/>
  <c r="C68" i="11"/>
  <c r="B69" i="11"/>
  <c r="F69" i="11"/>
  <c r="D36" i="17"/>
  <c r="E68" i="11"/>
  <c r="B68" i="11"/>
  <c r="J46" i="11"/>
  <c r="I46" i="11"/>
  <c r="N23" i="9" l="1"/>
  <c r="N29" i="9" s="1"/>
  <c r="N77" i="78"/>
  <c r="D34" i="17"/>
  <c r="C34" i="17"/>
  <c r="B34" i="17"/>
  <c r="J23" i="9" l="1"/>
  <c r="J29" i="9" s="1"/>
  <c r="J36" i="9" s="1"/>
  <c r="L36" i="9" s="1"/>
  <c r="I23" i="9"/>
  <c r="I29" i="9" s="1"/>
  <c r="N78" i="78"/>
  <c r="I14" i="11"/>
  <c r="I22" i="11"/>
  <c r="I18" i="11"/>
  <c r="H22" i="11"/>
  <c r="J22" i="11" l="1"/>
  <c r="N79" i="78"/>
  <c r="L18" i="17"/>
  <c r="I41" i="11"/>
  <c r="I51" i="11" s="1"/>
  <c r="H41" i="11"/>
  <c r="H18" i="11"/>
  <c r="H51" i="11" s="1"/>
  <c r="Q25" i="17" l="1"/>
  <c r="Q26" i="17" s="1"/>
  <c r="N80" i="78"/>
  <c r="H68" i="11"/>
  <c r="L19" i="17"/>
  <c r="R25" i="17" s="1"/>
  <c r="R26" i="17" s="1"/>
  <c r="J18" i="17"/>
  <c r="I55" i="11" s="1"/>
  <c r="J14" i="11"/>
  <c r="F68" i="11"/>
  <c r="J18" i="11"/>
  <c r="N81" i="78" l="1"/>
  <c r="J19" i="17"/>
  <c r="J55" i="11" s="1"/>
  <c r="I68" i="11"/>
  <c r="H29" i="9"/>
  <c r="J41" i="11"/>
  <c r="J51" i="11" s="1"/>
  <c r="N82" i="78" l="1"/>
  <c r="J68" i="11"/>
  <c r="G23" i="9"/>
  <c r="N83" i="78" l="1"/>
  <c r="P29" i="9"/>
  <c r="N84" i="78" l="1"/>
  <c r="F43" i="11"/>
  <c r="N85" i="78" l="1"/>
  <c r="F48" i="11"/>
  <c r="F24" i="11"/>
  <c r="F53" i="11" s="1"/>
  <c r="N86" i="78" l="1"/>
  <c r="F70" i="11"/>
  <c r="N122" i="78" l="1"/>
  <c r="N87" i="78"/>
  <c r="F59" i="11"/>
  <c r="F63" i="11" s="1"/>
  <c r="N88" i="78" l="1"/>
  <c r="Q122" i="78"/>
  <c r="N126" i="78"/>
  <c r="N127" i="78" s="1"/>
  <c r="W28" i="78"/>
  <c r="W29" i="78"/>
  <c r="W26" i="78"/>
  <c r="N123" i="72"/>
  <c r="I59" i="11"/>
  <c r="I63" i="11" s="1"/>
  <c r="Q123" i="72" l="1"/>
  <c r="C10" i="9" s="1"/>
  <c r="N126" i="72"/>
  <c r="N127" i="72" s="1"/>
  <c r="C14" i="9"/>
  <c r="D10" i="9"/>
  <c r="E10" i="9" s="1"/>
  <c r="Q126" i="78"/>
  <c r="Q127" i="78" s="1"/>
  <c r="S122" i="72"/>
  <c r="W31" i="78"/>
  <c r="N89" i="78"/>
  <c r="J59" i="11"/>
  <c r="J63" i="11" s="1"/>
  <c r="G14" i="9" l="1"/>
  <c r="N90" i="78"/>
  <c r="F61" i="11"/>
  <c r="F65" i="11" s="1"/>
  <c r="N91" i="78" l="1"/>
  <c r="F60" i="11"/>
  <c r="F64" i="11" s="1"/>
  <c r="I61" i="11"/>
  <c r="I65" i="11" s="1"/>
  <c r="N92" i="78" l="1"/>
  <c r="J61" i="11"/>
  <c r="J65" i="11" s="1"/>
  <c r="I60" i="11"/>
  <c r="I64" i="11" s="1"/>
  <c r="N93" i="78" l="1"/>
  <c r="J60" i="11"/>
  <c r="J64" i="11" s="1"/>
  <c r="N94" i="78" l="1"/>
  <c r="D8" i="9"/>
  <c r="E8" i="9" s="1"/>
  <c r="D3" i="9"/>
  <c r="E3" i="9" s="1"/>
  <c r="D6" i="11"/>
  <c r="D6" i="9"/>
  <c r="E6" i="9" s="1"/>
  <c r="F6" i="11"/>
  <c r="D5" i="9"/>
  <c r="E5" i="9" s="1"/>
  <c r="N95" i="78" l="1"/>
  <c r="E6" i="11"/>
  <c r="C6" i="11"/>
  <c r="D7" i="9"/>
  <c r="E7" i="9" s="1"/>
  <c r="D4" i="9"/>
  <c r="E4" i="9" s="1"/>
  <c r="D9" i="9"/>
  <c r="E9" i="9" s="1"/>
  <c r="B6" i="11"/>
  <c r="N96" i="78" l="1"/>
  <c r="N114" i="72"/>
  <c r="N124" i="72"/>
  <c r="Q124" i="72" s="1"/>
  <c r="C11" i="9" s="1"/>
  <c r="C15" i="9" s="1"/>
  <c r="N97" i="78" l="1"/>
  <c r="N130" i="72"/>
  <c r="N131" i="72" s="1"/>
  <c r="I10" i="11"/>
  <c r="N98" i="78" l="1"/>
  <c r="N123" i="78" s="1"/>
  <c r="Q123" i="78" s="1"/>
  <c r="S123" i="72" s="1"/>
  <c r="G11" i="9"/>
  <c r="G26" i="9" l="1"/>
  <c r="G29" i="9" s="1"/>
  <c r="O32" i="9" s="1"/>
  <c r="O26" i="9" s="1"/>
  <c r="F10" i="18" s="1"/>
  <c r="G15" i="9"/>
  <c r="I48" i="11"/>
  <c r="N99" i="78"/>
  <c r="I34" i="11"/>
  <c r="I29" i="11"/>
  <c r="J10" i="11"/>
  <c r="H32" i="9" l="1"/>
  <c r="H26" i="9" s="1"/>
  <c r="J15" i="11" s="1"/>
  <c r="N32" i="9"/>
  <c r="N26" i="9" s="1"/>
  <c r="L32" i="9"/>
  <c r="L26" i="9" s="1"/>
  <c r="J33" i="11" s="1"/>
  <c r="K32" i="9"/>
  <c r="K26" i="9" s="1"/>
  <c r="K35" i="9" s="1"/>
  <c r="J32" i="9"/>
  <c r="J26" i="9" s="1"/>
  <c r="J23" i="11" s="1"/>
  <c r="I32" i="9"/>
  <c r="I26" i="9" s="1"/>
  <c r="J19" i="11" s="1"/>
  <c r="M32" i="9"/>
  <c r="M26" i="9" s="1"/>
  <c r="J48" i="11"/>
  <c r="N100" i="78"/>
  <c r="I52" i="11"/>
  <c r="J47" i="11"/>
  <c r="I24" i="11"/>
  <c r="J42" i="11" l="1"/>
  <c r="D10" i="18"/>
  <c r="J34" i="11" s="1"/>
  <c r="J28" i="11"/>
  <c r="P26" i="9"/>
  <c r="J56" i="11" s="1"/>
  <c r="C10" i="18"/>
  <c r="J29" i="11" s="1"/>
  <c r="J38" i="11"/>
  <c r="B10" i="18"/>
  <c r="J24" i="11" s="1"/>
  <c r="J35" i="9"/>
  <c r="L35" i="9" s="1"/>
  <c r="L37" i="9" s="1"/>
  <c r="G32" i="9"/>
  <c r="N101" i="78"/>
  <c r="I69" i="11"/>
  <c r="J52" i="11" l="1"/>
  <c r="J69" i="11" s="1"/>
  <c r="Q26" i="9"/>
  <c r="R26" i="9" s="1"/>
  <c r="N102" i="78"/>
  <c r="N103" i="78" l="1"/>
  <c r="N104" i="78" l="1"/>
  <c r="N105" i="78" l="1"/>
  <c r="N106" i="78" l="1"/>
  <c r="N107" i="78" l="1"/>
  <c r="N108" i="78" l="1"/>
  <c r="N110" i="78" l="1"/>
  <c r="N109" i="78"/>
  <c r="N114" i="78" l="1"/>
  <c r="N124" i="78"/>
  <c r="Q124" i="78" l="1"/>
  <c r="S124" i="72" s="1"/>
  <c r="N130" i="78"/>
  <c r="N131" i="78" s="1"/>
  <c r="E22" i="18" l="1"/>
  <c r="E10" i="18" s="1"/>
  <c r="J43" i="11" s="1"/>
  <c r="I43" i="11"/>
  <c r="G9" i="18"/>
  <c r="I57" i="11" s="1"/>
  <c r="J53" i="11" l="1"/>
  <c r="I53" i="11"/>
  <c r="I70" i="11" s="1"/>
  <c r="G10" i="18"/>
  <c r="E59" i="11"/>
  <c r="J57" i="11" l="1"/>
  <c r="E60" i="11"/>
  <c r="J70" i="11"/>
</calcChain>
</file>

<file path=xl/sharedStrings.xml><?xml version="1.0" encoding="utf-8"?>
<sst xmlns="http://schemas.openxmlformats.org/spreadsheetml/2006/main" count="525" uniqueCount="151">
  <si>
    <t>Loss Factor</t>
  </si>
  <si>
    <t>Total Billed</t>
  </si>
  <si>
    <t>Heating Degree Days</t>
  </si>
  <si>
    <t>Cooling Degree Days</t>
  </si>
  <si>
    <t>Purchases</t>
  </si>
  <si>
    <t>Modeled Purchases</t>
  </si>
  <si>
    <t>% Difference</t>
  </si>
  <si>
    <t>Total</t>
  </si>
  <si>
    <t xml:space="preserve">Predicted Purchases </t>
  </si>
  <si>
    <t>Average</t>
  </si>
  <si>
    <t xml:space="preserve">Geomean </t>
  </si>
  <si>
    <t>Usage Per Customer</t>
  </si>
  <si>
    <t>Check</t>
  </si>
  <si>
    <t>Spring Fall Flag</t>
  </si>
  <si>
    <t>SUMMARY OUTPUT</t>
  </si>
  <si>
    <t>Regression Statistics</t>
  </si>
  <si>
    <t>Multiple R</t>
  </si>
  <si>
    <t>R Square</t>
  </si>
  <si>
    <t>Adjusted R Square</t>
  </si>
  <si>
    <t>Standard Error</t>
  </si>
  <si>
    <t>Observations</t>
  </si>
  <si>
    <t>ANOVA</t>
  </si>
  <si>
    <t>Regression</t>
  </si>
  <si>
    <t>Residual</t>
  </si>
  <si>
    <t>Intercept</t>
  </si>
  <si>
    <t>df</t>
  </si>
  <si>
    <t>SS</t>
  </si>
  <si>
    <t>MS</t>
  </si>
  <si>
    <t>F</t>
  </si>
  <si>
    <t>Significance F</t>
  </si>
  <si>
    <t>Coefficients</t>
  </si>
  <si>
    <t>t Stat</t>
  </si>
  <si>
    <t>P-value</t>
  </si>
  <si>
    <t>Lower 95%</t>
  </si>
  <si>
    <t>Upper 95%</t>
  </si>
  <si>
    <t>Difference</t>
  </si>
  <si>
    <t xml:space="preserve">Growth Rate in Customer Numbers </t>
  </si>
  <si>
    <t>Weather Corrected Forecast</t>
  </si>
  <si>
    <t>Non Weather Corrected Forecast</t>
  </si>
  <si>
    <t>% Weather Sensitive</t>
  </si>
  <si>
    <t>Allocation of Weather Sensitive Amount</t>
  </si>
  <si>
    <t xml:space="preserve">  Customers</t>
  </si>
  <si>
    <t xml:space="preserve">  kWh</t>
  </si>
  <si>
    <t xml:space="preserve">  kW</t>
  </si>
  <si>
    <t xml:space="preserve">  Connections</t>
  </si>
  <si>
    <t xml:space="preserve">  kW from applicable classes</t>
  </si>
  <si>
    <t xml:space="preserve">  Customer/Connections</t>
  </si>
  <si>
    <t>Actual kWh Purchases</t>
  </si>
  <si>
    <t>Predicted kWh Purchases</t>
  </si>
  <si>
    <t>By Class</t>
  </si>
  <si>
    <t>Used</t>
  </si>
  <si>
    <t>kW/kWh</t>
  </si>
  <si>
    <t>May</t>
  </si>
  <si>
    <t>kWh</t>
  </si>
  <si>
    <t>kW</t>
  </si>
  <si>
    <t xml:space="preserve">2016 Actual </t>
  </si>
  <si>
    <t xml:space="preserve">2017 Actual </t>
  </si>
  <si>
    <t>Average Number of Customer/Connections</t>
  </si>
  <si>
    <t xml:space="preserve">2018 Actual </t>
  </si>
  <si>
    <t xml:space="preserve">2019 Actual </t>
  </si>
  <si>
    <t xml:space="preserve">Total Billed </t>
  </si>
  <si>
    <t>Input data</t>
  </si>
  <si>
    <t>Residential</t>
  </si>
  <si>
    <t>Year</t>
  </si>
  <si>
    <t>2020 Actual</t>
  </si>
  <si>
    <t>2021 Actual</t>
  </si>
  <si>
    <t>2022 Actual</t>
  </si>
  <si>
    <t>2023 Bridge</t>
  </si>
  <si>
    <t>2024 Test</t>
  </si>
  <si>
    <t>Date</t>
  </si>
  <si>
    <t>General Service &lt; 50 kW</t>
  </si>
  <si>
    <t xml:space="preserve">Street Lighting </t>
  </si>
  <si>
    <t>Consumption</t>
  </si>
  <si>
    <t>Wholesale</t>
  </si>
  <si>
    <t>Retail Consumption</t>
  </si>
  <si>
    <t>Wholesale Purchases</t>
  </si>
  <si>
    <t>Number of Customer/ Connection</t>
  </si>
  <si>
    <t>Customer/ Connection</t>
  </si>
  <si>
    <t>January</t>
  </si>
  <si>
    <t>February</t>
  </si>
  <si>
    <t>March</t>
  </si>
  <si>
    <t>April</t>
  </si>
  <si>
    <t>June</t>
  </si>
  <si>
    <t>July</t>
  </si>
  <si>
    <t>August</t>
  </si>
  <si>
    <t>September</t>
  </si>
  <si>
    <t>October</t>
  </si>
  <si>
    <t>November</t>
  </si>
  <si>
    <t>December</t>
  </si>
  <si>
    <t>Geomean Monthly Escalation</t>
  </si>
  <si>
    <t>Days in Month</t>
  </si>
  <si>
    <t>Jan</t>
  </si>
  <si>
    <t>Feb</t>
  </si>
  <si>
    <t>Mar</t>
  </si>
  <si>
    <t>Apr</t>
  </si>
  <si>
    <t>Jun</t>
  </si>
  <si>
    <t>Jul</t>
  </si>
  <si>
    <t>Aug</t>
  </si>
  <si>
    <t>Sep</t>
  </si>
  <si>
    <t>Oct</t>
  </si>
  <si>
    <t>Nov</t>
  </si>
  <si>
    <t>Dec</t>
  </si>
  <si>
    <t>Average Customer / Connection Count</t>
  </si>
  <si>
    <t>Month</t>
  </si>
  <si>
    <t>Number of Customers</t>
  </si>
  <si>
    <t>Total Customers</t>
  </si>
  <si>
    <t>Weather Normal</t>
  </si>
  <si>
    <t>Embedded Generation</t>
  </si>
  <si>
    <t>General Service 50 to 499 kW</t>
  </si>
  <si>
    <t>General Service 500 to 1499 kW</t>
  </si>
  <si>
    <t>General Service 1500-4999 kW</t>
  </si>
  <si>
    <t>Unmetered Scattered Load</t>
  </si>
  <si>
    <t>Sentinel Lighting</t>
  </si>
  <si>
    <t>Power Purchases</t>
  </si>
  <si>
    <t>Covid Flag</t>
  </si>
  <si>
    <t>Shut Down Adjustment</t>
  </si>
  <si>
    <t>Reduced Load Adjustment</t>
  </si>
  <si>
    <t>Adjusted Power Purchases</t>
  </si>
  <si>
    <t>Residual (kWh)</t>
  </si>
  <si>
    <t xml:space="preserve">% Residual </t>
  </si>
  <si>
    <t>% Residual (Abs)</t>
  </si>
  <si>
    <t>Residual Squared</t>
  </si>
  <si>
    <t>Difference of Residuals</t>
  </si>
  <si>
    <t>Difference of Residuals Squared</t>
  </si>
  <si>
    <t>7-year average</t>
  </si>
  <si>
    <t>2022 Dec</t>
  </si>
  <si>
    <t>Checks - must be zero</t>
  </si>
  <si>
    <t>Customers</t>
  </si>
  <si>
    <t>Summary of Degree Day Information</t>
  </si>
  <si>
    <t>Summary of All Heating Degree Days</t>
  </si>
  <si>
    <t>10 Year Avg</t>
  </si>
  <si>
    <t>Summary of All Cooling Degree Days</t>
  </si>
  <si>
    <t>7 Year Avg</t>
  </si>
  <si>
    <t>Shut Downs</t>
  </si>
  <si>
    <t>Reduced Load</t>
  </si>
  <si>
    <t>Mean Absolute Percentage Error (MAPE)</t>
  </si>
  <si>
    <t>Sum of Squared Difference of Residuals</t>
  </si>
  <si>
    <t>Sum of Squared Residuals</t>
  </si>
  <si>
    <t>Durbin-Watson Calculation</t>
  </si>
  <si>
    <t>Weather Actual</t>
  </si>
  <si>
    <t>Weather Normal Adjustment Factor</t>
  </si>
  <si>
    <t>THI Weather Normal Load Forecast for 2024 Rate Application</t>
  </si>
  <si>
    <t>General Service 50-499 kW _Shut Down</t>
  </si>
  <si>
    <t>Avg. Monthly Growth YTD</t>
  </si>
  <si>
    <t>Average 2024 Customers</t>
  </si>
  <si>
    <t>Lower 95.0%</t>
  </si>
  <si>
    <t>Upper 95.0%</t>
  </si>
  <si>
    <t>8-year average</t>
  </si>
  <si>
    <t>Last 8 years</t>
  </si>
  <si>
    <t>8yr Average HDD/CDD</t>
  </si>
  <si>
    <t>Actual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</si>
</sst>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9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_);\(&quot;$&quot;#,##0\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0.0%"/>
    <numFmt numFmtId="168" formatCode="#,##0;\(#,##0\)"/>
    <numFmt numFmtId="169" formatCode="0.0000"/>
    <numFmt numFmtId="170" formatCode="#,##0.0000"/>
    <numFmt numFmtId="171" formatCode="0.0000%"/>
    <numFmt numFmtId="172" formatCode="_(* #,##0_);_(* \(#,##0\);_(* &quot;-&quot;??_);_(@_)"/>
    <numFmt numFmtId="173" formatCode="_(* #,##0.0_);_(* \(#,##0.0\);_(* &quot;-&quot;??_);_(@_)"/>
    <numFmt numFmtId="174" formatCode="#,##0.0"/>
    <numFmt numFmtId="175" formatCode="mm/dd/yyyy"/>
    <numFmt numFmtId="176" formatCode="0\-0"/>
    <numFmt numFmtId="177" formatCode="##\-#"/>
    <numFmt numFmtId="178" formatCode="&quot;£ &quot;#,##0.00;[Red]\-&quot;£ &quot;#,##0.00"/>
    <numFmt numFmtId="179" formatCode="_-* #,##0.00_-;\-* #,##0.00_-;_-* \-??_-;_-@_-"/>
    <numFmt numFmtId="180" formatCode="#,##0.000"/>
  </numFmts>
  <fonts count="8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Arial"/>
      <family val="2"/>
    </font>
    <font>
      <b/>
      <sz val="12"/>
      <color indexed="8"/>
      <name val="Times New Roman"/>
      <family val="1"/>
    </font>
    <font>
      <b/>
      <sz val="10"/>
      <color indexed="8"/>
      <name val="Times New Roman"/>
      <family val="1"/>
    </font>
    <font>
      <b/>
      <sz val="14"/>
      <name val="Arial"/>
      <family val="2"/>
    </font>
    <font>
      <sz val="10"/>
      <name val="Times New Roman"/>
      <family val="1"/>
    </font>
    <font>
      <u/>
      <sz val="10"/>
      <color theme="10"/>
      <name val="Arial"/>
      <family val="2"/>
    </font>
    <font>
      <sz val="10"/>
      <color theme="1"/>
      <name val="Arial"/>
      <family val="2"/>
    </font>
    <font>
      <sz val="11"/>
      <name val="Arial"/>
      <family val="2"/>
    </font>
    <font>
      <sz val="11"/>
      <color indexed="8"/>
      <name val="Calibri"/>
      <family val="2"/>
    </font>
    <font>
      <sz val="10"/>
      <color theme="0"/>
      <name val="Arial"/>
      <family val="2"/>
    </font>
    <font>
      <sz val="10"/>
      <color rgb="FF9C0006"/>
      <name val="Arial"/>
      <family val="2"/>
    </font>
    <font>
      <b/>
      <sz val="10"/>
      <color rgb="FFFA7D00"/>
      <name val="Arial"/>
      <family val="2"/>
    </font>
    <font>
      <b/>
      <sz val="10"/>
      <color theme="0"/>
      <name val="Arial"/>
      <family val="2"/>
    </font>
    <font>
      <i/>
      <sz val="10"/>
      <color rgb="FF7F7F7F"/>
      <name val="Arial"/>
      <family val="2"/>
    </font>
    <font>
      <sz val="10"/>
      <color rgb="FF006100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3F3F76"/>
      <name val="Arial"/>
      <family val="2"/>
    </font>
    <font>
      <sz val="10"/>
      <color rgb="FFFA7D00"/>
      <name val="Arial"/>
      <family val="2"/>
    </font>
    <font>
      <sz val="10"/>
      <color rgb="FF9C6500"/>
      <name val="Arial"/>
      <family val="2"/>
    </font>
    <font>
      <b/>
      <sz val="10"/>
      <color rgb="FF3F3F3F"/>
      <name val="Arial"/>
      <family val="2"/>
    </font>
    <font>
      <b/>
      <sz val="10"/>
      <color theme="1"/>
      <name val="Arial"/>
      <family val="2"/>
    </font>
    <font>
      <u/>
      <sz val="10"/>
      <color theme="10"/>
      <name val="Times New Roman"/>
      <family val="1"/>
    </font>
    <font>
      <u/>
      <sz val="10"/>
      <color indexed="12"/>
      <name val="Arial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imes New Roman"/>
      <family val="1"/>
    </font>
    <font>
      <b/>
      <sz val="8"/>
      <name val="Arial"/>
      <family val="2"/>
    </font>
    <font>
      <sz val="10"/>
      <name val="Arial"/>
      <family val="2"/>
      <charset val="1"/>
    </font>
    <font>
      <b/>
      <sz val="12"/>
      <color rgb="FFFFC000"/>
      <name val="Arial"/>
      <family val="2"/>
    </font>
    <font>
      <sz val="10"/>
      <name val="Mangal"/>
      <family val="2"/>
      <charset val="1"/>
    </font>
    <font>
      <u/>
      <sz val="10"/>
      <color indexed="12"/>
      <name val="Times New Roman"/>
      <family val="1"/>
    </font>
    <font>
      <sz val="10"/>
      <color theme="0" tint="-0.14999847407452621"/>
      <name val="Arial"/>
      <family val="2"/>
    </font>
    <font>
      <b/>
      <sz val="12"/>
      <color theme="0"/>
      <name val="Arial"/>
      <family val="2"/>
    </font>
    <font>
      <i/>
      <sz val="8"/>
      <name val="Arial"/>
      <family val="2"/>
    </font>
    <font>
      <b/>
      <u/>
      <sz val="8"/>
      <name val="Arial"/>
      <family val="2"/>
    </font>
    <font>
      <sz val="8"/>
      <name val="Arial"/>
      <family val="2"/>
    </font>
  </fonts>
  <fills count="6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theme="4" tint="-0.249977111117893"/>
      </right>
      <top/>
      <bottom style="thin">
        <color indexed="64"/>
      </bottom>
      <diagonal/>
    </border>
    <border>
      <left style="medium">
        <color theme="4" tint="-0.249977111117893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534">
    <xf numFmtId="0" fontId="0" fillId="0" borderId="0"/>
    <xf numFmtId="166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" fillId="5" borderId="1" applyNumberFormat="0" applyProtection="0">
      <alignment horizontal="left" vertical="center"/>
    </xf>
    <xf numFmtId="0" fontId="8" fillId="0" borderId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3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4" fontId="8" fillId="0" borderId="0" applyFont="0" applyFill="0" applyBorder="0" applyAlignment="0" applyProtection="0"/>
    <xf numFmtId="2" fontId="8" fillId="0" borderId="0" applyFont="0" applyFill="0" applyBorder="0" applyAlignment="0" applyProtection="0"/>
    <xf numFmtId="0" fontId="7" fillId="0" borderId="0"/>
    <xf numFmtId="165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8" fillId="0" borderId="0"/>
    <xf numFmtId="174" fontId="8" fillId="0" borderId="0"/>
    <xf numFmtId="173" fontId="8" fillId="0" borderId="0"/>
    <xf numFmtId="173" fontId="8" fillId="0" borderId="0"/>
    <xf numFmtId="173" fontId="8" fillId="0" borderId="0"/>
    <xf numFmtId="173" fontId="8" fillId="0" borderId="0"/>
    <xf numFmtId="175" fontId="8" fillId="0" borderId="0"/>
    <xf numFmtId="176" fontId="8" fillId="0" borderId="0"/>
    <xf numFmtId="175" fontId="8" fillId="0" borderId="0"/>
    <xf numFmtId="0" fontId="6" fillId="14" borderId="0" applyNumberFormat="0" applyBorder="0" applyAlignment="0" applyProtection="0"/>
    <xf numFmtId="0" fontId="6" fillId="18" borderId="0" applyNumberFormat="0" applyBorder="0" applyAlignment="0" applyProtection="0"/>
    <xf numFmtId="0" fontId="6" fillId="22" borderId="0" applyNumberFormat="0" applyBorder="0" applyAlignment="0" applyProtection="0"/>
    <xf numFmtId="0" fontId="6" fillId="26" borderId="0" applyNumberFormat="0" applyBorder="0" applyAlignment="0" applyProtection="0"/>
    <xf numFmtId="0" fontId="6" fillId="30" borderId="0" applyNumberFormat="0" applyBorder="0" applyAlignment="0" applyProtection="0"/>
    <xf numFmtId="0" fontId="6" fillId="34" borderId="0" applyNumberFormat="0" applyBorder="0" applyAlignment="0" applyProtection="0"/>
    <xf numFmtId="0" fontId="6" fillId="15" borderId="0" applyNumberFormat="0" applyBorder="0" applyAlignment="0" applyProtection="0"/>
    <xf numFmtId="0" fontId="6" fillId="19" borderId="0" applyNumberFormat="0" applyBorder="0" applyAlignment="0" applyProtection="0"/>
    <xf numFmtId="0" fontId="6" fillId="23" borderId="0" applyNumberFormat="0" applyBorder="0" applyAlignment="0" applyProtection="0"/>
    <xf numFmtId="0" fontId="6" fillId="27" borderId="0" applyNumberFormat="0" applyBorder="0" applyAlignment="0" applyProtection="0"/>
    <xf numFmtId="0" fontId="6" fillId="31" borderId="0" applyNumberFormat="0" applyBorder="0" applyAlignment="0" applyProtection="0"/>
    <xf numFmtId="0" fontId="6" fillId="35" borderId="0" applyNumberFormat="0" applyBorder="0" applyAlignment="0" applyProtection="0"/>
    <xf numFmtId="0" fontId="32" fillId="16" borderId="0" applyNumberFormat="0" applyBorder="0" applyAlignment="0" applyProtection="0"/>
    <xf numFmtId="0" fontId="32" fillId="20" borderId="0" applyNumberFormat="0" applyBorder="0" applyAlignment="0" applyProtection="0"/>
    <xf numFmtId="0" fontId="32" fillId="24" borderId="0" applyNumberFormat="0" applyBorder="0" applyAlignment="0" applyProtection="0"/>
    <xf numFmtId="0" fontId="32" fillId="28" borderId="0" applyNumberFormat="0" applyBorder="0" applyAlignment="0" applyProtection="0"/>
    <xf numFmtId="0" fontId="32" fillId="32" borderId="0" applyNumberFormat="0" applyBorder="0" applyAlignment="0" applyProtection="0"/>
    <xf numFmtId="0" fontId="32" fillId="36" borderId="0" applyNumberFormat="0" applyBorder="0" applyAlignment="0" applyProtection="0"/>
    <xf numFmtId="0" fontId="32" fillId="13" borderId="0" applyNumberFormat="0" applyBorder="0" applyAlignment="0" applyProtection="0"/>
    <xf numFmtId="0" fontId="32" fillId="17" borderId="0" applyNumberFormat="0" applyBorder="0" applyAlignment="0" applyProtection="0"/>
    <xf numFmtId="0" fontId="32" fillId="21" borderId="0" applyNumberFormat="0" applyBorder="0" applyAlignment="0" applyProtection="0"/>
    <xf numFmtId="0" fontId="32" fillId="25" borderId="0" applyNumberFormat="0" applyBorder="0" applyAlignment="0" applyProtection="0"/>
    <xf numFmtId="0" fontId="32" fillId="29" borderId="0" applyNumberFormat="0" applyBorder="0" applyAlignment="0" applyProtection="0"/>
    <xf numFmtId="0" fontId="32" fillId="33" borderId="0" applyNumberFormat="0" applyBorder="0" applyAlignment="0" applyProtection="0"/>
    <xf numFmtId="0" fontId="23" fillId="7" borderId="0" applyNumberFormat="0" applyBorder="0" applyAlignment="0" applyProtection="0"/>
    <xf numFmtId="0" fontId="27" fillId="10" borderId="10" applyNumberFormat="0" applyAlignment="0" applyProtection="0"/>
    <xf numFmtId="0" fontId="29" fillId="11" borderId="13" applyNumberFormat="0" applyAlignment="0" applyProtection="0"/>
    <xf numFmtId="166" fontId="6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31" fillId="0" borderId="0" applyNumberFormat="0" applyFill="0" applyBorder="0" applyAlignment="0" applyProtection="0"/>
    <xf numFmtId="0" fontId="22" fillId="6" borderId="0" applyNumberFormat="0" applyBorder="0" applyAlignment="0" applyProtection="0"/>
    <xf numFmtId="38" fontId="14" fillId="37" borderId="0" applyNumberFormat="0" applyBorder="0" applyAlignment="0" applyProtection="0"/>
    <xf numFmtId="38" fontId="14" fillId="37" borderId="0" applyNumberFormat="0" applyBorder="0" applyAlignment="0" applyProtection="0"/>
    <xf numFmtId="0" fontId="19" fillId="0" borderId="7" applyNumberFormat="0" applyFill="0" applyAlignment="0" applyProtection="0"/>
    <xf numFmtId="0" fontId="20" fillId="0" borderId="8" applyNumberFormat="0" applyFill="0" applyAlignment="0" applyProtection="0"/>
    <xf numFmtId="0" fontId="21" fillId="0" borderId="9" applyNumberFormat="0" applyFill="0" applyAlignment="0" applyProtection="0"/>
    <xf numFmtId="0" fontId="21" fillId="0" borderId="0" applyNumberFormat="0" applyFill="0" applyBorder="0" applyAlignment="0" applyProtection="0"/>
    <xf numFmtId="10" fontId="14" fillId="38" borderId="1" applyNumberFormat="0" applyBorder="0" applyAlignment="0" applyProtection="0"/>
    <xf numFmtId="10" fontId="14" fillId="38" borderId="1" applyNumberFormat="0" applyBorder="0" applyAlignment="0" applyProtection="0"/>
    <xf numFmtId="0" fontId="25" fillId="9" borderId="10" applyNumberFormat="0" applyAlignment="0" applyProtection="0"/>
    <xf numFmtId="0" fontId="28" fillId="0" borderId="12" applyNumberFormat="0" applyFill="0" applyAlignment="0" applyProtection="0"/>
    <xf numFmtId="177" fontId="8" fillId="0" borderId="0"/>
    <xf numFmtId="172" fontId="8" fillId="0" borderId="0"/>
    <xf numFmtId="177" fontId="8" fillId="0" borderId="0"/>
    <xf numFmtId="177" fontId="8" fillId="0" borderId="0"/>
    <xf numFmtId="177" fontId="8" fillId="0" borderId="0"/>
    <xf numFmtId="177" fontId="8" fillId="0" borderId="0"/>
    <xf numFmtId="0" fontId="24" fillId="8" borderId="0" applyNumberFormat="0" applyBorder="0" applyAlignment="0" applyProtection="0"/>
    <xf numFmtId="178" fontId="8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6" fillId="12" borderId="14" applyNumberFormat="0" applyFont="0" applyAlignment="0" applyProtection="0"/>
    <xf numFmtId="0" fontId="26" fillId="10" borderId="11" applyNumberFormat="0" applyAlignment="0" applyProtection="0"/>
    <xf numFmtId="10" fontId="8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33" fillId="0" borderId="0" applyNumberFormat="0" applyBorder="0" applyAlignment="0"/>
    <xf numFmtId="0" fontId="34" fillId="0" borderId="0" applyNumberFormat="0" applyBorder="0" applyAlignment="0"/>
    <xf numFmtId="0" fontId="35" fillId="0" borderId="0" applyNumberFormat="0" applyBorder="0" applyAlignment="0"/>
    <xf numFmtId="0" fontId="36" fillId="0" borderId="16">
      <alignment horizontal="center" vertical="center"/>
    </xf>
    <xf numFmtId="0" fontId="18" fillId="0" borderId="0" applyNumberFormat="0" applyFill="0" applyBorder="0" applyAlignment="0" applyProtection="0"/>
    <xf numFmtId="0" fontId="17" fillId="0" borderId="15" applyNumberFormat="0" applyFill="0" applyAlignment="0" applyProtection="0"/>
    <xf numFmtId="0" fontId="30" fillId="0" borderId="0" applyNumberFormat="0" applyFill="0" applyBorder="0" applyAlignment="0" applyProtection="0"/>
    <xf numFmtId="0" fontId="5" fillId="0" borderId="0"/>
    <xf numFmtId="166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4" fillId="0" borderId="0"/>
    <xf numFmtId="0" fontId="37" fillId="0" borderId="0"/>
    <xf numFmtId="166" fontId="37" fillId="0" borderId="0" applyFont="0" applyFill="0" applyBorder="0" applyAlignment="0" applyProtection="0"/>
    <xf numFmtId="0" fontId="37" fillId="0" borderId="0"/>
    <xf numFmtId="0" fontId="39" fillId="14" borderId="0" applyNumberFormat="0" applyBorder="0" applyAlignment="0" applyProtection="0"/>
    <xf numFmtId="0" fontId="39" fillId="14" borderId="0" applyNumberFormat="0" applyBorder="0" applyAlignment="0" applyProtection="0"/>
    <xf numFmtId="0" fontId="39" fillId="14" borderId="0" applyNumberFormat="0" applyBorder="0" applyAlignment="0" applyProtection="0"/>
    <xf numFmtId="0" fontId="39" fillId="14" borderId="0" applyNumberFormat="0" applyBorder="0" applyAlignment="0" applyProtection="0"/>
    <xf numFmtId="0" fontId="39" fillId="14" borderId="0" applyNumberFormat="0" applyBorder="0" applyAlignment="0" applyProtection="0"/>
    <xf numFmtId="0" fontId="39" fillId="14" borderId="0" applyNumberFormat="0" applyBorder="0" applyAlignment="0" applyProtection="0"/>
    <xf numFmtId="0" fontId="39" fillId="14" borderId="0" applyNumberFormat="0" applyBorder="0" applyAlignment="0" applyProtection="0"/>
    <xf numFmtId="0" fontId="39" fillId="14" borderId="0" applyNumberFormat="0" applyBorder="0" applyAlignment="0" applyProtection="0"/>
    <xf numFmtId="0" fontId="39" fillId="14" borderId="0" applyNumberFormat="0" applyBorder="0" applyAlignment="0" applyProtection="0"/>
    <xf numFmtId="0" fontId="39" fillId="14" borderId="0" applyNumberFormat="0" applyBorder="0" applyAlignment="0" applyProtection="0"/>
    <xf numFmtId="0" fontId="39" fillId="14" borderId="0" applyNumberFormat="0" applyBorder="0" applyAlignment="0" applyProtection="0"/>
    <xf numFmtId="0" fontId="39" fillId="14" borderId="0" applyNumberFormat="0" applyBorder="0" applyAlignment="0" applyProtection="0"/>
    <xf numFmtId="0" fontId="39" fillId="14" borderId="0" applyNumberFormat="0" applyBorder="0" applyAlignment="0" applyProtection="0"/>
    <xf numFmtId="0" fontId="39" fillId="14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6" borderId="0" applyNumberFormat="0" applyBorder="0" applyAlignment="0" applyProtection="0"/>
    <xf numFmtId="0" fontId="39" fillId="26" borderId="0" applyNumberFormat="0" applyBorder="0" applyAlignment="0" applyProtection="0"/>
    <xf numFmtId="0" fontId="39" fillId="26" borderId="0" applyNumberFormat="0" applyBorder="0" applyAlignment="0" applyProtection="0"/>
    <xf numFmtId="0" fontId="39" fillId="26" borderId="0" applyNumberFormat="0" applyBorder="0" applyAlignment="0" applyProtection="0"/>
    <xf numFmtId="0" fontId="39" fillId="26" borderId="0" applyNumberFormat="0" applyBorder="0" applyAlignment="0" applyProtection="0"/>
    <xf numFmtId="0" fontId="39" fillId="26" borderId="0" applyNumberFormat="0" applyBorder="0" applyAlignment="0" applyProtection="0"/>
    <xf numFmtId="0" fontId="39" fillId="26" borderId="0" applyNumberFormat="0" applyBorder="0" applyAlignment="0" applyProtection="0"/>
    <xf numFmtId="0" fontId="39" fillId="26" borderId="0" applyNumberFormat="0" applyBorder="0" applyAlignment="0" applyProtection="0"/>
    <xf numFmtId="0" fontId="39" fillId="26" borderId="0" applyNumberFormat="0" applyBorder="0" applyAlignment="0" applyProtection="0"/>
    <xf numFmtId="0" fontId="39" fillId="26" borderId="0" applyNumberFormat="0" applyBorder="0" applyAlignment="0" applyProtection="0"/>
    <xf numFmtId="0" fontId="39" fillId="26" borderId="0" applyNumberFormat="0" applyBorder="0" applyAlignment="0" applyProtection="0"/>
    <xf numFmtId="0" fontId="39" fillId="26" borderId="0" applyNumberFormat="0" applyBorder="0" applyAlignment="0" applyProtection="0"/>
    <xf numFmtId="0" fontId="39" fillId="26" borderId="0" applyNumberFormat="0" applyBorder="0" applyAlignment="0" applyProtection="0"/>
    <xf numFmtId="0" fontId="39" fillId="26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4" borderId="0" applyNumberFormat="0" applyBorder="0" applyAlignment="0" applyProtection="0"/>
    <xf numFmtId="0" fontId="39" fillId="34" borderId="0" applyNumberFormat="0" applyBorder="0" applyAlignment="0" applyProtection="0"/>
    <xf numFmtId="0" fontId="39" fillId="34" borderId="0" applyNumberFormat="0" applyBorder="0" applyAlignment="0" applyProtection="0"/>
    <xf numFmtId="0" fontId="39" fillId="34" borderId="0" applyNumberFormat="0" applyBorder="0" applyAlignment="0" applyProtection="0"/>
    <xf numFmtId="0" fontId="39" fillId="34" borderId="0" applyNumberFormat="0" applyBorder="0" applyAlignment="0" applyProtection="0"/>
    <xf numFmtId="0" fontId="39" fillId="34" borderId="0" applyNumberFormat="0" applyBorder="0" applyAlignment="0" applyProtection="0"/>
    <xf numFmtId="0" fontId="39" fillId="34" borderId="0" applyNumberFormat="0" applyBorder="0" applyAlignment="0" applyProtection="0"/>
    <xf numFmtId="0" fontId="39" fillId="34" borderId="0" applyNumberFormat="0" applyBorder="0" applyAlignment="0" applyProtection="0"/>
    <xf numFmtId="0" fontId="39" fillId="34" borderId="0" applyNumberFormat="0" applyBorder="0" applyAlignment="0" applyProtection="0"/>
    <xf numFmtId="0" fontId="39" fillId="34" borderId="0" applyNumberFormat="0" applyBorder="0" applyAlignment="0" applyProtection="0"/>
    <xf numFmtId="0" fontId="39" fillId="34" borderId="0" applyNumberFormat="0" applyBorder="0" applyAlignment="0" applyProtection="0"/>
    <xf numFmtId="0" fontId="39" fillId="34" borderId="0" applyNumberFormat="0" applyBorder="0" applyAlignment="0" applyProtection="0"/>
    <xf numFmtId="0" fontId="39" fillId="34" borderId="0" applyNumberFormat="0" applyBorder="0" applyAlignment="0" applyProtection="0"/>
    <xf numFmtId="0" fontId="39" fillId="34" borderId="0" applyNumberFormat="0" applyBorder="0" applyAlignment="0" applyProtection="0"/>
    <xf numFmtId="0" fontId="39" fillId="15" borderId="0" applyNumberFormat="0" applyBorder="0" applyAlignment="0" applyProtection="0"/>
    <xf numFmtId="0" fontId="39" fillId="15" borderId="0" applyNumberFormat="0" applyBorder="0" applyAlignment="0" applyProtection="0"/>
    <xf numFmtId="0" fontId="39" fillId="15" borderId="0" applyNumberFormat="0" applyBorder="0" applyAlignment="0" applyProtection="0"/>
    <xf numFmtId="0" fontId="39" fillId="15" borderId="0" applyNumberFormat="0" applyBorder="0" applyAlignment="0" applyProtection="0"/>
    <xf numFmtId="0" fontId="39" fillId="15" borderId="0" applyNumberFormat="0" applyBorder="0" applyAlignment="0" applyProtection="0"/>
    <xf numFmtId="0" fontId="39" fillId="15" borderId="0" applyNumberFormat="0" applyBorder="0" applyAlignment="0" applyProtection="0"/>
    <xf numFmtId="0" fontId="39" fillId="15" borderId="0" applyNumberFormat="0" applyBorder="0" applyAlignment="0" applyProtection="0"/>
    <xf numFmtId="0" fontId="39" fillId="15" borderId="0" applyNumberFormat="0" applyBorder="0" applyAlignment="0" applyProtection="0"/>
    <xf numFmtId="0" fontId="39" fillId="15" borderId="0" applyNumberFormat="0" applyBorder="0" applyAlignment="0" applyProtection="0"/>
    <xf numFmtId="0" fontId="39" fillId="15" borderId="0" applyNumberFormat="0" applyBorder="0" applyAlignment="0" applyProtection="0"/>
    <xf numFmtId="0" fontId="39" fillId="15" borderId="0" applyNumberFormat="0" applyBorder="0" applyAlignment="0" applyProtection="0"/>
    <xf numFmtId="0" fontId="39" fillId="15" borderId="0" applyNumberFormat="0" applyBorder="0" applyAlignment="0" applyProtection="0"/>
    <xf numFmtId="0" fontId="39" fillId="15" borderId="0" applyNumberFormat="0" applyBorder="0" applyAlignment="0" applyProtection="0"/>
    <xf numFmtId="0" fontId="39" fillId="15" borderId="0" applyNumberFormat="0" applyBorder="0" applyAlignment="0" applyProtection="0"/>
    <xf numFmtId="0" fontId="39" fillId="19" borderId="0" applyNumberFormat="0" applyBorder="0" applyAlignment="0" applyProtection="0"/>
    <xf numFmtId="0" fontId="39" fillId="19" borderId="0" applyNumberFormat="0" applyBorder="0" applyAlignment="0" applyProtection="0"/>
    <xf numFmtId="0" fontId="39" fillId="19" borderId="0" applyNumberFormat="0" applyBorder="0" applyAlignment="0" applyProtection="0"/>
    <xf numFmtId="0" fontId="39" fillId="19" borderId="0" applyNumberFormat="0" applyBorder="0" applyAlignment="0" applyProtection="0"/>
    <xf numFmtId="0" fontId="39" fillId="19" borderId="0" applyNumberFormat="0" applyBorder="0" applyAlignment="0" applyProtection="0"/>
    <xf numFmtId="0" fontId="39" fillId="19" borderId="0" applyNumberFormat="0" applyBorder="0" applyAlignment="0" applyProtection="0"/>
    <xf numFmtId="0" fontId="39" fillId="19" borderId="0" applyNumberFormat="0" applyBorder="0" applyAlignment="0" applyProtection="0"/>
    <xf numFmtId="0" fontId="39" fillId="19" borderId="0" applyNumberFormat="0" applyBorder="0" applyAlignment="0" applyProtection="0"/>
    <xf numFmtId="0" fontId="39" fillId="19" borderId="0" applyNumberFormat="0" applyBorder="0" applyAlignment="0" applyProtection="0"/>
    <xf numFmtId="0" fontId="39" fillId="19" borderId="0" applyNumberFormat="0" applyBorder="0" applyAlignment="0" applyProtection="0"/>
    <xf numFmtId="0" fontId="39" fillId="19" borderId="0" applyNumberFormat="0" applyBorder="0" applyAlignment="0" applyProtection="0"/>
    <xf numFmtId="0" fontId="39" fillId="19" borderId="0" applyNumberFormat="0" applyBorder="0" applyAlignment="0" applyProtection="0"/>
    <xf numFmtId="0" fontId="39" fillId="19" borderId="0" applyNumberFormat="0" applyBorder="0" applyAlignment="0" applyProtection="0"/>
    <xf numFmtId="0" fontId="39" fillId="19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7" borderId="0" applyNumberFormat="0" applyBorder="0" applyAlignment="0" applyProtection="0"/>
    <xf numFmtId="0" fontId="39" fillId="27" borderId="0" applyNumberFormat="0" applyBorder="0" applyAlignment="0" applyProtection="0"/>
    <xf numFmtId="0" fontId="39" fillId="27" borderId="0" applyNumberFormat="0" applyBorder="0" applyAlignment="0" applyProtection="0"/>
    <xf numFmtId="0" fontId="39" fillId="27" borderId="0" applyNumberFormat="0" applyBorder="0" applyAlignment="0" applyProtection="0"/>
    <xf numFmtId="0" fontId="39" fillId="27" borderId="0" applyNumberFormat="0" applyBorder="0" applyAlignment="0" applyProtection="0"/>
    <xf numFmtId="0" fontId="39" fillId="27" borderId="0" applyNumberFormat="0" applyBorder="0" applyAlignment="0" applyProtection="0"/>
    <xf numFmtId="0" fontId="39" fillId="27" borderId="0" applyNumberFormat="0" applyBorder="0" applyAlignment="0" applyProtection="0"/>
    <xf numFmtId="0" fontId="39" fillId="27" borderId="0" applyNumberFormat="0" applyBorder="0" applyAlignment="0" applyProtection="0"/>
    <xf numFmtId="0" fontId="39" fillId="27" borderId="0" applyNumberFormat="0" applyBorder="0" applyAlignment="0" applyProtection="0"/>
    <xf numFmtId="0" fontId="39" fillId="27" borderId="0" applyNumberFormat="0" applyBorder="0" applyAlignment="0" applyProtection="0"/>
    <xf numFmtId="0" fontId="39" fillId="27" borderId="0" applyNumberFormat="0" applyBorder="0" applyAlignment="0" applyProtection="0"/>
    <xf numFmtId="0" fontId="39" fillId="27" borderId="0" applyNumberFormat="0" applyBorder="0" applyAlignment="0" applyProtection="0"/>
    <xf numFmtId="0" fontId="39" fillId="27" borderId="0" applyNumberFormat="0" applyBorder="0" applyAlignment="0" applyProtection="0"/>
    <xf numFmtId="0" fontId="39" fillId="27" borderId="0" applyNumberFormat="0" applyBorder="0" applyAlignment="0" applyProtection="0"/>
    <xf numFmtId="0" fontId="39" fillId="31" borderId="0" applyNumberFormat="0" applyBorder="0" applyAlignment="0" applyProtection="0"/>
    <xf numFmtId="0" fontId="39" fillId="31" borderId="0" applyNumberFormat="0" applyBorder="0" applyAlignment="0" applyProtection="0"/>
    <xf numFmtId="0" fontId="39" fillId="31" borderId="0" applyNumberFormat="0" applyBorder="0" applyAlignment="0" applyProtection="0"/>
    <xf numFmtId="0" fontId="39" fillId="31" borderId="0" applyNumberFormat="0" applyBorder="0" applyAlignment="0" applyProtection="0"/>
    <xf numFmtId="0" fontId="39" fillId="31" borderId="0" applyNumberFormat="0" applyBorder="0" applyAlignment="0" applyProtection="0"/>
    <xf numFmtId="0" fontId="39" fillId="31" borderId="0" applyNumberFormat="0" applyBorder="0" applyAlignment="0" applyProtection="0"/>
    <xf numFmtId="0" fontId="39" fillId="31" borderId="0" applyNumberFormat="0" applyBorder="0" applyAlignment="0" applyProtection="0"/>
    <xf numFmtId="0" fontId="39" fillId="31" borderId="0" applyNumberFormat="0" applyBorder="0" applyAlignment="0" applyProtection="0"/>
    <xf numFmtId="0" fontId="39" fillId="31" borderId="0" applyNumberFormat="0" applyBorder="0" applyAlignment="0" applyProtection="0"/>
    <xf numFmtId="0" fontId="39" fillId="31" borderId="0" applyNumberFormat="0" applyBorder="0" applyAlignment="0" applyProtection="0"/>
    <xf numFmtId="0" fontId="39" fillId="31" borderId="0" applyNumberFormat="0" applyBorder="0" applyAlignment="0" applyProtection="0"/>
    <xf numFmtId="0" fontId="39" fillId="31" borderId="0" applyNumberFormat="0" applyBorder="0" applyAlignment="0" applyProtection="0"/>
    <xf numFmtId="0" fontId="39" fillId="31" borderId="0" applyNumberFormat="0" applyBorder="0" applyAlignment="0" applyProtection="0"/>
    <xf numFmtId="0" fontId="39" fillId="31" borderId="0" applyNumberFormat="0" applyBorder="0" applyAlignment="0" applyProtection="0"/>
    <xf numFmtId="0" fontId="39" fillId="35" borderId="0" applyNumberFormat="0" applyBorder="0" applyAlignment="0" applyProtection="0"/>
    <xf numFmtId="0" fontId="39" fillId="35" borderId="0" applyNumberFormat="0" applyBorder="0" applyAlignment="0" applyProtection="0"/>
    <xf numFmtId="0" fontId="39" fillId="35" borderId="0" applyNumberFormat="0" applyBorder="0" applyAlignment="0" applyProtection="0"/>
    <xf numFmtId="0" fontId="39" fillId="35" borderId="0" applyNumberFormat="0" applyBorder="0" applyAlignment="0" applyProtection="0"/>
    <xf numFmtId="0" fontId="39" fillId="35" borderId="0" applyNumberFormat="0" applyBorder="0" applyAlignment="0" applyProtection="0"/>
    <xf numFmtId="0" fontId="39" fillId="35" borderId="0" applyNumberFormat="0" applyBorder="0" applyAlignment="0" applyProtection="0"/>
    <xf numFmtId="0" fontId="39" fillId="35" borderId="0" applyNumberFormat="0" applyBorder="0" applyAlignment="0" applyProtection="0"/>
    <xf numFmtId="0" fontId="39" fillId="35" borderId="0" applyNumberFormat="0" applyBorder="0" applyAlignment="0" applyProtection="0"/>
    <xf numFmtId="0" fontId="39" fillId="35" borderId="0" applyNumberFormat="0" applyBorder="0" applyAlignment="0" applyProtection="0"/>
    <xf numFmtId="0" fontId="39" fillId="35" borderId="0" applyNumberFormat="0" applyBorder="0" applyAlignment="0" applyProtection="0"/>
    <xf numFmtId="0" fontId="39" fillId="35" borderId="0" applyNumberFormat="0" applyBorder="0" applyAlignment="0" applyProtection="0"/>
    <xf numFmtId="0" fontId="39" fillId="35" borderId="0" applyNumberFormat="0" applyBorder="0" applyAlignment="0" applyProtection="0"/>
    <xf numFmtId="0" fontId="39" fillId="35" borderId="0" applyNumberFormat="0" applyBorder="0" applyAlignment="0" applyProtection="0"/>
    <xf numFmtId="0" fontId="39" fillId="35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8" borderId="0" applyNumberFormat="0" applyBorder="0" applyAlignment="0" applyProtection="0"/>
    <xf numFmtId="0" fontId="42" fillId="28" borderId="0" applyNumberFormat="0" applyBorder="0" applyAlignment="0" applyProtection="0"/>
    <xf numFmtId="0" fontId="42" fillId="28" borderId="0" applyNumberFormat="0" applyBorder="0" applyAlignment="0" applyProtection="0"/>
    <xf numFmtId="0" fontId="42" fillId="28" borderId="0" applyNumberFormat="0" applyBorder="0" applyAlignment="0" applyProtection="0"/>
    <xf numFmtId="0" fontId="42" fillId="28" borderId="0" applyNumberFormat="0" applyBorder="0" applyAlignment="0" applyProtection="0"/>
    <xf numFmtId="0" fontId="42" fillId="28" borderId="0" applyNumberFormat="0" applyBorder="0" applyAlignment="0" applyProtection="0"/>
    <xf numFmtId="0" fontId="42" fillId="28" borderId="0" applyNumberFormat="0" applyBorder="0" applyAlignment="0" applyProtection="0"/>
    <xf numFmtId="0" fontId="42" fillId="28" borderId="0" applyNumberFormat="0" applyBorder="0" applyAlignment="0" applyProtection="0"/>
    <xf numFmtId="0" fontId="42" fillId="28" borderId="0" applyNumberFormat="0" applyBorder="0" applyAlignment="0" applyProtection="0"/>
    <xf numFmtId="0" fontId="42" fillId="28" borderId="0" applyNumberFormat="0" applyBorder="0" applyAlignment="0" applyProtection="0"/>
    <xf numFmtId="0" fontId="42" fillId="28" borderId="0" applyNumberFormat="0" applyBorder="0" applyAlignment="0" applyProtection="0"/>
    <xf numFmtId="0" fontId="42" fillId="28" borderId="0" applyNumberFormat="0" applyBorder="0" applyAlignment="0" applyProtection="0"/>
    <xf numFmtId="0" fontId="42" fillId="28" borderId="0" applyNumberFormat="0" applyBorder="0" applyAlignment="0" applyProtection="0"/>
    <xf numFmtId="0" fontId="42" fillId="28" borderId="0" applyNumberFormat="0" applyBorder="0" applyAlignment="0" applyProtection="0"/>
    <xf numFmtId="0" fontId="42" fillId="32" borderId="0" applyNumberFormat="0" applyBorder="0" applyAlignment="0" applyProtection="0"/>
    <xf numFmtId="0" fontId="42" fillId="32" borderId="0" applyNumberFormat="0" applyBorder="0" applyAlignment="0" applyProtection="0"/>
    <xf numFmtId="0" fontId="42" fillId="32" borderId="0" applyNumberFormat="0" applyBorder="0" applyAlignment="0" applyProtection="0"/>
    <xf numFmtId="0" fontId="42" fillId="32" borderId="0" applyNumberFormat="0" applyBorder="0" applyAlignment="0" applyProtection="0"/>
    <xf numFmtId="0" fontId="42" fillId="32" borderId="0" applyNumberFormat="0" applyBorder="0" applyAlignment="0" applyProtection="0"/>
    <xf numFmtId="0" fontId="42" fillId="32" borderId="0" applyNumberFormat="0" applyBorder="0" applyAlignment="0" applyProtection="0"/>
    <xf numFmtId="0" fontId="42" fillId="32" borderId="0" applyNumberFormat="0" applyBorder="0" applyAlignment="0" applyProtection="0"/>
    <xf numFmtId="0" fontId="42" fillId="32" borderId="0" applyNumberFormat="0" applyBorder="0" applyAlignment="0" applyProtection="0"/>
    <xf numFmtId="0" fontId="42" fillId="32" borderId="0" applyNumberFormat="0" applyBorder="0" applyAlignment="0" applyProtection="0"/>
    <xf numFmtId="0" fontId="42" fillId="32" borderId="0" applyNumberFormat="0" applyBorder="0" applyAlignment="0" applyProtection="0"/>
    <xf numFmtId="0" fontId="42" fillId="32" borderId="0" applyNumberFormat="0" applyBorder="0" applyAlignment="0" applyProtection="0"/>
    <xf numFmtId="0" fontId="42" fillId="32" borderId="0" applyNumberFormat="0" applyBorder="0" applyAlignment="0" applyProtection="0"/>
    <xf numFmtId="0" fontId="42" fillId="32" borderId="0" applyNumberFormat="0" applyBorder="0" applyAlignment="0" applyProtection="0"/>
    <xf numFmtId="0" fontId="42" fillId="32" borderId="0" applyNumberFormat="0" applyBorder="0" applyAlignment="0" applyProtection="0"/>
    <xf numFmtId="0" fontId="42" fillId="36" borderId="0" applyNumberFormat="0" applyBorder="0" applyAlignment="0" applyProtection="0"/>
    <xf numFmtId="0" fontId="42" fillId="36" borderId="0" applyNumberFormat="0" applyBorder="0" applyAlignment="0" applyProtection="0"/>
    <xf numFmtId="0" fontId="42" fillId="36" borderId="0" applyNumberFormat="0" applyBorder="0" applyAlignment="0" applyProtection="0"/>
    <xf numFmtId="0" fontId="42" fillId="36" borderId="0" applyNumberFormat="0" applyBorder="0" applyAlignment="0" applyProtection="0"/>
    <xf numFmtId="0" fontId="42" fillId="36" borderId="0" applyNumberFormat="0" applyBorder="0" applyAlignment="0" applyProtection="0"/>
    <xf numFmtId="0" fontId="42" fillId="36" borderId="0" applyNumberFormat="0" applyBorder="0" applyAlignment="0" applyProtection="0"/>
    <xf numFmtId="0" fontId="42" fillId="36" borderId="0" applyNumberFormat="0" applyBorder="0" applyAlignment="0" applyProtection="0"/>
    <xf numFmtId="0" fontId="42" fillId="36" borderId="0" applyNumberFormat="0" applyBorder="0" applyAlignment="0" applyProtection="0"/>
    <xf numFmtId="0" fontId="42" fillId="36" borderId="0" applyNumberFormat="0" applyBorder="0" applyAlignment="0" applyProtection="0"/>
    <xf numFmtId="0" fontId="42" fillId="36" borderId="0" applyNumberFormat="0" applyBorder="0" applyAlignment="0" applyProtection="0"/>
    <xf numFmtId="0" fontId="42" fillId="36" borderId="0" applyNumberFormat="0" applyBorder="0" applyAlignment="0" applyProtection="0"/>
    <xf numFmtId="0" fontId="42" fillId="36" borderId="0" applyNumberFormat="0" applyBorder="0" applyAlignment="0" applyProtection="0"/>
    <xf numFmtId="0" fontId="42" fillId="36" borderId="0" applyNumberFormat="0" applyBorder="0" applyAlignment="0" applyProtection="0"/>
    <xf numFmtId="0" fontId="42" fillId="36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5" borderId="0" applyNumberFormat="0" applyBorder="0" applyAlignment="0" applyProtection="0"/>
    <xf numFmtId="0" fontId="42" fillId="25" borderId="0" applyNumberFormat="0" applyBorder="0" applyAlignment="0" applyProtection="0"/>
    <xf numFmtId="0" fontId="42" fillId="25" borderId="0" applyNumberFormat="0" applyBorder="0" applyAlignment="0" applyProtection="0"/>
    <xf numFmtId="0" fontId="42" fillId="25" borderId="0" applyNumberFormat="0" applyBorder="0" applyAlignment="0" applyProtection="0"/>
    <xf numFmtId="0" fontId="42" fillId="25" borderId="0" applyNumberFormat="0" applyBorder="0" applyAlignment="0" applyProtection="0"/>
    <xf numFmtId="0" fontId="42" fillId="25" borderId="0" applyNumberFormat="0" applyBorder="0" applyAlignment="0" applyProtection="0"/>
    <xf numFmtId="0" fontId="42" fillId="25" borderId="0" applyNumberFormat="0" applyBorder="0" applyAlignment="0" applyProtection="0"/>
    <xf numFmtId="0" fontId="42" fillId="25" borderId="0" applyNumberFormat="0" applyBorder="0" applyAlignment="0" applyProtection="0"/>
    <xf numFmtId="0" fontId="42" fillId="25" borderId="0" applyNumberFormat="0" applyBorder="0" applyAlignment="0" applyProtection="0"/>
    <xf numFmtId="0" fontId="42" fillId="25" borderId="0" applyNumberFormat="0" applyBorder="0" applyAlignment="0" applyProtection="0"/>
    <xf numFmtId="0" fontId="42" fillId="25" borderId="0" applyNumberFormat="0" applyBorder="0" applyAlignment="0" applyProtection="0"/>
    <xf numFmtId="0" fontId="42" fillId="25" borderId="0" applyNumberFormat="0" applyBorder="0" applyAlignment="0" applyProtection="0"/>
    <xf numFmtId="0" fontId="42" fillId="25" borderId="0" applyNumberFormat="0" applyBorder="0" applyAlignment="0" applyProtection="0"/>
    <xf numFmtId="0" fontId="42" fillId="25" borderId="0" applyNumberFormat="0" applyBorder="0" applyAlignment="0" applyProtection="0"/>
    <xf numFmtId="0" fontId="42" fillId="29" borderId="0" applyNumberFormat="0" applyBorder="0" applyAlignment="0" applyProtection="0"/>
    <xf numFmtId="0" fontId="42" fillId="29" borderId="0" applyNumberFormat="0" applyBorder="0" applyAlignment="0" applyProtection="0"/>
    <xf numFmtId="0" fontId="42" fillId="29" borderId="0" applyNumberFormat="0" applyBorder="0" applyAlignment="0" applyProtection="0"/>
    <xf numFmtId="0" fontId="42" fillId="29" borderId="0" applyNumberFormat="0" applyBorder="0" applyAlignment="0" applyProtection="0"/>
    <xf numFmtId="0" fontId="42" fillId="29" borderId="0" applyNumberFormat="0" applyBorder="0" applyAlignment="0" applyProtection="0"/>
    <xf numFmtId="0" fontId="42" fillId="29" borderId="0" applyNumberFormat="0" applyBorder="0" applyAlignment="0" applyProtection="0"/>
    <xf numFmtId="0" fontId="42" fillId="29" borderId="0" applyNumberFormat="0" applyBorder="0" applyAlignment="0" applyProtection="0"/>
    <xf numFmtId="0" fontId="42" fillId="29" borderId="0" applyNumberFormat="0" applyBorder="0" applyAlignment="0" applyProtection="0"/>
    <xf numFmtId="0" fontId="42" fillId="29" borderId="0" applyNumberFormat="0" applyBorder="0" applyAlignment="0" applyProtection="0"/>
    <xf numFmtId="0" fontId="42" fillId="29" borderId="0" applyNumberFormat="0" applyBorder="0" applyAlignment="0" applyProtection="0"/>
    <xf numFmtId="0" fontId="42" fillId="29" borderId="0" applyNumberFormat="0" applyBorder="0" applyAlignment="0" applyProtection="0"/>
    <xf numFmtId="0" fontId="42" fillId="29" borderId="0" applyNumberFormat="0" applyBorder="0" applyAlignment="0" applyProtection="0"/>
    <xf numFmtId="0" fontId="42" fillId="29" borderId="0" applyNumberFormat="0" applyBorder="0" applyAlignment="0" applyProtection="0"/>
    <xf numFmtId="0" fontId="42" fillId="29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3" fillId="7" borderId="0" applyNumberFormat="0" applyBorder="0" applyAlignment="0" applyProtection="0"/>
    <xf numFmtId="0" fontId="43" fillId="7" borderId="0" applyNumberFormat="0" applyBorder="0" applyAlignment="0" applyProtection="0"/>
    <xf numFmtId="0" fontId="43" fillId="7" borderId="0" applyNumberFormat="0" applyBorder="0" applyAlignment="0" applyProtection="0"/>
    <xf numFmtId="0" fontId="43" fillId="7" borderId="0" applyNumberFormat="0" applyBorder="0" applyAlignment="0" applyProtection="0"/>
    <xf numFmtId="0" fontId="43" fillId="7" borderId="0" applyNumberFormat="0" applyBorder="0" applyAlignment="0" applyProtection="0"/>
    <xf numFmtId="0" fontId="43" fillId="7" borderId="0" applyNumberFormat="0" applyBorder="0" applyAlignment="0" applyProtection="0"/>
    <xf numFmtId="0" fontId="43" fillId="7" borderId="0" applyNumberFormat="0" applyBorder="0" applyAlignment="0" applyProtection="0"/>
    <xf numFmtId="0" fontId="43" fillId="7" borderId="0" applyNumberFormat="0" applyBorder="0" applyAlignment="0" applyProtection="0"/>
    <xf numFmtId="0" fontId="43" fillId="7" borderId="0" applyNumberFormat="0" applyBorder="0" applyAlignment="0" applyProtection="0"/>
    <xf numFmtId="0" fontId="43" fillId="7" borderId="0" applyNumberFormat="0" applyBorder="0" applyAlignment="0" applyProtection="0"/>
    <xf numFmtId="0" fontId="43" fillId="7" borderId="0" applyNumberFormat="0" applyBorder="0" applyAlignment="0" applyProtection="0"/>
    <xf numFmtId="0" fontId="43" fillId="7" borderId="0" applyNumberFormat="0" applyBorder="0" applyAlignment="0" applyProtection="0"/>
    <xf numFmtId="0" fontId="43" fillId="7" borderId="0" applyNumberFormat="0" applyBorder="0" applyAlignment="0" applyProtection="0"/>
    <xf numFmtId="0" fontId="43" fillId="7" borderId="0" applyNumberFormat="0" applyBorder="0" applyAlignment="0" applyProtection="0"/>
    <xf numFmtId="0" fontId="44" fillId="10" borderId="10" applyNumberFormat="0" applyAlignment="0" applyProtection="0"/>
    <xf numFmtId="0" fontId="44" fillId="10" borderId="10" applyNumberFormat="0" applyAlignment="0" applyProtection="0"/>
    <xf numFmtId="0" fontId="44" fillId="10" borderId="10" applyNumberFormat="0" applyAlignment="0" applyProtection="0"/>
    <xf numFmtId="0" fontId="44" fillId="10" borderId="10" applyNumberFormat="0" applyAlignment="0" applyProtection="0"/>
    <xf numFmtId="0" fontId="44" fillId="10" borderId="10" applyNumberFormat="0" applyAlignment="0" applyProtection="0"/>
    <xf numFmtId="0" fontId="44" fillId="10" borderId="10" applyNumberFormat="0" applyAlignment="0" applyProtection="0"/>
    <xf numFmtId="0" fontId="44" fillId="10" borderId="10" applyNumberFormat="0" applyAlignment="0" applyProtection="0"/>
    <xf numFmtId="0" fontId="44" fillId="10" borderId="10" applyNumberFormat="0" applyAlignment="0" applyProtection="0"/>
    <xf numFmtId="0" fontId="44" fillId="10" borderId="10" applyNumberFormat="0" applyAlignment="0" applyProtection="0"/>
    <xf numFmtId="0" fontId="44" fillId="10" borderId="10" applyNumberFormat="0" applyAlignment="0" applyProtection="0"/>
    <xf numFmtId="0" fontId="44" fillId="10" borderId="10" applyNumberFormat="0" applyAlignment="0" applyProtection="0"/>
    <xf numFmtId="0" fontId="44" fillId="10" borderId="10" applyNumberFormat="0" applyAlignment="0" applyProtection="0"/>
    <xf numFmtId="0" fontId="44" fillId="10" borderId="10" applyNumberFormat="0" applyAlignment="0" applyProtection="0"/>
    <xf numFmtId="0" fontId="44" fillId="10" borderId="10" applyNumberFormat="0" applyAlignment="0" applyProtection="0"/>
    <xf numFmtId="0" fontId="45" fillId="11" borderId="13" applyNumberFormat="0" applyAlignment="0" applyProtection="0"/>
    <xf numFmtId="0" fontId="45" fillId="11" borderId="13" applyNumberFormat="0" applyAlignment="0" applyProtection="0"/>
    <xf numFmtId="0" fontId="45" fillId="11" borderId="13" applyNumberFormat="0" applyAlignment="0" applyProtection="0"/>
    <xf numFmtId="0" fontId="45" fillId="11" borderId="13" applyNumberFormat="0" applyAlignment="0" applyProtection="0"/>
    <xf numFmtId="0" fontId="45" fillId="11" borderId="13" applyNumberFormat="0" applyAlignment="0" applyProtection="0"/>
    <xf numFmtId="0" fontId="45" fillId="11" borderId="13" applyNumberFormat="0" applyAlignment="0" applyProtection="0"/>
    <xf numFmtId="0" fontId="45" fillId="11" borderId="13" applyNumberFormat="0" applyAlignment="0" applyProtection="0"/>
    <xf numFmtId="0" fontId="45" fillId="11" borderId="13" applyNumberFormat="0" applyAlignment="0" applyProtection="0"/>
    <xf numFmtId="0" fontId="45" fillId="11" borderId="13" applyNumberFormat="0" applyAlignment="0" applyProtection="0"/>
    <xf numFmtId="0" fontId="45" fillId="11" borderId="13" applyNumberFormat="0" applyAlignment="0" applyProtection="0"/>
    <xf numFmtId="0" fontId="45" fillId="11" borderId="13" applyNumberFormat="0" applyAlignment="0" applyProtection="0"/>
    <xf numFmtId="0" fontId="45" fillId="11" borderId="13" applyNumberFormat="0" applyAlignment="0" applyProtection="0"/>
    <xf numFmtId="0" fontId="45" fillId="11" borderId="13" applyNumberFormat="0" applyAlignment="0" applyProtection="0"/>
    <xf numFmtId="0" fontId="45" fillId="11" borderId="13" applyNumberFormat="0" applyAlignment="0" applyProtection="0"/>
    <xf numFmtId="43" fontId="37" fillId="0" borderId="0" applyFont="0" applyFill="0" applyBorder="0" applyAlignment="0" applyProtection="0"/>
    <xf numFmtId="166" fontId="4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6" borderId="0" applyNumberFormat="0" applyBorder="0" applyAlignment="0" applyProtection="0"/>
    <xf numFmtId="0" fontId="47" fillId="6" borderId="0" applyNumberFormat="0" applyBorder="0" applyAlignment="0" applyProtection="0"/>
    <xf numFmtId="0" fontId="47" fillId="6" borderId="0" applyNumberFormat="0" applyBorder="0" applyAlignment="0" applyProtection="0"/>
    <xf numFmtId="0" fontId="47" fillId="6" borderId="0" applyNumberFormat="0" applyBorder="0" applyAlignment="0" applyProtection="0"/>
    <xf numFmtId="0" fontId="47" fillId="6" borderId="0" applyNumberFormat="0" applyBorder="0" applyAlignment="0" applyProtection="0"/>
    <xf numFmtId="0" fontId="47" fillId="6" borderId="0" applyNumberFormat="0" applyBorder="0" applyAlignment="0" applyProtection="0"/>
    <xf numFmtId="0" fontId="47" fillId="6" borderId="0" applyNumberFormat="0" applyBorder="0" applyAlignment="0" applyProtection="0"/>
    <xf numFmtId="0" fontId="47" fillId="6" borderId="0" applyNumberFormat="0" applyBorder="0" applyAlignment="0" applyProtection="0"/>
    <xf numFmtId="0" fontId="47" fillId="6" borderId="0" applyNumberFormat="0" applyBorder="0" applyAlignment="0" applyProtection="0"/>
    <xf numFmtId="0" fontId="47" fillId="6" borderId="0" applyNumberFormat="0" applyBorder="0" applyAlignment="0" applyProtection="0"/>
    <xf numFmtId="0" fontId="47" fillId="6" borderId="0" applyNumberFormat="0" applyBorder="0" applyAlignment="0" applyProtection="0"/>
    <xf numFmtId="0" fontId="47" fillId="6" borderId="0" applyNumberFormat="0" applyBorder="0" applyAlignment="0" applyProtection="0"/>
    <xf numFmtId="0" fontId="47" fillId="6" borderId="0" applyNumberFormat="0" applyBorder="0" applyAlignment="0" applyProtection="0"/>
    <xf numFmtId="0" fontId="47" fillId="6" borderId="0" applyNumberFormat="0" applyBorder="0" applyAlignment="0" applyProtection="0"/>
    <xf numFmtId="0" fontId="48" fillId="0" borderId="7" applyNumberFormat="0" applyFill="0" applyAlignment="0" applyProtection="0"/>
    <xf numFmtId="0" fontId="48" fillId="0" borderId="7" applyNumberFormat="0" applyFill="0" applyAlignment="0" applyProtection="0"/>
    <xf numFmtId="0" fontId="48" fillId="0" borderId="7" applyNumberFormat="0" applyFill="0" applyAlignment="0" applyProtection="0"/>
    <xf numFmtId="0" fontId="48" fillId="0" borderId="7" applyNumberFormat="0" applyFill="0" applyAlignment="0" applyProtection="0"/>
    <xf numFmtId="0" fontId="48" fillId="0" borderId="7" applyNumberFormat="0" applyFill="0" applyAlignment="0" applyProtection="0"/>
    <xf numFmtId="0" fontId="48" fillId="0" borderId="7" applyNumberFormat="0" applyFill="0" applyAlignment="0" applyProtection="0"/>
    <xf numFmtId="0" fontId="48" fillId="0" borderId="7" applyNumberFormat="0" applyFill="0" applyAlignment="0" applyProtection="0"/>
    <xf numFmtId="0" fontId="48" fillId="0" borderId="7" applyNumberFormat="0" applyFill="0" applyAlignment="0" applyProtection="0"/>
    <xf numFmtId="0" fontId="48" fillId="0" borderId="7" applyNumberFormat="0" applyFill="0" applyAlignment="0" applyProtection="0"/>
    <xf numFmtId="0" fontId="48" fillId="0" borderId="7" applyNumberFormat="0" applyFill="0" applyAlignment="0" applyProtection="0"/>
    <xf numFmtId="0" fontId="48" fillId="0" borderId="7" applyNumberFormat="0" applyFill="0" applyAlignment="0" applyProtection="0"/>
    <xf numFmtId="0" fontId="48" fillId="0" borderId="7" applyNumberFormat="0" applyFill="0" applyAlignment="0" applyProtection="0"/>
    <xf numFmtId="0" fontId="48" fillId="0" borderId="7" applyNumberFormat="0" applyFill="0" applyAlignment="0" applyProtection="0"/>
    <xf numFmtId="0" fontId="48" fillId="0" borderId="7" applyNumberFormat="0" applyFill="0" applyAlignment="0" applyProtection="0"/>
    <xf numFmtId="0" fontId="49" fillId="0" borderId="8" applyNumberFormat="0" applyFill="0" applyAlignment="0" applyProtection="0"/>
    <xf numFmtId="0" fontId="49" fillId="0" borderId="8" applyNumberFormat="0" applyFill="0" applyAlignment="0" applyProtection="0"/>
    <xf numFmtId="0" fontId="49" fillId="0" borderId="8" applyNumberFormat="0" applyFill="0" applyAlignment="0" applyProtection="0"/>
    <xf numFmtId="0" fontId="49" fillId="0" borderId="8" applyNumberFormat="0" applyFill="0" applyAlignment="0" applyProtection="0"/>
    <xf numFmtId="0" fontId="49" fillId="0" borderId="8" applyNumberFormat="0" applyFill="0" applyAlignment="0" applyProtection="0"/>
    <xf numFmtId="0" fontId="49" fillId="0" borderId="8" applyNumberFormat="0" applyFill="0" applyAlignment="0" applyProtection="0"/>
    <xf numFmtId="0" fontId="49" fillId="0" borderId="8" applyNumberFormat="0" applyFill="0" applyAlignment="0" applyProtection="0"/>
    <xf numFmtId="0" fontId="49" fillId="0" borderId="8" applyNumberFormat="0" applyFill="0" applyAlignment="0" applyProtection="0"/>
    <xf numFmtId="0" fontId="49" fillId="0" borderId="8" applyNumberFormat="0" applyFill="0" applyAlignment="0" applyProtection="0"/>
    <xf numFmtId="0" fontId="49" fillId="0" borderId="8" applyNumberFormat="0" applyFill="0" applyAlignment="0" applyProtection="0"/>
    <xf numFmtId="0" fontId="49" fillId="0" borderId="8" applyNumberFormat="0" applyFill="0" applyAlignment="0" applyProtection="0"/>
    <xf numFmtId="0" fontId="49" fillId="0" borderId="8" applyNumberFormat="0" applyFill="0" applyAlignment="0" applyProtection="0"/>
    <xf numFmtId="0" fontId="49" fillId="0" borderId="8" applyNumberFormat="0" applyFill="0" applyAlignment="0" applyProtection="0"/>
    <xf numFmtId="0" fontId="49" fillId="0" borderId="8" applyNumberFormat="0" applyFill="0" applyAlignment="0" applyProtection="0"/>
    <xf numFmtId="0" fontId="50" fillId="0" borderId="9" applyNumberFormat="0" applyFill="0" applyAlignment="0" applyProtection="0"/>
    <xf numFmtId="0" fontId="50" fillId="0" borderId="9" applyNumberFormat="0" applyFill="0" applyAlignment="0" applyProtection="0"/>
    <xf numFmtId="0" fontId="50" fillId="0" borderId="9" applyNumberFormat="0" applyFill="0" applyAlignment="0" applyProtection="0"/>
    <xf numFmtId="0" fontId="50" fillId="0" borderId="9" applyNumberFormat="0" applyFill="0" applyAlignment="0" applyProtection="0"/>
    <xf numFmtId="0" fontId="50" fillId="0" borderId="9" applyNumberFormat="0" applyFill="0" applyAlignment="0" applyProtection="0"/>
    <xf numFmtId="0" fontId="50" fillId="0" borderId="9" applyNumberFormat="0" applyFill="0" applyAlignment="0" applyProtection="0"/>
    <xf numFmtId="0" fontId="50" fillId="0" borderId="9" applyNumberFormat="0" applyFill="0" applyAlignment="0" applyProtection="0"/>
    <xf numFmtId="0" fontId="50" fillId="0" borderId="9" applyNumberFormat="0" applyFill="0" applyAlignment="0" applyProtection="0"/>
    <xf numFmtId="0" fontId="50" fillId="0" borderId="9" applyNumberFormat="0" applyFill="0" applyAlignment="0" applyProtection="0"/>
    <xf numFmtId="0" fontId="50" fillId="0" borderId="9" applyNumberFormat="0" applyFill="0" applyAlignment="0" applyProtection="0"/>
    <xf numFmtId="0" fontId="50" fillId="0" borderId="9" applyNumberFormat="0" applyFill="0" applyAlignment="0" applyProtection="0"/>
    <xf numFmtId="0" fontId="50" fillId="0" borderId="9" applyNumberFormat="0" applyFill="0" applyAlignment="0" applyProtection="0"/>
    <xf numFmtId="0" fontId="50" fillId="0" borderId="9" applyNumberFormat="0" applyFill="0" applyAlignment="0" applyProtection="0"/>
    <xf numFmtId="0" fontId="50" fillId="0" borderId="9" applyNumberFormat="0" applyFill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1" fillId="9" borderId="10" applyNumberFormat="0" applyAlignment="0" applyProtection="0"/>
    <xf numFmtId="0" fontId="51" fillId="9" borderId="10" applyNumberFormat="0" applyAlignment="0" applyProtection="0"/>
    <xf numFmtId="0" fontId="51" fillId="9" borderId="10" applyNumberFormat="0" applyAlignment="0" applyProtection="0"/>
    <xf numFmtId="0" fontId="51" fillId="9" borderId="10" applyNumberFormat="0" applyAlignment="0" applyProtection="0"/>
    <xf numFmtId="0" fontId="51" fillId="9" borderId="10" applyNumberFormat="0" applyAlignment="0" applyProtection="0"/>
    <xf numFmtId="0" fontId="51" fillId="9" borderId="10" applyNumberFormat="0" applyAlignment="0" applyProtection="0"/>
    <xf numFmtId="0" fontId="51" fillId="9" borderId="10" applyNumberFormat="0" applyAlignment="0" applyProtection="0"/>
    <xf numFmtId="0" fontId="51" fillId="9" borderId="10" applyNumberFormat="0" applyAlignment="0" applyProtection="0"/>
    <xf numFmtId="0" fontId="51" fillId="9" borderId="10" applyNumberFormat="0" applyAlignment="0" applyProtection="0"/>
    <xf numFmtId="0" fontId="51" fillId="9" borderId="10" applyNumberFormat="0" applyAlignment="0" applyProtection="0"/>
    <xf numFmtId="0" fontId="51" fillId="9" borderId="10" applyNumberFormat="0" applyAlignment="0" applyProtection="0"/>
    <xf numFmtId="0" fontId="51" fillId="9" borderId="10" applyNumberFormat="0" applyAlignment="0" applyProtection="0"/>
    <xf numFmtId="0" fontId="51" fillId="9" borderId="10" applyNumberFormat="0" applyAlignment="0" applyProtection="0"/>
    <xf numFmtId="0" fontId="51" fillId="9" borderId="10" applyNumberFormat="0" applyAlignment="0" applyProtection="0"/>
    <xf numFmtId="0" fontId="52" fillId="0" borderId="12" applyNumberFormat="0" applyFill="0" applyAlignment="0" applyProtection="0"/>
    <xf numFmtId="0" fontId="52" fillId="0" borderId="12" applyNumberFormat="0" applyFill="0" applyAlignment="0" applyProtection="0"/>
    <xf numFmtId="0" fontId="52" fillId="0" borderId="12" applyNumberFormat="0" applyFill="0" applyAlignment="0" applyProtection="0"/>
    <xf numFmtId="0" fontId="52" fillId="0" borderId="12" applyNumberFormat="0" applyFill="0" applyAlignment="0" applyProtection="0"/>
    <xf numFmtId="0" fontId="52" fillId="0" borderId="12" applyNumberFormat="0" applyFill="0" applyAlignment="0" applyProtection="0"/>
    <xf numFmtId="0" fontId="52" fillId="0" borderId="12" applyNumberFormat="0" applyFill="0" applyAlignment="0" applyProtection="0"/>
    <xf numFmtId="0" fontId="52" fillId="0" borderId="12" applyNumberFormat="0" applyFill="0" applyAlignment="0" applyProtection="0"/>
    <xf numFmtId="0" fontId="52" fillId="0" borderId="12" applyNumberFormat="0" applyFill="0" applyAlignment="0" applyProtection="0"/>
    <xf numFmtId="0" fontId="52" fillId="0" borderId="12" applyNumberFormat="0" applyFill="0" applyAlignment="0" applyProtection="0"/>
    <xf numFmtId="0" fontId="52" fillId="0" borderId="12" applyNumberFormat="0" applyFill="0" applyAlignment="0" applyProtection="0"/>
    <xf numFmtId="0" fontId="52" fillId="0" borderId="12" applyNumberFormat="0" applyFill="0" applyAlignment="0" applyProtection="0"/>
    <xf numFmtId="0" fontId="52" fillId="0" borderId="12" applyNumberFormat="0" applyFill="0" applyAlignment="0" applyProtection="0"/>
    <xf numFmtId="0" fontId="52" fillId="0" borderId="12" applyNumberFormat="0" applyFill="0" applyAlignment="0" applyProtection="0"/>
    <xf numFmtId="0" fontId="52" fillId="0" borderId="12" applyNumberFormat="0" applyFill="0" applyAlignment="0" applyProtection="0"/>
    <xf numFmtId="0" fontId="53" fillId="8" borderId="0" applyNumberFormat="0" applyBorder="0" applyAlignment="0" applyProtection="0"/>
    <xf numFmtId="0" fontId="53" fillId="8" borderId="0" applyNumberFormat="0" applyBorder="0" applyAlignment="0" applyProtection="0"/>
    <xf numFmtId="0" fontId="53" fillId="8" borderId="0" applyNumberFormat="0" applyBorder="0" applyAlignment="0" applyProtection="0"/>
    <xf numFmtId="0" fontId="53" fillId="8" borderId="0" applyNumberFormat="0" applyBorder="0" applyAlignment="0" applyProtection="0"/>
    <xf numFmtId="0" fontId="53" fillId="8" borderId="0" applyNumberFormat="0" applyBorder="0" applyAlignment="0" applyProtection="0"/>
    <xf numFmtId="0" fontId="53" fillId="8" borderId="0" applyNumberFormat="0" applyBorder="0" applyAlignment="0" applyProtection="0"/>
    <xf numFmtId="0" fontId="53" fillId="8" borderId="0" applyNumberFormat="0" applyBorder="0" applyAlignment="0" applyProtection="0"/>
    <xf numFmtId="0" fontId="53" fillId="8" borderId="0" applyNumberFormat="0" applyBorder="0" applyAlignment="0" applyProtection="0"/>
    <xf numFmtId="0" fontId="53" fillId="8" borderId="0" applyNumberFormat="0" applyBorder="0" applyAlignment="0" applyProtection="0"/>
    <xf numFmtId="0" fontId="53" fillId="8" borderId="0" applyNumberFormat="0" applyBorder="0" applyAlignment="0" applyProtection="0"/>
    <xf numFmtId="0" fontId="53" fillId="8" borderId="0" applyNumberFormat="0" applyBorder="0" applyAlignment="0" applyProtection="0"/>
    <xf numFmtId="0" fontId="53" fillId="8" borderId="0" applyNumberFormat="0" applyBorder="0" applyAlignment="0" applyProtection="0"/>
    <xf numFmtId="0" fontId="53" fillId="8" borderId="0" applyNumberFormat="0" applyBorder="0" applyAlignment="0" applyProtection="0"/>
    <xf numFmtId="0" fontId="53" fillId="8" borderId="0" applyNumberFormat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" fillId="0" borderId="0"/>
    <xf numFmtId="0" fontId="3" fillId="0" borderId="0"/>
    <xf numFmtId="0" fontId="8" fillId="0" borderId="0"/>
    <xf numFmtId="0" fontId="8" fillId="0" borderId="0"/>
    <xf numFmtId="0" fontId="39" fillId="0" borderId="0"/>
    <xf numFmtId="0" fontId="37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3" fillId="12" borderId="14" applyNumberFormat="0" applyFont="0" applyAlignment="0" applyProtection="0"/>
    <xf numFmtId="0" fontId="33" fillId="12" borderId="14" applyNumberFormat="0" applyFont="0" applyAlignment="0" applyProtection="0"/>
    <xf numFmtId="0" fontId="33" fillId="12" borderId="14" applyNumberFormat="0" applyFont="0" applyAlignment="0" applyProtection="0"/>
    <xf numFmtId="0" fontId="33" fillId="12" borderId="14" applyNumberFormat="0" applyFont="0" applyAlignment="0" applyProtection="0"/>
    <xf numFmtId="0" fontId="33" fillId="12" borderId="14" applyNumberFormat="0" applyFont="0" applyAlignment="0" applyProtection="0"/>
    <xf numFmtId="0" fontId="33" fillId="12" borderId="14" applyNumberFormat="0" applyFont="0" applyAlignment="0" applyProtection="0"/>
    <xf numFmtId="0" fontId="33" fillId="12" borderId="14" applyNumberFormat="0" applyFont="0" applyAlignment="0" applyProtection="0"/>
    <xf numFmtId="0" fontId="33" fillId="12" borderId="14" applyNumberFormat="0" applyFont="0" applyAlignment="0" applyProtection="0"/>
    <xf numFmtId="0" fontId="33" fillId="12" borderId="14" applyNumberFormat="0" applyFont="0" applyAlignment="0" applyProtection="0"/>
    <xf numFmtId="0" fontId="33" fillId="12" borderId="14" applyNumberFormat="0" applyFont="0" applyAlignment="0" applyProtection="0"/>
    <xf numFmtId="0" fontId="33" fillId="12" borderId="14" applyNumberFormat="0" applyFont="0" applyAlignment="0" applyProtection="0"/>
    <xf numFmtId="0" fontId="33" fillId="12" borderId="14" applyNumberFormat="0" applyFont="0" applyAlignment="0" applyProtection="0"/>
    <xf numFmtId="0" fontId="33" fillId="12" borderId="14" applyNumberFormat="0" applyFont="0" applyAlignment="0" applyProtection="0"/>
    <xf numFmtId="0" fontId="33" fillId="12" borderId="14" applyNumberFormat="0" applyFont="0" applyAlignment="0" applyProtection="0"/>
    <xf numFmtId="0" fontId="54" fillId="10" borderId="11" applyNumberFormat="0" applyAlignment="0" applyProtection="0"/>
    <xf numFmtId="0" fontId="54" fillId="10" borderId="11" applyNumberFormat="0" applyAlignment="0" applyProtection="0"/>
    <xf numFmtId="0" fontId="54" fillId="10" borderId="11" applyNumberFormat="0" applyAlignment="0" applyProtection="0"/>
    <xf numFmtId="0" fontId="54" fillId="10" borderId="11" applyNumberFormat="0" applyAlignment="0" applyProtection="0"/>
    <xf numFmtId="0" fontId="54" fillId="10" borderId="11" applyNumberFormat="0" applyAlignment="0" applyProtection="0"/>
    <xf numFmtId="0" fontId="54" fillId="10" borderId="11" applyNumberFormat="0" applyAlignment="0" applyProtection="0"/>
    <xf numFmtId="0" fontId="54" fillId="10" borderId="11" applyNumberFormat="0" applyAlignment="0" applyProtection="0"/>
    <xf numFmtId="0" fontId="54" fillId="10" borderId="11" applyNumberFormat="0" applyAlignment="0" applyProtection="0"/>
    <xf numFmtId="0" fontId="54" fillId="10" borderId="11" applyNumberFormat="0" applyAlignment="0" applyProtection="0"/>
    <xf numFmtId="0" fontId="54" fillId="10" borderId="11" applyNumberFormat="0" applyAlignment="0" applyProtection="0"/>
    <xf numFmtId="0" fontId="54" fillId="10" borderId="11" applyNumberFormat="0" applyAlignment="0" applyProtection="0"/>
    <xf numFmtId="0" fontId="54" fillId="10" borderId="11" applyNumberFormat="0" applyAlignment="0" applyProtection="0"/>
    <xf numFmtId="0" fontId="54" fillId="10" borderId="11" applyNumberFormat="0" applyAlignment="0" applyProtection="0"/>
    <xf numFmtId="0" fontId="54" fillId="10" borderId="11" applyNumberFormat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41" fillId="0" borderId="0" applyFont="0" applyFill="0" applyBorder="0" applyAlignment="0" applyProtection="0"/>
    <xf numFmtId="0" fontId="55" fillId="0" borderId="15" applyNumberFormat="0" applyFill="0" applyAlignment="0" applyProtection="0"/>
    <xf numFmtId="0" fontId="55" fillId="0" borderId="15" applyNumberFormat="0" applyFill="0" applyAlignment="0" applyProtection="0"/>
    <xf numFmtId="0" fontId="55" fillId="0" borderId="15" applyNumberFormat="0" applyFill="0" applyAlignment="0" applyProtection="0"/>
    <xf numFmtId="0" fontId="55" fillId="0" borderId="15" applyNumberFormat="0" applyFill="0" applyAlignment="0" applyProtection="0"/>
    <xf numFmtId="0" fontId="55" fillId="0" borderId="15" applyNumberFormat="0" applyFill="0" applyAlignment="0" applyProtection="0"/>
    <xf numFmtId="0" fontId="55" fillId="0" borderId="15" applyNumberFormat="0" applyFill="0" applyAlignment="0" applyProtection="0"/>
    <xf numFmtId="0" fontId="55" fillId="0" borderId="15" applyNumberFormat="0" applyFill="0" applyAlignment="0" applyProtection="0"/>
    <xf numFmtId="0" fontId="55" fillId="0" borderId="15" applyNumberFormat="0" applyFill="0" applyAlignment="0" applyProtection="0"/>
    <xf numFmtId="0" fontId="55" fillId="0" borderId="15" applyNumberFormat="0" applyFill="0" applyAlignment="0" applyProtection="0"/>
    <xf numFmtId="0" fontId="55" fillId="0" borderId="15" applyNumberFormat="0" applyFill="0" applyAlignment="0" applyProtection="0"/>
    <xf numFmtId="0" fontId="55" fillId="0" borderId="15" applyNumberFormat="0" applyFill="0" applyAlignment="0" applyProtection="0"/>
    <xf numFmtId="0" fontId="55" fillId="0" borderId="15" applyNumberFormat="0" applyFill="0" applyAlignment="0" applyProtection="0"/>
    <xf numFmtId="0" fontId="55" fillId="0" borderId="15" applyNumberFormat="0" applyFill="0" applyAlignment="0" applyProtection="0"/>
    <xf numFmtId="0" fontId="55" fillId="0" borderId="15" applyNumberFormat="0" applyFill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4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3" fillId="0" borderId="0"/>
    <xf numFmtId="0" fontId="3" fillId="0" borderId="0"/>
    <xf numFmtId="0" fontId="8" fillId="0" borderId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8" fillId="0" borderId="0"/>
    <xf numFmtId="0" fontId="3" fillId="0" borderId="0"/>
    <xf numFmtId="0" fontId="3" fillId="0" borderId="0"/>
    <xf numFmtId="0" fontId="8" fillId="0" borderId="0"/>
    <xf numFmtId="0" fontId="3" fillId="0" borderId="0"/>
    <xf numFmtId="0" fontId="8" fillId="0" borderId="0"/>
    <xf numFmtId="0" fontId="8" fillId="0" borderId="0"/>
    <xf numFmtId="0" fontId="8" fillId="0" borderId="0"/>
    <xf numFmtId="0" fontId="8" fillId="0" borderId="0"/>
    <xf numFmtId="9" fontId="3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5" borderId="1" applyNumberFormat="0" applyProtection="0">
      <alignment horizontal="left" vertical="center"/>
    </xf>
    <xf numFmtId="0" fontId="8" fillId="5" borderId="1" applyNumberFormat="0" applyProtection="0">
      <alignment horizontal="left" vertical="center"/>
    </xf>
    <xf numFmtId="9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7" fillId="0" borderId="0"/>
    <xf numFmtId="166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0" fontId="37" fillId="0" borderId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7" fillId="0" borderId="0"/>
    <xf numFmtId="43" fontId="37" fillId="0" borderId="0" applyFont="0" applyFill="0" applyBorder="0" applyAlignment="0" applyProtection="0"/>
    <xf numFmtId="0" fontId="3" fillId="0" borderId="0"/>
    <xf numFmtId="0" fontId="3" fillId="0" borderId="0"/>
    <xf numFmtId="9" fontId="37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1" fillId="40" borderId="0" applyNumberFormat="0" applyBorder="0" applyAlignment="0" applyProtection="0"/>
    <xf numFmtId="0" fontId="41" fillId="41" borderId="0" applyNumberFormat="0" applyBorder="0" applyAlignment="0" applyProtection="0"/>
    <xf numFmtId="0" fontId="41" fillId="42" borderId="0" applyNumberFormat="0" applyBorder="0" applyAlignment="0" applyProtection="0"/>
    <xf numFmtId="0" fontId="41" fillId="43" borderId="0" applyNumberFormat="0" applyBorder="0" applyAlignment="0" applyProtection="0"/>
    <xf numFmtId="0" fontId="41" fillId="44" borderId="0" applyNumberFormat="0" applyBorder="0" applyAlignment="0" applyProtection="0"/>
    <xf numFmtId="0" fontId="41" fillId="45" borderId="0" applyNumberFormat="0" applyBorder="0" applyAlignment="0" applyProtection="0"/>
    <xf numFmtId="0" fontId="41" fillId="46" borderId="0" applyNumberFormat="0" applyBorder="0" applyAlignment="0" applyProtection="0"/>
    <xf numFmtId="0" fontId="41" fillId="47" borderId="0" applyNumberFormat="0" applyBorder="0" applyAlignment="0" applyProtection="0"/>
    <xf numFmtId="0" fontId="41" fillId="48" borderId="0" applyNumberFormat="0" applyBorder="0" applyAlignment="0" applyProtection="0"/>
    <xf numFmtId="0" fontId="41" fillId="43" borderId="0" applyNumberFormat="0" applyBorder="0" applyAlignment="0" applyProtection="0"/>
    <xf numFmtId="0" fontId="41" fillId="46" borderId="0" applyNumberFormat="0" applyBorder="0" applyAlignment="0" applyProtection="0"/>
    <xf numFmtId="0" fontId="41" fillId="49" borderId="0" applyNumberFormat="0" applyBorder="0" applyAlignment="0" applyProtection="0"/>
    <xf numFmtId="0" fontId="58" fillId="50" borderId="0" applyNumberFormat="0" applyBorder="0" applyAlignment="0" applyProtection="0"/>
    <xf numFmtId="0" fontId="58" fillId="47" borderId="0" applyNumberFormat="0" applyBorder="0" applyAlignment="0" applyProtection="0"/>
    <xf numFmtId="0" fontId="58" fillId="48" borderId="0" applyNumberFormat="0" applyBorder="0" applyAlignment="0" applyProtection="0"/>
    <xf numFmtId="0" fontId="58" fillId="51" borderId="0" applyNumberFormat="0" applyBorder="0" applyAlignment="0" applyProtection="0"/>
    <xf numFmtId="0" fontId="58" fillId="52" borderId="0" applyNumberFormat="0" applyBorder="0" applyAlignment="0" applyProtection="0"/>
    <xf numFmtId="0" fontId="58" fillId="53" borderId="0" applyNumberFormat="0" applyBorder="0" applyAlignment="0" applyProtection="0"/>
    <xf numFmtId="0" fontId="58" fillId="54" borderId="0" applyNumberFormat="0" applyBorder="0" applyAlignment="0" applyProtection="0"/>
    <xf numFmtId="0" fontId="58" fillId="55" borderId="0" applyNumberFormat="0" applyBorder="0" applyAlignment="0" applyProtection="0"/>
    <xf numFmtId="0" fontId="58" fillId="56" borderId="0" applyNumberFormat="0" applyBorder="0" applyAlignment="0" applyProtection="0"/>
    <xf numFmtId="0" fontId="60" fillId="58" borderId="17" applyNumberFormat="0" applyAlignment="0" applyProtection="0"/>
    <xf numFmtId="0" fontId="57" fillId="0" borderId="0" applyNumberFormat="0" applyFill="0" applyBorder="0" applyAlignment="0" applyProtection="0">
      <alignment vertical="top"/>
      <protection locked="0"/>
    </xf>
    <xf numFmtId="0" fontId="69" fillId="60" borderId="0" applyNumberFormat="0" applyBorder="0" applyAlignment="0" applyProtection="0"/>
    <xf numFmtId="0" fontId="71" fillId="0" borderId="0" applyNumberFormat="0" applyFill="0" applyBorder="0" applyAlignment="0" applyProtection="0"/>
    <xf numFmtId="0" fontId="72" fillId="0" borderId="25" applyNumberFormat="0" applyFill="0" applyAlignment="0" applyProtection="0"/>
    <xf numFmtId="0" fontId="73" fillId="0" borderId="0" applyNumberFormat="0" applyFill="0" applyBorder="0" applyAlignment="0" applyProtection="0"/>
    <xf numFmtId="0" fontId="8" fillId="0" borderId="0"/>
    <xf numFmtId="0" fontId="20" fillId="0" borderId="8" applyNumberFormat="0" applyFill="0" applyAlignment="0" applyProtection="0"/>
    <xf numFmtId="0" fontId="19" fillId="0" borderId="7" applyNumberFormat="0" applyFill="0" applyAlignment="0" applyProtection="0"/>
    <xf numFmtId="0" fontId="3" fillId="0" borderId="0"/>
    <xf numFmtId="0" fontId="21" fillId="0" borderId="9" applyNumberFormat="0" applyFill="0" applyAlignment="0" applyProtection="0"/>
    <xf numFmtId="0" fontId="21" fillId="0" borderId="0" applyNumberFormat="0" applyFill="0" applyBorder="0" applyAlignment="0" applyProtection="0"/>
    <xf numFmtId="0" fontId="22" fillId="6" borderId="0" applyNumberFormat="0" applyBorder="0" applyAlignment="0" applyProtection="0"/>
    <xf numFmtId="0" fontId="23" fillId="7" borderId="0" applyNumberFormat="0" applyBorder="0" applyAlignment="0" applyProtection="0"/>
    <xf numFmtId="0" fontId="24" fillId="8" borderId="0" applyNumberFormat="0" applyBorder="0" applyAlignment="0" applyProtection="0"/>
    <xf numFmtId="0" fontId="25" fillId="9" borderId="10" applyNumberFormat="0" applyAlignment="0" applyProtection="0"/>
    <xf numFmtId="0" fontId="26" fillId="10" borderId="11" applyNumberFormat="0" applyAlignment="0" applyProtection="0"/>
    <xf numFmtId="0" fontId="27" fillId="10" borderId="10" applyNumberFormat="0" applyAlignment="0" applyProtection="0"/>
    <xf numFmtId="0" fontId="28" fillId="0" borderId="12" applyNumberFormat="0" applyFill="0" applyAlignment="0" applyProtection="0"/>
    <xf numFmtId="0" fontId="29" fillId="11" borderId="13" applyNumberFormat="0" applyAlignment="0" applyProtection="0"/>
    <xf numFmtId="0" fontId="30" fillId="0" borderId="0" applyNumberFormat="0" applyFill="0" applyBorder="0" applyAlignment="0" applyProtection="0"/>
    <xf numFmtId="0" fontId="3" fillId="12" borderId="14" applyNumberFormat="0" applyFont="0" applyAlignment="0" applyProtection="0"/>
    <xf numFmtId="0" fontId="31" fillId="0" borderId="0" applyNumberFormat="0" applyFill="0" applyBorder="0" applyAlignment="0" applyProtection="0"/>
    <xf numFmtId="0" fontId="17" fillId="0" borderId="15" applyNumberFormat="0" applyFill="0" applyAlignment="0" applyProtection="0"/>
    <xf numFmtId="0" fontId="32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2" fillId="16" borderId="0" applyNumberFormat="0" applyBorder="0" applyAlignment="0" applyProtection="0"/>
    <xf numFmtId="0" fontId="32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2" fillId="20" borderId="0" applyNumberFormat="0" applyBorder="0" applyAlignment="0" applyProtection="0"/>
    <xf numFmtId="0" fontId="32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2" fillId="24" borderId="0" applyNumberFormat="0" applyBorder="0" applyAlignment="0" applyProtection="0"/>
    <xf numFmtId="0" fontId="32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2" fillId="28" borderId="0" applyNumberFormat="0" applyBorder="0" applyAlignment="0" applyProtection="0"/>
    <xf numFmtId="0" fontId="32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2" fillId="32" borderId="0" applyNumberFormat="0" applyBorder="0" applyAlignment="0" applyProtection="0"/>
    <xf numFmtId="0" fontId="32" fillId="33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32" fillId="36" borderId="0" applyNumberFormat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3" fillId="0" borderId="0"/>
    <xf numFmtId="0" fontId="3" fillId="0" borderId="0"/>
    <xf numFmtId="0" fontId="70" fillId="58" borderId="24" applyNumberFormat="0" applyAlignment="0" applyProtection="0"/>
    <xf numFmtId="0" fontId="61" fillId="59" borderId="18" applyNumberFormat="0" applyAlignment="0" applyProtection="0"/>
    <xf numFmtId="0" fontId="67" fillId="45" borderId="17" applyNumberFormat="0" applyAlignment="0" applyProtection="0"/>
    <xf numFmtId="0" fontId="8" fillId="61" borderId="23" applyNumberFormat="0" applyFont="0" applyAlignment="0" applyProtection="0"/>
    <xf numFmtId="0" fontId="63" fillId="42" borderId="0" applyNumberFormat="0" applyBorder="0" applyAlignment="0" applyProtection="0"/>
    <xf numFmtId="0" fontId="59" fillId="41" borderId="0" applyNumberFormat="0" applyBorder="0" applyAlignment="0" applyProtection="0"/>
    <xf numFmtId="0" fontId="66" fillId="0" borderId="21" applyNumberFormat="0" applyFill="0" applyAlignment="0" applyProtection="0"/>
    <xf numFmtId="0" fontId="65" fillId="0" borderId="20" applyNumberFormat="0" applyFill="0" applyAlignment="0" applyProtection="0"/>
    <xf numFmtId="0" fontId="62" fillId="0" borderId="0" applyNumberFormat="0" applyFill="0" applyBorder="0" applyAlignment="0" applyProtection="0"/>
    <xf numFmtId="0" fontId="64" fillId="0" borderId="19" applyNumberFormat="0" applyFill="0" applyAlignment="0" applyProtection="0"/>
    <xf numFmtId="0" fontId="56" fillId="0" borderId="0" applyNumberForma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58" fillId="5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58" fillId="57" borderId="0" applyNumberFormat="0" applyBorder="0" applyAlignment="0" applyProtection="0"/>
    <xf numFmtId="0" fontId="58" fillId="51" borderId="0" applyNumberFormat="0" applyBorder="0" applyAlignment="0" applyProtection="0"/>
    <xf numFmtId="43" fontId="8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7" fillId="0" borderId="0"/>
    <xf numFmtId="0" fontId="68" fillId="0" borderId="22" applyNumberFormat="0" applyFill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66" fillId="0" borderId="0" applyNumberForma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8" fillId="0" borderId="0"/>
    <xf numFmtId="0" fontId="8" fillId="0" borderId="0"/>
    <xf numFmtId="0" fontId="67" fillId="45" borderId="17" applyNumberFormat="0" applyAlignment="0" applyProtection="0"/>
    <xf numFmtId="0" fontId="67" fillId="45" borderId="17" applyNumberFormat="0" applyAlignment="0" applyProtection="0"/>
    <xf numFmtId="0" fontId="67" fillId="45" borderId="17" applyNumberFormat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67" fillId="45" borderId="17" applyNumberFormat="0" applyAlignment="0" applyProtection="0"/>
    <xf numFmtId="0" fontId="8" fillId="0" borderId="0"/>
    <xf numFmtId="0" fontId="37" fillId="0" borderId="0"/>
    <xf numFmtId="0" fontId="3" fillId="0" borderId="0"/>
    <xf numFmtId="0" fontId="3" fillId="0" borderId="0"/>
    <xf numFmtId="9" fontId="37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0" fontId="3" fillId="0" borderId="0"/>
    <xf numFmtId="0" fontId="8" fillId="0" borderId="0"/>
    <xf numFmtId="9" fontId="37" fillId="0" borderId="0" applyFont="0" applyFill="0" applyBorder="0" applyAlignment="0" applyProtection="0"/>
    <xf numFmtId="0" fontId="37" fillId="0" borderId="0"/>
    <xf numFmtId="9" fontId="8" fillId="0" borderId="0" applyFont="0" applyFill="0" applyBorder="0" applyAlignment="0" applyProtection="0"/>
    <xf numFmtId="0" fontId="8" fillId="0" borderId="0"/>
    <xf numFmtId="9" fontId="37" fillId="0" borderId="0" applyFont="0" applyFill="0" applyBorder="0" applyAlignment="0" applyProtection="0"/>
    <xf numFmtId="0" fontId="37" fillId="0" borderId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165" fontId="8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8" fillId="0" borderId="0"/>
    <xf numFmtId="0" fontId="3" fillId="0" borderId="0"/>
    <xf numFmtId="0" fontId="3" fillId="0" borderId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0" fontId="71" fillId="0" borderId="0" applyNumberFormat="0" applyFill="0" applyBorder="0" applyAlignment="0" applyProtection="0"/>
    <xf numFmtId="0" fontId="3" fillId="0" borderId="0"/>
    <xf numFmtId="44" fontId="37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8" fillId="0" borderId="0" applyNumberForma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7" fillId="0" borderId="0"/>
    <xf numFmtId="43" fontId="37" fillId="0" borderId="0" applyFont="0" applyFill="0" applyBorder="0" applyAlignment="0" applyProtection="0"/>
    <xf numFmtId="0" fontId="3" fillId="0" borderId="0"/>
    <xf numFmtId="0" fontId="3" fillId="0" borderId="0"/>
    <xf numFmtId="9" fontId="37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166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7" fillId="0" borderId="0"/>
    <xf numFmtId="9" fontId="37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3" fillId="0" borderId="0"/>
    <xf numFmtId="0" fontId="56" fillId="0" borderId="0" applyNumberFormat="0" applyFill="0" applyBorder="0" applyAlignment="0" applyProtection="0"/>
    <xf numFmtId="0" fontId="74" fillId="0" borderId="0"/>
    <xf numFmtId="0" fontId="2" fillId="0" borderId="0"/>
    <xf numFmtId="0" fontId="76" fillId="0" borderId="0"/>
    <xf numFmtId="179" fontId="78" fillId="0" borderId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79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1" fillId="0" borderId="0"/>
    <xf numFmtId="43" fontId="1" fillId="0" borderId="0" applyFont="0" applyFill="0" applyBorder="0" applyAlignment="0" applyProtection="0"/>
  </cellStyleXfs>
  <cellXfs count="175">
    <xf numFmtId="0" fontId="0" fillId="0" borderId="0" xfId="0"/>
    <xf numFmtId="0" fontId="0" fillId="0" borderId="0" xfId="0" applyAlignment="1">
      <alignment horizontal="center"/>
    </xf>
    <xf numFmtId="0" fontId="10" fillId="0" borderId="0" xfId="0" applyFont="1" applyAlignment="1">
      <alignment horizontal="center"/>
    </xf>
    <xf numFmtId="17" fontId="0" fillId="0" borderId="0" xfId="0" applyNumberFormat="1"/>
    <xf numFmtId="0" fontId="0" fillId="0" borderId="0" xfId="0" applyAlignment="1">
      <alignment horizontal="right"/>
    </xf>
    <xf numFmtId="167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/>
    </xf>
    <xf numFmtId="3" fontId="10" fillId="0" borderId="0" xfId="0" applyNumberFormat="1" applyFont="1" applyAlignment="1">
      <alignment horizontal="center"/>
    </xf>
    <xf numFmtId="3" fontId="9" fillId="0" borderId="0" xfId="0" applyNumberFormat="1" applyFont="1" applyAlignment="1">
      <alignment horizontal="center" wrapText="1"/>
    </xf>
    <xf numFmtId="3" fontId="10" fillId="0" borderId="0" xfId="0" applyNumberFormat="1" applyFont="1" applyAlignment="1">
      <alignment horizontal="center" wrapText="1"/>
    </xf>
    <xf numFmtId="37" fontId="9" fillId="0" borderId="0" xfId="0" applyNumberFormat="1" applyFont="1" applyAlignment="1">
      <alignment horizontal="center"/>
    </xf>
    <xf numFmtId="3" fontId="8" fillId="0" borderId="0" xfId="1" applyNumberFormat="1" applyAlignment="1">
      <alignment horizontal="center"/>
    </xf>
    <xf numFmtId="167" fontId="9" fillId="0" borderId="0" xfId="0" applyNumberFormat="1" applyFont="1" applyAlignment="1">
      <alignment horizontal="center"/>
    </xf>
    <xf numFmtId="10" fontId="0" fillId="0" borderId="0" xfId="0" applyNumberFormat="1" applyAlignment="1">
      <alignment horizontal="center"/>
    </xf>
    <xf numFmtId="0" fontId="11" fillId="0" borderId="0" xfId="0" applyFont="1"/>
    <xf numFmtId="3" fontId="0" fillId="2" borderId="0" xfId="0" applyNumberFormat="1" applyFill="1" applyAlignment="1">
      <alignment horizontal="center"/>
    </xf>
    <xf numFmtId="17" fontId="11" fillId="0" borderId="0" xfId="0" applyNumberFormat="1" applyFont="1"/>
    <xf numFmtId="169" fontId="0" fillId="0" borderId="0" xfId="0" applyNumberFormat="1" applyAlignment="1">
      <alignment horizontal="center"/>
    </xf>
    <xf numFmtId="170" fontId="0" fillId="0" borderId="0" xfId="0" applyNumberFormat="1" applyAlignment="1">
      <alignment horizontal="center"/>
    </xf>
    <xf numFmtId="9" fontId="0" fillId="0" borderId="0" xfId="0" applyNumberFormat="1" applyAlignment="1">
      <alignment horizontal="center"/>
    </xf>
    <xf numFmtId="171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 wrapText="1"/>
    </xf>
    <xf numFmtId="0" fontId="0" fillId="0" borderId="1" xfId="0" applyBorder="1" applyAlignment="1">
      <alignment horizontal="right"/>
    </xf>
    <xf numFmtId="3" fontId="9" fillId="2" borderId="1" xfId="0" applyNumberFormat="1" applyFont="1" applyFill="1" applyBorder="1" applyAlignment="1">
      <alignment horizontal="center"/>
    </xf>
    <xf numFmtId="168" fontId="0" fillId="0" borderId="0" xfId="0" applyNumberFormat="1" applyAlignment="1">
      <alignment horizontal="center"/>
    </xf>
    <xf numFmtId="3" fontId="0" fillId="3" borderId="0" xfId="0" applyNumberFormat="1" applyFill="1" applyAlignment="1">
      <alignment horizontal="center"/>
    </xf>
    <xf numFmtId="3" fontId="9" fillId="3" borderId="0" xfId="0" applyNumberFormat="1" applyFont="1" applyFill="1" applyAlignment="1">
      <alignment horizontal="center"/>
    </xf>
    <xf numFmtId="0" fontId="0" fillId="0" borderId="0" xfId="0" applyAlignment="1">
      <alignment horizontal="left"/>
    </xf>
    <xf numFmtId="3" fontId="11" fillId="0" borderId="0" xfId="0" applyNumberFormat="1" applyFont="1"/>
    <xf numFmtId="0" fontId="12" fillId="0" borderId="0" xfId="0" applyFont="1"/>
    <xf numFmtId="167" fontId="0" fillId="0" borderId="0" xfId="0" applyNumberFormat="1" applyAlignment="1">
      <alignment horizontal="center" wrapText="1"/>
    </xf>
    <xf numFmtId="0" fontId="11" fillId="0" borderId="0" xfId="0" applyFont="1" applyAlignment="1">
      <alignment horizontal="center" wrapText="1"/>
    </xf>
    <xf numFmtId="37" fontId="0" fillId="0" borderId="0" xfId="0" applyNumberFormat="1" applyAlignment="1">
      <alignment horizontal="center"/>
    </xf>
    <xf numFmtId="17" fontId="0" fillId="0" borderId="0" xfId="0" applyNumberFormat="1" applyAlignment="1">
      <alignment horizontal="left"/>
    </xf>
    <xf numFmtId="166" fontId="0" fillId="0" borderId="0" xfId="1" applyFont="1" applyAlignment="1">
      <alignment horizontal="center"/>
    </xf>
    <xf numFmtId="172" fontId="0" fillId="0" borderId="0" xfId="1" applyNumberFormat="1" applyFont="1" applyAlignment="1">
      <alignment horizontal="center"/>
    </xf>
    <xf numFmtId="3" fontId="0" fillId="0" borderId="0" xfId="0" applyNumberFormat="1"/>
    <xf numFmtId="172" fontId="0" fillId="0" borderId="0" xfId="0" applyNumberFormat="1" applyAlignment="1">
      <alignment horizontal="center"/>
    </xf>
    <xf numFmtId="3" fontId="0" fillId="4" borderId="0" xfId="0" applyNumberFormat="1" applyFill="1" applyAlignment="1">
      <alignment horizontal="center"/>
    </xf>
    <xf numFmtId="3" fontId="9" fillId="4" borderId="1" xfId="0" applyNumberFormat="1" applyFont="1" applyFill="1" applyBorder="1" applyAlignment="1">
      <alignment horizontal="center"/>
    </xf>
    <xf numFmtId="3" fontId="15" fillId="0" borderId="0" xfId="0" applyNumberFormat="1" applyFont="1" applyAlignment="1">
      <alignment horizontal="left"/>
    </xf>
    <xf numFmtId="167" fontId="0" fillId="0" borderId="0" xfId="2" applyNumberFormat="1" applyFont="1" applyAlignment="1">
      <alignment horizontal="center"/>
    </xf>
    <xf numFmtId="0" fontId="8" fillId="0" borderId="0" xfId="0" applyFont="1" applyAlignment="1">
      <alignment horizontal="left"/>
    </xf>
    <xf numFmtId="0" fontId="8" fillId="0" borderId="0" xfId="0" applyFont="1"/>
    <xf numFmtId="38" fontId="0" fillId="0" borderId="0" xfId="0" applyNumberFormat="1" applyAlignment="1">
      <alignment horizontal="center"/>
    </xf>
    <xf numFmtId="1" fontId="0" fillId="0" borderId="0" xfId="0" applyNumberFormat="1"/>
    <xf numFmtId="3" fontId="8" fillId="3" borderId="0" xfId="0" applyNumberFormat="1" applyFont="1" applyFill="1" applyAlignment="1">
      <alignment horizontal="center" wrapText="1"/>
    </xf>
    <xf numFmtId="17" fontId="0" fillId="0" borderId="1" xfId="0" applyNumberFormat="1" applyBorder="1" applyAlignment="1">
      <alignment horizontal="left"/>
    </xf>
    <xf numFmtId="37" fontId="9" fillId="0" borderId="1" xfId="0" applyNumberFormat="1" applyFont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9" fontId="8" fillId="4" borderId="0" xfId="0" applyNumberFormat="1" applyFont="1" applyFill="1" applyAlignment="1">
      <alignment horizontal="center"/>
    </xf>
    <xf numFmtId="9" fontId="0" fillId="4" borderId="0" xfId="0" applyNumberFormat="1" applyFill="1" applyAlignment="1">
      <alignment horizontal="center"/>
    </xf>
    <xf numFmtId="0" fontId="8" fillId="0" borderId="0" xfId="0" applyFont="1" applyAlignment="1">
      <alignment horizontal="center"/>
    </xf>
    <xf numFmtId="171" fontId="0" fillId="0" borderId="1" xfId="0" applyNumberFormat="1" applyBorder="1" applyAlignment="1">
      <alignment horizontal="center"/>
    </xf>
    <xf numFmtId="3" fontId="0" fillId="2" borderId="1" xfId="0" applyNumberFormat="1" applyFill="1" applyBorder="1" applyAlignment="1">
      <alignment horizontal="center"/>
    </xf>
    <xf numFmtId="170" fontId="0" fillId="39" borderId="0" xfId="0" applyNumberFormat="1" applyFill="1" applyAlignment="1">
      <alignment horizontal="center"/>
    </xf>
    <xf numFmtId="37" fontId="9" fillId="4" borderId="1" xfId="0" applyNumberFormat="1" applyFont="1" applyFill="1" applyBorder="1" applyAlignment="1">
      <alignment horizontal="center"/>
    </xf>
    <xf numFmtId="12" fontId="0" fillId="0" borderId="0" xfId="0" applyNumberFormat="1"/>
    <xf numFmtId="12" fontId="9" fillId="0" borderId="0" xfId="0" applyNumberFormat="1" applyFont="1"/>
    <xf numFmtId="9" fontId="0" fillId="0" borderId="0" xfId="2" applyFont="1" applyAlignment="1">
      <alignment horizontal="center"/>
    </xf>
    <xf numFmtId="3" fontId="8" fillId="0" borderId="0" xfId="0" applyNumberFormat="1" applyFont="1" applyAlignment="1">
      <alignment horizontal="center"/>
    </xf>
    <xf numFmtId="0" fontId="8" fillId="0" borderId="0" xfId="736" applyFont="1"/>
    <xf numFmtId="0" fontId="8" fillId="0" borderId="0" xfId="736" applyFont="1" applyAlignment="1">
      <alignment horizontal="center" vertical="center"/>
    </xf>
    <xf numFmtId="0" fontId="8" fillId="0" borderId="0" xfId="736" applyFont="1" applyAlignment="1">
      <alignment vertical="center"/>
    </xf>
    <xf numFmtId="0" fontId="8" fillId="0" borderId="0" xfId="736" applyFont="1" applyAlignment="1">
      <alignment horizontal="center"/>
    </xf>
    <xf numFmtId="0" fontId="8" fillId="0" borderId="0" xfId="1526" applyFont="1"/>
    <xf numFmtId="0" fontId="75" fillId="39" borderId="1" xfId="1524" applyFont="1" applyFill="1" applyBorder="1" applyAlignment="1">
      <alignment horizontal="center" vertical="center" wrapText="1"/>
    </xf>
    <xf numFmtId="0" fontId="77" fillId="0" borderId="0" xfId="1526" applyFont="1" applyAlignment="1">
      <alignment horizontal="left" vertical="center"/>
    </xf>
    <xf numFmtId="0" fontId="75" fillId="0" borderId="0" xfId="1524" applyFont="1" applyAlignment="1">
      <alignment horizontal="center" vertical="center" wrapText="1"/>
    </xf>
    <xf numFmtId="0" fontId="8" fillId="0" borderId="1" xfId="1526" applyFont="1" applyBorder="1" applyAlignment="1">
      <alignment horizontal="center"/>
    </xf>
    <xf numFmtId="0" fontId="8" fillId="0" borderId="30" xfId="1526" applyFont="1" applyBorder="1" applyAlignment="1">
      <alignment horizontal="center"/>
    </xf>
    <xf numFmtId="1" fontId="8" fillId="0" borderId="31" xfId="1526" applyNumberFormat="1" applyFont="1" applyBorder="1" applyAlignment="1">
      <alignment horizontal="center"/>
    </xf>
    <xf numFmtId="0" fontId="8" fillId="0" borderId="32" xfId="1526" applyFont="1" applyBorder="1" applyAlignment="1">
      <alignment horizontal="left"/>
    </xf>
    <xf numFmtId="2" fontId="15" fillId="0" borderId="31" xfId="1526" applyNumberFormat="1" applyFont="1" applyBorder="1" applyAlignment="1">
      <alignment horizontal="center"/>
    </xf>
    <xf numFmtId="0" fontId="8" fillId="0" borderId="30" xfId="1526" applyFont="1" applyBorder="1" applyAlignment="1">
      <alignment horizontal="left"/>
    </xf>
    <xf numFmtId="0" fontId="8" fillId="0" borderId="33" xfId="1526" applyFont="1" applyBorder="1" applyAlignment="1">
      <alignment horizontal="center"/>
    </xf>
    <xf numFmtId="2" fontId="15" fillId="0" borderId="34" xfId="1526" applyNumberFormat="1" applyFont="1" applyBorder="1" applyAlignment="1">
      <alignment horizontal="center"/>
    </xf>
    <xf numFmtId="0" fontId="8" fillId="0" borderId="31" xfId="1526" applyFont="1" applyBorder="1" applyAlignment="1">
      <alignment horizontal="center"/>
    </xf>
    <xf numFmtId="2" fontId="15" fillId="0" borderId="30" xfId="1526" applyNumberFormat="1" applyFont="1" applyBorder="1" applyAlignment="1">
      <alignment horizontal="center"/>
    </xf>
    <xf numFmtId="0" fontId="8" fillId="0" borderId="6" xfId="1526" applyFont="1" applyBorder="1" applyAlignment="1">
      <alignment horizontal="left"/>
    </xf>
    <xf numFmtId="2" fontId="15" fillId="0" borderId="35" xfId="1526" applyNumberFormat="1" applyFont="1" applyBorder="1" applyAlignment="1">
      <alignment horizontal="center"/>
    </xf>
    <xf numFmtId="0" fontId="8" fillId="0" borderId="31" xfId="1526" applyFont="1" applyBorder="1" applyAlignment="1">
      <alignment horizontal="left"/>
    </xf>
    <xf numFmtId="0" fontId="11" fillId="0" borderId="1" xfId="1526" applyFont="1" applyBorder="1" applyAlignment="1">
      <alignment horizontal="center"/>
    </xf>
    <xf numFmtId="17" fontId="8" fillId="0" borderId="1" xfId="1526" applyNumberFormat="1" applyFont="1" applyBorder="1" applyAlignment="1">
      <alignment horizontal="left"/>
    </xf>
    <xf numFmtId="0" fontId="8" fillId="0" borderId="0" xfId="1526" applyFont="1" applyAlignment="1">
      <alignment horizontal="center"/>
    </xf>
    <xf numFmtId="1" fontId="8" fillId="63" borderId="1" xfId="1527" applyNumberFormat="1" applyFont="1" applyFill="1" applyBorder="1" applyAlignment="1">
      <alignment horizontal="center"/>
    </xf>
    <xf numFmtId="17" fontId="8" fillId="0" borderId="0" xfId="1526" applyNumberFormat="1" applyFont="1" applyAlignment="1">
      <alignment horizontal="left"/>
    </xf>
    <xf numFmtId="1" fontId="8" fillId="64" borderId="1" xfId="1527" applyNumberFormat="1" applyFont="1" applyFill="1" applyBorder="1" applyAlignment="1">
      <alignment horizontal="center"/>
    </xf>
    <xf numFmtId="1" fontId="8" fillId="64" borderId="29" xfId="1527" applyNumberFormat="1" applyFont="1" applyFill="1" applyBorder="1" applyAlignment="1">
      <alignment horizontal="center"/>
    </xf>
    <xf numFmtId="1" fontId="8" fillId="0" borderId="0" xfId="1526" applyNumberFormat="1" applyFont="1" applyAlignment="1">
      <alignment horizontal="center"/>
    </xf>
    <xf numFmtId="0" fontId="74" fillId="0" borderId="0" xfId="1524"/>
    <xf numFmtId="0" fontId="40" fillId="0" borderId="0" xfId="1526" applyFont="1" applyAlignment="1">
      <alignment horizontal="center"/>
    </xf>
    <xf numFmtId="1" fontId="40" fillId="0" borderId="0" xfId="1526" applyNumberFormat="1" applyFont="1" applyAlignment="1">
      <alignment horizontal="center"/>
    </xf>
    <xf numFmtId="37" fontId="9" fillId="62" borderId="1" xfId="0" applyNumberFormat="1" applyFont="1" applyFill="1" applyBorder="1" applyAlignment="1">
      <alignment horizontal="center"/>
    </xf>
    <xf numFmtId="0" fontId="10" fillId="0" borderId="0" xfId="0" applyFont="1" applyAlignment="1">
      <alignment horizontal="center" vertical="center"/>
    </xf>
    <xf numFmtId="0" fontId="8" fillId="4" borderId="0" xfId="0" applyFont="1" applyFill="1" applyAlignment="1">
      <alignment horizontal="center"/>
    </xf>
    <xf numFmtId="37" fontId="9" fillId="65" borderId="1" xfId="0" applyNumberFormat="1" applyFont="1" applyFill="1" applyBorder="1" applyAlignment="1">
      <alignment horizontal="center"/>
    </xf>
    <xf numFmtId="0" fontId="8" fillId="65" borderId="0" xfId="0" quotePrefix="1" applyFont="1" applyFill="1" applyAlignment="1">
      <alignment horizontal="center"/>
    </xf>
    <xf numFmtId="0" fontId="8" fillId="4" borderId="0" xfId="0" applyFont="1" applyFill="1" applyAlignment="1">
      <alignment horizontal="left"/>
    </xf>
    <xf numFmtId="0" fontId="8" fillId="65" borderId="0" xfId="0" applyFont="1" applyFill="1" applyAlignment="1">
      <alignment horizontal="left"/>
    </xf>
    <xf numFmtId="0" fontId="0" fillId="0" borderId="1" xfId="0" applyBorder="1" applyAlignment="1">
      <alignment horizontal="center" vertical="center"/>
    </xf>
    <xf numFmtId="3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2" fontId="10" fillId="0" borderId="1" xfId="0" applyNumberFormat="1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80" fillId="0" borderId="0" xfId="0" applyFont="1"/>
    <xf numFmtId="3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right"/>
    </xf>
    <xf numFmtId="10" fontId="0" fillId="0" borderId="0" xfId="2" applyNumberFormat="1" applyFont="1" applyAlignment="1">
      <alignment horizontal="center" vertical="center"/>
    </xf>
    <xf numFmtId="12" fontId="9" fillId="0" borderId="1" xfId="0" applyNumberFormat="1" applyFont="1" applyBorder="1" applyAlignment="1">
      <alignment horizontal="center" vertical="center"/>
    </xf>
    <xf numFmtId="12" fontId="9" fillId="62" borderId="1" xfId="0" applyNumberFormat="1" applyFont="1" applyFill="1" applyBorder="1" applyAlignment="1">
      <alignment horizontal="center" vertical="center"/>
    </xf>
    <xf numFmtId="0" fontId="0" fillId="0" borderId="2" xfId="0" applyBorder="1"/>
    <xf numFmtId="0" fontId="13" fillId="0" borderId="3" xfId="0" applyFont="1" applyBorder="1" applyAlignment="1">
      <alignment horizontal="center"/>
    </xf>
    <xf numFmtId="0" fontId="13" fillId="0" borderId="3" xfId="0" applyFont="1" applyBorder="1" applyAlignment="1">
      <alignment horizontal="centerContinuous"/>
    </xf>
    <xf numFmtId="0" fontId="75" fillId="67" borderId="6" xfId="1524" applyFont="1" applyFill="1" applyBorder="1" applyAlignment="1">
      <alignment horizontal="center" vertical="center" wrapText="1"/>
    </xf>
    <xf numFmtId="1" fontId="8" fillId="62" borderId="1" xfId="736" applyNumberFormat="1" applyFont="1" applyFill="1" applyBorder="1" applyAlignment="1">
      <alignment horizontal="center"/>
    </xf>
    <xf numFmtId="1" fontId="8" fillId="62" borderId="1" xfId="736" applyNumberFormat="1" applyFont="1" applyFill="1" applyBorder="1" applyAlignment="1">
      <alignment horizontal="center" wrapText="1"/>
    </xf>
    <xf numFmtId="0" fontId="11" fillId="68" borderId="1" xfId="736" applyFont="1" applyFill="1" applyBorder="1" applyAlignment="1">
      <alignment horizontal="center"/>
    </xf>
    <xf numFmtId="0" fontId="75" fillId="39" borderId="6" xfId="1524" applyFont="1" applyFill="1" applyBorder="1" applyAlignment="1">
      <alignment horizontal="center" vertical="center" wrapText="1"/>
    </xf>
    <xf numFmtId="0" fontId="75" fillId="67" borderId="30" xfId="1524" applyFont="1" applyFill="1" applyBorder="1" applyAlignment="1">
      <alignment horizontal="center" vertical="center" wrapText="1"/>
    </xf>
    <xf numFmtId="1" fontId="75" fillId="67" borderId="31" xfId="1524" applyNumberFormat="1" applyFont="1" applyFill="1" applyBorder="1" applyAlignment="1">
      <alignment horizontal="center" vertical="center" wrapText="1"/>
    </xf>
    <xf numFmtId="0" fontId="75" fillId="67" borderId="26" xfId="1524" applyFont="1" applyFill="1" applyBorder="1" applyAlignment="1">
      <alignment horizontal="center" vertical="center" wrapText="1"/>
    </xf>
    <xf numFmtId="1" fontId="75" fillId="67" borderId="27" xfId="1524" applyNumberFormat="1" applyFont="1" applyFill="1" applyBorder="1" applyAlignment="1">
      <alignment horizontal="center" vertical="center" wrapText="1"/>
    </xf>
    <xf numFmtId="0" fontId="75" fillId="67" borderId="28" xfId="1524" applyFont="1" applyFill="1" applyBorder="1" applyAlignment="1">
      <alignment horizontal="center" vertical="center" wrapText="1"/>
    </xf>
    <xf numFmtId="0" fontId="75" fillId="67" borderId="27" xfId="1524" applyFont="1" applyFill="1" applyBorder="1" applyAlignment="1">
      <alignment horizontal="center" vertical="center" wrapText="1"/>
    </xf>
    <xf numFmtId="0" fontId="75" fillId="67" borderId="29" xfId="1524" applyFont="1" applyFill="1" applyBorder="1" applyAlignment="1">
      <alignment horizontal="center" vertical="center" wrapText="1"/>
    </xf>
    <xf numFmtId="168" fontId="8" fillId="63" borderId="36" xfId="1" applyNumberFormat="1" applyFont="1" applyFill="1" applyBorder="1" applyAlignment="1">
      <alignment horizontal="center"/>
    </xf>
    <xf numFmtId="168" fontId="8" fillId="64" borderId="36" xfId="1" applyNumberFormat="1" applyFont="1" applyFill="1" applyBorder="1" applyAlignment="1">
      <alignment horizontal="center"/>
    </xf>
    <xf numFmtId="168" fontId="8" fillId="0" borderId="0" xfId="1526" applyNumberFormat="1" applyFont="1" applyAlignment="1">
      <alignment horizontal="center"/>
    </xf>
    <xf numFmtId="168" fontId="0" fillId="0" borderId="0" xfId="0" applyNumberFormat="1"/>
    <xf numFmtId="0" fontId="10" fillId="0" borderId="4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167" fontId="8" fillId="0" borderId="0" xfId="0" applyNumberFormat="1" applyFont="1" applyAlignment="1">
      <alignment horizontal="center"/>
    </xf>
    <xf numFmtId="37" fontId="8" fillId="0" borderId="0" xfId="0" applyNumberFormat="1" applyFont="1" applyAlignment="1">
      <alignment horizontal="center"/>
    </xf>
    <xf numFmtId="10" fontId="0" fillId="0" borderId="0" xfId="2" applyNumberFormat="1" applyFont="1" applyFill="1" applyBorder="1" applyAlignment="1"/>
    <xf numFmtId="172" fontId="0" fillId="0" borderId="0" xfId="1" applyNumberFormat="1" applyFont="1" applyFill="1" applyBorder="1" applyAlignment="1"/>
    <xf numFmtId="166" fontId="0" fillId="0" borderId="0" xfId="1" applyFont="1" applyFill="1" applyBorder="1" applyAlignment="1"/>
    <xf numFmtId="166" fontId="0" fillId="0" borderId="2" xfId="1" applyFont="1" applyFill="1" applyBorder="1" applyAlignment="1"/>
    <xf numFmtId="172" fontId="0" fillId="0" borderId="2" xfId="1" applyNumberFormat="1" applyFont="1" applyFill="1" applyBorder="1" applyAlignment="1"/>
    <xf numFmtId="168" fontId="8" fillId="0" borderId="0" xfId="1526" applyNumberFormat="1" applyFont="1"/>
    <xf numFmtId="168" fontId="8" fillId="0" borderId="0" xfId="736" applyNumberFormat="1" applyFont="1" applyAlignment="1">
      <alignment horizontal="center"/>
    </xf>
    <xf numFmtId="3" fontId="8" fillId="3" borderId="0" xfId="0" applyNumberFormat="1" applyFont="1" applyFill="1" applyAlignment="1">
      <alignment horizontal="center"/>
    </xf>
    <xf numFmtId="37" fontId="0" fillId="0" borderId="0" xfId="0" applyNumberFormat="1"/>
    <xf numFmtId="3" fontId="8" fillId="0" borderId="41" xfId="0" applyNumberFormat="1" applyFont="1" applyBorder="1" applyAlignment="1">
      <alignment horizontal="center" vertical="center"/>
    </xf>
    <xf numFmtId="0" fontId="8" fillId="0" borderId="41" xfId="0" applyFont="1" applyBorder="1" applyAlignment="1">
      <alignment horizontal="right"/>
    </xf>
    <xf numFmtId="0" fontId="82" fillId="0" borderId="0" xfId="0" applyFont="1"/>
    <xf numFmtId="0" fontId="83" fillId="0" borderId="0" xfId="0" applyFont="1"/>
    <xf numFmtId="0" fontId="14" fillId="0" borderId="0" xfId="0" applyFont="1"/>
    <xf numFmtId="0" fontId="75" fillId="0" borderId="35" xfId="0" applyFont="1" applyBorder="1" applyAlignment="1">
      <alignment horizontal="right"/>
    </xf>
    <xf numFmtId="0" fontId="75" fillId="2" borderId="0" xfId="0" applyFont="1" applyFill="1"/>
    <xf numFmtId="0" fontId="14" fillId="0" borderId="0" xfId="0" applyFont="1" applyAlignment="1">
      <alignment horizontal="right"/>
    </xf>
    <xf numFmtId="166" fontId="14" fillId="0" borderId="0" xfId="0" applyNumberFormat="1" applyFont="1" applyAlignment="1">
      <alignment horizontal="right"/>
    </xf>
    <xf numFmtId="2" fontId="14" fillId="2" borderId="0" xfId="0" applyNumberFormat="1" applyFont="1" applyFill="1"/>
    <xf numFmtId="0" fontId="0" fillId="2" borderId="0" xfId="0" applyFill="1"/>
    <xf numFmtId="167" fontId="0" fillId="0" borderId="0" xfId="0" applyNumberFormat="1"/>
    <xf numFmtId="169" fontId="0" fillId="0" borderId="0" xfId="0" applyNumberFormat="1"/>
    <xf numFmtId="174" fontId="0" fillId="0" borderId="0" xfId="0" applyNumberFormat="1" applyAlignment="1">
      <alignment horizontal="center"/>
    </xf>
    <xf numFmtId="180" fontId="0" fillId="0" borderId="0" xfId="0" applyNumberFormat="1"/>
    <xf numFmtId="3" fontId="0" fillId="4" borderId="1" xfId="0" applyNumberFormat="1" applyFill="1" applyBorder="1" applyAlignment="1">
      <alignment horizontal="center"/>
    </xf>
    <xf numFmtId="17" fontId="0" fillId="0" borderId="0" xfId="0" applyNumberFormat="1" applyAlignment="1">
      <alignment horizontal="right"/>
    </xf>
    <xf numFmtId="0" fontId="0" fillId="39" borderId="0" xfId="0" applyFill="1"/>
    <xf numFmtId="0" fontId="75" fillId="67" borderId="38" xfId="1524" applyFont="1" applyFill="1" applyBorder="1" applyAlignment="1">
      <alignment horizontal="center" vertical="center" wrapText="1"/>
    </xf>
    <xf numFmtId="0" fontId="75" fillId="67" borderId="35" xfId="1524" applyFont="1" applyFill="1" applyBorder="1" applyAlignment="1">
      <alignment horizontal="center" vertical="center" wrapText="1"/>
    </xf>
    <xf numFmtId="0" fontId="75" fillId="67" borderId="37" xfId="1524" applyFont="1" applyFill="1" applyBorder="1" applyAlignment="1">
      <alignment horizontal="center" vertical="center" wrapText="1"/>
    </xf>
    <xf numFmtId="0" fontId="81" fillId="66" borderId="39" xfId="1524" applyFont="1" applyFill="1" applyBorder="1" applyAlignment="1">
      <alignment horizontal="center" vertical="center"/>
    </xf>
    <xf numFmtId="0" fontId="81" fillId="66" borderId="0" xfId="1524" applyFont="1" applyFill="1" applyAlignment="1">
      <alignment horizontal="center" vertical="center"/>
    </xf>
    <xf numFmtId="0" fontId="81" fillId="66" borderId="40" xfId="1524" applyFont="1" applyFill="1" applyBorder="1" applyAlignment="1">
      <alignment horizontal="center" vertical="center" wrapText="1"/>
    </xf>
    <xf numFmtId="0" fontId="81" fillId="66" borderId="4" xfId="1524" applyFont="1" applyFill="1" applyBorder="1" applyAlignment="1">
      <alignment horizontal="center" vertical="center" wrapText="1"/>
    </xf>
    <xf numFmtId="0" fontId="81" fillId="66" borderId="5" xfId="1524" applyFont="1" applyFill="1" applyBorder="1" applyAlignment="1">
      <alignment horizontal="center" vertical="center" wrapText="1"/>
    </xf>
    <xf numFmtId="0" fontId="81" fillId="66" borderId="1" xfId="1524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wrapText="1"/>
    </xf>
    <xf numFmtId="3" fontId="8" fillId="0" borderId="1" xfId="0" applyNumberFormat="1" applyFont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</cellXfs>
  <cellStyles count="1534">
    <cellStyle name="$" xfId="14" xr:uid="{00000000-0005-0000-0000-000000000000}"/>
    <cellStyle name="$.00" xfId="15" xr:uid="{00000000-0005-0000-0000-000001000000}"/>
    <cellStyle name="$_9. Rev2Cost_GDPIPI" xfId="16" xr:uid="{00000000-0005-0000-0000-000002000000}"/>
    <cellStyle name="$_lists" xfId="17" xr:uid="{00000000-0005-0000-0000-000003000000}"/>
    <cellStyle name="$_lists_4. Current Monthly Fixed Charge" xfId="18" xr:uid="{00000000-0005-0000-0000-000004000000}"/>
    <cellStyle name="$_Sheet4" xfId="19" xr:uid="{00000000-0005-0000-0000-000005000000}"/>
    <cellStyle name="$M" xfId="20" xr:uid="{00000000-0005-0000-0000-000006000000}"/>
    <cellStyle name="$M.00" xfId="21" xr:uid="{00000000-0005-0000-0000-000007000000}"/>
    <cellStyle name="$M_9. Rev2Cost_GDPIPI" xfId="22" xr:uid="{00000000-0005-0000-0000-000008000000}"/>
    <cellStyle name="20% - Accent1 10" xfId="104" xr:uid="{00000000-0005-0000-0000-000009000000}"/>
    <cellStyle name="20% - Accent1 11" xfId="105" xr:uid="{00000000-0005-0000-0000-00000A000000}"/>
    <cellStyle name="20% - Accent1 12" xfId="106" xr:uid="{00000000-0005-0000-0000-00000B000000}"/>
    <cellStyle name="20% - Accent1 13" xfId="107" xr:uid="{00000000-0005-0000-0000-00000C000000}"/>
    <cellStyle name="20% - Accent1 14" xfId="108" xr:uid="{00000000-0005-0000-0000-00000D000000}"/>
    <cellStyle name="20% - Accent1 15" xfId="109" xr:uid="{00000000-0005-0000-0000-00000E000000}"/>
    <cellStyle name="20% - Accent1 16" xfId="769" xr:uid="{00000000-0005-0000-0000-00000F000000}"/>
    <cellStyle name="20% - Accent1 2" xfId="23" xr:uid="{00000000-0005-0000-0000-000010000000}"/>
    <cellStyle name="20% - Accent1 2 2" xfId="815" xr:uid="{00000000-0005-0000-0000-000011000000}"/>
    <cellStyle name="20% - Accent1 2 3" xfId="110" xr:uid="{00000000-0005-0000-0000-000012000000}"/>
    <cellStyle name="20% - Accent1 3" xfId="111" xr:uid="{00000000-0005-0000-0000-000013000000}"/>
    <cellStyle name="20% - Accent1 4" xfId="112" xr:uid="{00000000-0005-0000-0000-000014000000}"/>
    <cellStyle name="20% - Accent1 5" xfId="113" xr:uid="{00000000-0005-0000-0000-000015000000}"/>
    <cellStyle name="20% - Accent1 6" xfId="114" xr:uid="{00000000-0005-0000-0000-000016000000}"/>
    <cellStyle name="20% - Accent1 7" xfId="115" xr:uid="{00000000-0005-0000-0000-000017000000}"/>
    <cellStyle name="20% - Accent1 8" xfId="116" xr:uid="{00000000-0005-0000-0000-000018000000}"/>
    <cellStyle name="20% - Accent1 9" xfId="117" xr:uid="{00000000-0005-0000-0000-000019000000}"/>
    <cellStyle name="20% - Accent2 10" xfId="118" xr:uid="{00000000-0005-0000-0000-00001A000000}"/>
    <cellStyle name="20% - Accent2 11" xfId="119" xr:uid="{00000000-0005-0000-0000-00001B000000}"/>
    <cellStyle name="20% - Accent2 12" xfId="120" xr:uid="{00000000-0005-0000-0000-00001C000000}"/>
    <cellStyle name="20% - Accent2 13" xfId="121" xr:uid="{00000000-0005-0000-0000-00001D000000}"/>
    <cellStyle name="20% - Accent2 14" xfId="122" xr:uid="{00000000-0005-0000-0000-00001E000000}"/>
    <cellStyle name="20% - Accent2 15" xfId="123" xr:uid="{00000000-0005-0000-0000-00001F000000}"/>
    <cellStyle name="20% - Accent2 16" xfId="770" xr:uid="{00000000-0005-0000-0000-000020000000}"/>
    <cellStyle name="20% - Accent2 2" xfId="24" xr:uid="{00000000-0005-0000-0000-000021000000}"/>
    <cellStyle name="20% - Accent2 2 2" xfId="819" xr:uid="{00000000-0005-0000-0000-000022000000}"/>
    <cellStyle name="20% - Accent2 2 3" xfId="124" xr:uid="{00000000-0005-0000-0000-000023000000}"/>
    <cellStyle name="20% - Accent2 3" xfId="125" xr:uid="{00000000-0005-0000-0000-000024000000}"/>
    <cellStyle name="20% - Accent2 4" xfId="126" xr:uid="{00000000-0005-0000-0000-000025000000}"/>
    <cellStyle name="20% - Accent2 5" xfId="127" xr:uid="{00000000-0005-0000-0000-000026000000}"/>
    <cellStyle name="20% - Accent2 6" xfId="128" xr:uid="{00000000-0005-0000-0000-000027000000}"/>
    <cellStyle name="20% - Accent2 7" xfId="129" xr:uid="{00000000-0005-0000-0000-000028000000}"/>
    <cellStyle name="20% - Accent2 8" xfId="130" xr:uid="{00000000-0005-0000-0000-000029000000}"/>
    <cellStyle name="20% - Accent2 9" xfId="131" xr:uid="{00000000-0005-0000-0000-00002A000000}"/>
    <cellStyle name="20% - Accent3 10" xfId="132" xr:uid="{00000000-0005-0000-0000-00002B000000}"/>
    <cellStyle name="20% - Accent3 11" xfId="133" xr:uid="{00000000-0005-0000-0000-00002C000000}"/>
    <cellStyle name="20% - Accent3 12" xfId="134" xr:uid="{00000000-0005-0000-0000-00002D000000}"/>
    <cellStyle name="20% - Accent3 13" xfId="135" xr:uid="{00000000-0005-0000-0000-00002E000000}"/>
    <cellStyle name="20% - Accent3 14" xfId="136" xr:uid="{00000000-0005-0000-0000-00002F000000}"/>
    <cellStyle name="20% - Accent3 15" xfId="137" xr:uid="{00000000-0005-0000-0000-000030000000}"/>
    <cellStyle name="20% - Accent3 16" xfId="771" xr:uid="{00000000-0005-0000-0000-000031000000}"/>
    <cellStyle name="20% - Accent3 2" xfId="25" xr:uid="{00000000-0005-0000-0000-000032000000}"/>
    <cellStyle name="20% - Accent3 2 2" xfId="823" xr:uid="{00000000-0005-0000-0000-000033000000}"/>
    <cellStyle name="20% - Accent3 2 3" xfId="138" xr:uid="{00000000-0005-0000-0000-000034000000}"/>
    <cellStyle name="20% - Accent3 3" xfId="139" xr:uid="{00000000-0005-0000-0000-000035000000}"/>
    <cellStyle name="20% - Accent3 4" xfId="140" xr:uid="{00000000-0005-0000-0000-000036000000}"/>
    <cellStyle name="20% - Accent3 5" xfId="141" xr:uid="{00000000-0005-0000-0000-000037000000}"/>
    <cellStyle name="20% - Accent3 6" xfId="142" xr:uid="{00000000-0005-0000-0000-000038000000}"/>
    <cellStyle name="20% - Accent3 7" xfId="143" xr:uid="{00000000-0005-0000-0000-000039000000}"/>
    <cellStyle name="20% - Accent3 8" xfId="144" xr:uid="{00000000-0005-0000-0000-00003A000000}"/>
    <cellStyle name="20% - Accent3 9" xfId="145" xr:uid="{00000000-0005-0000-0000-00003B000000}"/>
    <cellStyle name="20% - Accent4 10" xfId="146" xr:uid="{00000000-0005-0000-0000-00003C000000}"/>
    <cellStyle name="20% - Accent4 11" xfId="147" xr:uid="{00000000-0005-0000-0000-00003D000000}"/>
    <cellStyle name="20% - Accent4 12" xfId="148" xr:uid="{00000000-0005-0000-0000-00003E000000}"/>
    <cellStyle name="20% - Accent4 13" xfId="149" xr:uid="{00000000-0005-0000-0000-00003F000000}"/>
    <cellStyle name="20% - Accent4 14" xfId="150" xr:uid="{00000000-0005-0000-0000-000040000000}"/>
    <cellStyle name="20% - Accent4 15" xfId="151" xr:uid="{00000000-0005-0000-0000-000041000000}"/>
    <cellStyle name="20% - Accent4 16" xfId="772" xr:uid="{00000000-0005-0000-0000-000042000000}"/>
    <cellStyle name="20% - Accent4 2" xfId="26" xr:uid="{00000000-0005-0000-0000-000043000000}"/>
    <cellStyle name="20% - Accent4 2 2" xfId="827" xr:uid="{00000000-0005-0000-0000-000044000000}"/>
    <cellStyle name="20% - Accent4 2 3" xfId="152" xr:uid="{00000000-0005-0000-0000-000045000000}"/>
    <cellStyle name="20% - Accent4 3" xfId="153" xr:uid="{00000000-0005-0000-0000-000046000000}"/>
    <cellStyle name="20% - Accent4 4" xfId="154" xr:uid="{00000000-0005-0000-0000-000047000000}"/>
    <cellStyle name="20% - Accent4 5" xfId="155" xr:uid="{00000000-0005-0000-0000-000048000000}"/>
    <cellStyle name="20% - Accent4 6" xfId="156" xr:uid="{00000000-0005-0000-0000-000049000000}"/>
    <cellStyle name="20% - Accent4 7" xfId="157" xr:uid="{00000000-0005-0000-0000-00004A000000}"/>
    <cellStyle name="20% - Accent4 8" xfId="158" xr:uid="{00000000-0005-0000-0000-00004B000000}"/>
    <cellStyle name="20% - Accent4 9" xfId="159" xr:uid="{00000000-0005-0000-0000-00004C000000}"/>
    <cellStyle name="20% - Accent5 10" xfId="160" xr:uid="{00000000-0005-0000-0000-00004D000000}"/>
    <cellStyle name="20% - Accent5 11" xfId="161" xr:uid="{00000000-0005-0000-0000-00004E000000}"/>
    <cellStyle name="20% - Accent5 12" xfId="162" xr:uid="{00000000-0005-0000-0000-00004F000000}"/>
    <cellStyle name="20% - Accent5 13" xfId="163" xr:uid="{00000000-0005-0000-0000-000050000000}"/>
    <cellStyle name="20% - Accent5 14" xfId="164" xr:uid="{00000000-0005-0000-0000-000051000000}"/>
    <cellStyle name="20% - Accent5 15" xfId="165" xr:uid="{00000000-0005-0000-0000-000052000000}"/>
    <cellStyle name="20% - Accent5 16" xfId="773" xr:uid="{00000000-0005-0000-0000-000053000000}"/>
    <cellStyle name="20% - Accent5 2" xfId="27" xr:uid="{00000000-0005-0000-0000-000054000000}"/>
    <cellStyle name="20% - Accent5 2 2" xfId="831" xr:uid="{00000000-0005-0000-0000-000055000000}"/>
    <cellStyle name="20% - Accent5 2 3" xfId="166" xr:uid="{00000000-0005-0000-0000-000056000000}"/>
    <cellStyle name="20% - Accent5 3" xfId="167" xr:uid="{00000000-0005-0000-0000-000057000000}"/>
    <cellStyle name="20% - Accent5 4" xfId="168" xr:uid="{00000000-0005-0000-0000-000058000000}"/>
    <cellStyle name="20% - Accent5 5" xfId="169" xr:uid="{00000000-0005-0000-0000-000059000000}"/>
    <cellStyle name="20% - Accent5 6" xfId="170" xr:uid="{00000000-0005-0000-0000-00005A000000}"/>
    <cellStyle name="20% - Accent5 7" xfId="171" xr:uid="{00000000-0005-0000-0000-00005B000000}"/>
    <cellStyle name="20% - Accent5 8" xfId="172" xr:uid="{00000000-0005-0000-0000-00005C000000}"/>
    <cellStyle name="20% - Accent5 9" xfId="173" xr:uid="{00000000-0005-0000-0000-00005D000000}"/>
    <cellStyle name="20% - Accent6 10" xfId="174" xr:uid="{00000000-0005-0000-0000-00005E000000}"/>
    <cellStyle name="20% - Accent6 11" xfId="175" xr:uid="{00000000-0005-0000-0000-00005F000000}"/>
    <cellStyle name="20% - Accent6 12" xfId="176" xr:uid="{00000000-0005-0000-0000-000060000000}"/>
    <cellStyle name="20% - Accent6 13" xfId="177" xr:uid="{00000000-0005-0000-0000-000061000000}"/>
    <cellStyle name="20% - Accent6 14" xfId="178" xr:uid="{00000000-0005-0000-0000-000062000000}"/>
    <cellStyle name="20% - Accent6 15" xfId="179" xr:uid="{00000000-0005-0000-0000-000063000000}"/>
    <cellStyle name="20% - Accent6 16" xfId="774" xr:uid="{00000000-0005-0000-0000-000064000000}"/>
    <cellStyle name="20% - Accent6 2" xfId="28" xr:uid="{00000000-0005-0000-0000-000065000000}"/>
    <cellStyle name="20% - Accent6 2 2" xfId="835" xr:uid="{00000000-0005-0000-0000-000066000000}"/>
    <cellStyle name="20% - Accent6 2 3" xfId="180" xr:uid="{00000000-0005-0000-0000-000067000000}"/>
    <cellStyle name="20% - Accent6 3" xfId="181" xr:uid="{00000000-0005-0000-0000-000068000000}"/>
    <cellStyle name="20% - Accent6 4" xfId="182" xr:uid="{00000000-0005-0000-0000-000069000000}"/>
    <cellStyle name="20% - Accent6 5" xfId="183" xr:uid="{00000000-0005-0000-0000-00006A000000}"/>
    <cellStyle name="20% - Accent6 6" xfId="184" xr:uid="{00000000-0005-0000-0000-00006B000000}"/>
    <cellStyle name="20% - Accent6 7" xfId="185" xr:uid="{00000000-0005-0000-0000-00006C000000}"/>
    <cellStyle name="20% - Accent6 8" xfId="186" xr:uid="{00000000-0005-0000-0000-00006D000000}"/>
    <cellStyle name="20% - Accent6 9" xfId="187" xr:uid="{00000000-0005-0000-0000-00006E000000}"/>
    <cellStyle name="40% - Accent1 10" xfId="188" xr:uid="{00000000-0005-0000-0000-00006F000000}"/>
    <cellStyle name="40% - Accent1 11" xfId="189" xr:uid="{00000000-0005-0000-0000-000070000000}"/>
    <cellStyle name="40% - Accent1 12" xfId="190" xr:uid="{00000000-0005-0000-0000-000071000000}"/>
    <cellStyle name="40% - Accent1 13" xfId="191" xr:uid="{00000000-0005-0000-0000-000072000000}"/>
    <cellStyle name="40% - Accent1 14" xfId="192" xr:uid="{00000000-0005-0000-0000-000073000000}"/>
    <cellStyle name="40% - Accent1 15" xfId="193" xr:uid="{00000000-0005-0000-0000-000074000000}"/>
    <cellStyle name="40% - Accent1 16" xfId="775" xr:uid="{00000000-0005-0000-0000-000075000000}"/>
    <cellStyle name="40% - Accent1 2" xfId="29" xr:uid="{00000000-0005-0000-0000-000076000000}"/>
    <cellStyle name="40% - Accent1 2 2" xfId="816" xr:uid="{00000000-0005-0000-0000-000077000000}"/>
    <cellStyle name="40% - Accent1 2 3" xfId="194" xr:uid="{00000000-0005-0000-0000-000078000000}"/>
    <cellStyle name="40% - Accent1 3" xfId="195" xr:uid="{00000000-0005-0000-0000-000079000000}"/>
    <cellStyle name="40% - Accent1 4" xfId="196" xr:uid="{00000000-0005-0000-0000-00007A000000}"/>
    <cellStyle name="40% - Accent1 5" xfId="197" xr:uid="{00000000-0005-0000-0000-00007B000000}"/>
    <cellStyle name="40% - Accent1 6" xfId="198" xr:uid="{00000000-0005-0000-0000-00007C000000}"/>
    <cellStyle name="40% - Accent1 7" xfId="199" xr:uid="{00000000-0005-0000-0000-00007D000000}"/>
    <cellStyle name="40% - Accent1 8" xfId="200" xr:uid="{00000000-0005-0000-0000-00007E000000}"/>
    <cellStyle name="40% - Accent1 9" xfId="201" xr:uid="{00000000-0005-0000-0000-00007F000000}"/>
    <cellStyle name="40% - Accent2 10" xfId="202" xr:uid="{00000000-0005-0000-0000-000080000000}"/>
    <cellStyle name="40% - Accent2 11" xfId="203" xr:uid="{00000000-0005-0000-0000-000081000000}"/>
    <cellStyle name="40% - Accent2 12" xfId="204" xr:uid="{00000000-0005-0000-0000-000082000000}"/>
    <cellStyle name="40% - Accent2 13" xfId="205" xr:uid="{00000000-0005-0000-0000-000083000000}"/>
    <cellStyle name="40% - Accent2 14" xfId="206" xr:uid="{00000000-0005-0000-0000-000084000000}"/>
    <cellStyle name="40% - Accent2 15" xfId="207" xr:uid="{00000000-0005-0000-0000-000085000000}"/>
    <cellStyle name="40% - Accent2 16" xfId="776" xr:uid="{00000000-0005-0000-0000-000086000000}"/>
    <cellStyle name="40% - Accent2 2" xfId="30" xr:uid="{00000000-0005-0000-0000-000087000000}"/>
    <cellStyle name="40% - Accent2 2 2" xfId="820" xr:uid="{00000000-0005-0000-0000-000088000000}"/>
    <cellStyle name="40% - Accent2 2 3" xfId="208" xr:uid="{00000000-0005-0000-0000-000089000000}"/>
    <cellStyle name="40% - Accent2 3" xfId="209" xr:uid="{00000000-0005-0000-0000-00008A000000}"/>
    <cellStyle name="40% - Accent2 4" xfId="210" xr:uid="{00000000-0005-0000-0000-00008B000000}"/>
    <cellStyle name="40% - Accent2 5" xfId="211" xr:uid="{00000000-0005-0000-0000-00008C000000}"/>
    <cellStyle name="40% - Accent2 6" xfId="212" xr:uid="{00000000-0005-0000-0000-00008D000000}"/>
    <cellStyle name="40% - Accent2 7" xfId="213" xr:uid="{00000000-0005-0000-0000-00008E000000}"/>
    <cellStyle name="40% - Accent2 8" xfId="214" xr:uid="{00000000-0005-0000-0000-00008F000000}"/>
    <cellStyle name="40% - Accent2 9" xfId="215" xr:uid="{00000000-0005-0000-0000-000090000000}"/>
    <cellStyle name="40% - Accent3 10" xfId="216" xr:uid="{00000000-0005-0000-0000-000091000000}"/>
    <cellStyle name="40% - Accent3 11" xfId="217" xr:uid="{00000000-0005-0000-0000-000092000000}"/>
    <cellStyle name="40% - Accent3 12" xfId="218" xr:uid="{00000000-0005-0000-0000-000093000000}"/>
    <cellStyle name="40% - Accent3 13" xfId="219" xr:uid="{00000000-0005-0000-0000-000094000000}"/>
    <cellStyle name="40% - Accent3 14" xfId="220" xr:uid="{00000000-0005-0000-0000-000095000000}"/>
    <cellStyle name="40% - Accent3 15" xfId="221" xr:uid="{00000000-0005-0000-0000-000096000000}"/>
    <cellStyle name="40% - Accent3 16" xfId="777" xr:uid="{00000000-0005-0000-0000-000097000000}"/>
    <cellStyle name="40% - Accent3 2" xfId="31" xr:uid="{00000000-0005-0000-0000-000098000000}"/>
    <cellStyle name="40% - Accent3 2 2" xfId="824" xr:uid="{00000000-0005-0000-0000-000099000000}"/>
    <cellStyle name="40% - Accent3 2 3" xfId="222" xr:uid="{00000000-0005-0000-0000-00009A000000}"/>
    <cellStyle name="40% - Accent3 3" xfId="223" xr:uid="{00000000-0005-0000-0000-00009B000000}"/>
    <cellStyle name="40% - Accent3 4" xfId="224" xr:uid="{00000000-0005-0000-0000-00009C000000}"/>
    <cellStyle name="40% - Accent3 5" xfId="225" xr:uid="{00000000-0005-0000-0000-00009D000000}"/>
    <cellStyle name="40% - Accent3 6" xfId="226" xr:uid="{00000000-0005-0000-0000-00009E000000}"/>
    <cellStyle name="40% - Accent3 7" xfId="227" xr:uid="{00000000-0005-0000-0000-00009F000000}"/>
    <cellStyle name="40% - Accent3 8" xfId="228" xr:uid="{00000000-0005-0000-0000-0000A0000000}"/>
    <cellStyle name="40% - Accent3 9" xfId="229" xr:uid="{00000000-0005-0000-0000-0000A1000000}"/>
    <cellStyle name="40% - Accent4 10" xfId="230" xr:uid="{00000000-0005-0000-0000-0000A2000000}"/>
    <cellStyle name="40% - Accent4 11" xfId="231" xr:uid="{00000000-0005-0000-0000-0000A3000000}"/>
    <cellStyle name="40% - Accent4 12" xfId="232" xr:uid="{00000000-0005-0000-0000-0000A4000000}"/>
    <cellStyle name="40% - Accent4 13" xfId="233" xr:uid="{00000000-0005-0000-0000-0000A5000000}"/>
    <cellStyle name="40% - Accent4 14" xfId="234" xr:uid="{00000000-0005-0000-0000-0000A6000000}"/>
    <cellStyle name="40% - Accent4 15" xfId="235" xr:uid="{00000000-0005-0000-0000-0000A7000000}"/>
    <cellStyle name="40% - Accent4 16" xfId="778" xr:uid="{00000000-0005-0000-0000-0000A8000000}"/>
    <cellStyle name="40% - Accent4 2" xfId="32" xr:uid="{00000000-0005-0000-0000-0000A9000000}"/>
    <cellStyle name="40% - Accent4 2 2" xfId="828" xr:uid="{00000000-0005-0000-0000-0000AA000000}"/>
    <cellStyle name="40% - Accent4 2 3" xfId="236" xr:uid="{00000000-0005-0000-0000-0000AB000000}"/>
    <cellStyle name="40% - Accent4 3" xfId="237" xr:uid="{00000000-0005-0000-0000-0000AC000000}"/>
    <cellStyle name="40% - Accent4 4" xfId="238" xr:uid="{00000000-0005-0000-0000-0000AD000000}"/>
    <cellStyle name="40% - Accent4 5" xfId="239" xr:uid="{00000000-0005-0000-0000-0000AE000000}"/>
    <cellStyle name="40% - Accent4 6" xfId="240" xr:uid="{00000000-0005-0000-0000-0000AF000000}"/>
    <cellStyle name="40% - Accent4 7" xfId="241" xr:uid="{00000000-0005-0000-0000-0000B0000000}"/>
    <cellStyle name="40% - Accent4 8" xfId="242" xr:uid="{00000000-0005-0000-0000-0000B1000000}"/>
    <cellStyle name="40% - Accent4 9" xfId="243" xr:uid="{00000000-0005-0000-0000-0000B2000000}"/>
    <cellStyle name="40% - Accent5 10" xfId="244" xr:uid="{00000000-0005-0000-0000-0000B3000000}"/>
    <cellStyle name="40% - Accent5 11" xfId="245" xr:uid="{00000000-0005-0000-0000-0000B4000000}"/>
    <cellStyle name="40% - Accent5 12" xfId="246" xr:uid="{00000000-0005-0000-0000-0000B5000000}"/>
    <cellStyle name="40% - Accent5 13" xfId="247" xr:uid="{00000000-0005-0000-0000-0000B6000000}"/>
    <cellStyle name="40% - Accent5 14" xfId="248" xr:uid="{00000000-0005-0000-0000-0000B7000000}"/>
    <cellStyle name="40% - Accent5 15" xfId="249" xr:uid="{00000000-0005-0000-0000-0000B8000000}"/>
    <cellStyle name="40% - Accent5 16" xfId="779" xr:uid="{00000000-0005-0000-0000-0000B9000000}"/>
    <cellStyle name="40% - Accent5 2" xfId="33" xr:uid="{00000000-0005-0000-0000-0000BA000000}"/>
    <cellStyle name="40% - Accent5 2 2" xfId="832" xr:uid="{00000000-0005-0000-0000-0000BB000000}"/>
    <cellStyle name="40% - Accent5 2 3" xfId="250" xr:uid="{00000000-0005-0000-0000-0000BC000000}"/>
    <cellStyle name="40% - Accent5 3" xfId="251" xr:uid="{00000000-0005-0000-0000-0000BD000000}"/>
    <cellStyle name="40% - Accent5 4" xfId="252" xr:uid="{00000000-0005-0000-0000-0000BE000000}"/>
    <cellStyle name="40% - Accent5 5" xfId="253" xr:uid="{00000000-0005-0000-0000-0000BF000000}"/>
    <cellStyle name="40% - Accent5 6" xfId="254" xr:uid="{00000000-0005-0000-0000-0000C0000000}"/>
    <cellStyle name="40% - Accent5 7" xfId="255" xr:uid="{00000000-0005-0000-0000-0000C1000000}"/>
    <cellStyle name="40% - Accent5 8" xfId="256" xr:uid="{00000000-0005-0000-0000-0000C2000000}"/>
    <cellStyle name="40% - Accent5 9" xfId="257" xr:uid="{00000000-0005-0000-0000-0000C3000000}"/>
    <cellStyle name="40% - Accent6 10" xfId="258" xr:uid="{00000000-0005-0000-0000-0000C4000000}"/>
    <cellStyle name="40% - Accent6 11" xfId="259" xr:uid="{00000000-0005-0000-0000-0000C5000000}"/>
    <cellStyle name="40% - Accent6 12" xfId="260" xr:uid="{00000000-0005-0000-0000-0000C6000000}"/>
    <cellStyle name="40% - Accent6 13" xfId="261" xr:uid="{00000000-0005-0000-0000-0000C7000000}"/>
    <cellStyle name="40% - Accent6 14" xfId="262" xr:uid="{00000000-0005-0000-0000-0000C8000000}"/>
    <cellStyle name="40% - Accent6 15" xfId="263" xr:uid="{00000000-0005-0000-0000-0000C9000000}"/>
    <cellStyle name="40% - Accent6 16" xfId="780" xr:uid="{00000000-0005-0000-0000-0000CA000000}"/>
    <cellStyle name="40% - Accent6 2" xfId="34" xr:uid="{00000000-0005-0000-0000-0000CB000000}"/>
    <cellStyle name="40% - Accent6 2 2" xfId="836" xr:uid="{00000000-0005-0000-0000-0000CC000000}"/>
    <cellStyle name="40% - Accent6 2 3" xfId="264" xr:uid="{00000000-0005-0000-0000-0000CD000000}"/>
    <cellStyle name="40% - Accent6 3" xfId="265" xr:uid="{00000000-0005-0000-0000-0000CE000000}"/>
    <cellStyle name="40% - Accent6 4" xfId="266" xr:uid="{00000000-0005-0000-0000-0000CF000000}"/>
    <cellStyle name="40% - Accent6 5" xfId="267" xr:uid="{00000000-0005-0000-0000-0000D0000000}"/>
    <cellStyle name="40% - Accent6 6" xfId="268" xr:uid="{00000000-0005-0000-0000-0000D1000000}"/>
    <cellStyle name="40% - Accent6 7" xfId="269" xr:uid="{00000000-0005-0000-0000-0000D2000000}"/>
    <cellStyle name="40% - Accent6 8" xfId="270" xr:uid="{00000000-0005-0000-0000-0000D3000000}"/>
    <cellStyle name="40% - Accent6 9" xfId="271" xr:uid="{00000000-0005-0000-0000-0000D4000000}"/>
    <cellStyle name="60% - Accent1 10" xfId="272" xr:uid="{00000000-0005-0000-0000-0000D5000000}"/>
    <cellStyle name="60% - Accent1 11" xfId="273" xr:uid="{00000000-0005-0000-0000-0000D6000000}"/>
    <cellStyle name="60% - Accent1 12" xfId="274" xr:uid="{00000000-0005-0000-0000-0000D7000000}"/>
    <cellStyle name="60% - Accent1 13" xfId="275" xr:uid="{00000000-0005-0000-0000-0000D8000000}"/>
    <cellStyle name="60% - Accent1 14" xfId="276" xr:uid="{00000000-0005-0000-0000-0000D9000000}"/>
    <cellStyle name="60% - Accent1 15" xfId="277" xr:uid="{00000000-0005-0000-0000-0000DA000000}"/>
    <cellStyle name="60% - Accent1 16" xfId="781" xr:uid="{00000000-0005-0000-0000-0000DB000000}"/>
    <cellStyle name="60% - Accent1 2" xfId="35" xr:uid="{00000000-0005-0000-0000-0000DC000000}"/>
    <cellStyle name="60% - Accent1 2 2" xfId="817" xr:uid="{00000000-0005-0000-0000-0000DD000000}"/>
    <cellStyle name="60% - Accent1 2 3" xfId="278" xr:uid="{00000000-0005-0000-0000-0000DE000000}"/>
    <cellStyle name="60% - Accent1 3" xfId="279" xr:uid="{00000000-0005-0000-0000-0000DF000000}"/>
    <cellStyle name="60% - Accent1 4" xfId="280" xr:uid="{00000000-0005-0000-0000-0000E0000000}"/>
    <cellStyle name="60% - Accent1 5" xfId="281" xr:uid="{00000000-0005-0000-0000-0000E1000000}"/>
    <cellStyle name="60% - Accent1 6" xfId="282" xr:uid="{00000000-0005-0000-0000-0000E2000000}"/>
    <cellStyle name="60% - Accent1 7" xfId="283" xr:uid="{00000000-0005-0000-0000-0000E3000000}"/>
    <cellStyle name="60% - Accent1 8" xfId="284" xr:uid="{00000000-0005-0000-0000-0000E4000000}"/>
    <cellStyle name="60% - Accent1 9" xfId="285" xr:uid="{00000000-0005-0000-0000-0000E5000000}"/>
    <cellStyle name="60% - Accent2 10" xfId="286" xr:uid="{00000000-0005-0000-0000-0000E6000000}"/>
    <cellStyle name="60% - Accent2 11" xfId="287" xr:uid="{00000000-0005-0000-0000-0000E7000000}"/>
    <cellStyle name="60% - Accent2 12" xfId="288" xr:uid="{00000000-0005-0000-0000-0000E8000000}"/>
    <cellStyle name="60% - Accent2 13" xfId="289" xr:uid="{00000000-0005-0000-0000-0000E9000000}"/>
    <cellStyle name="60% - Accent2 14" xfId="290" xr:uid="{00000000-0005-0000-0000-0000EA000000}"/>
    <cellStyle name="60% - Accent2 15" xfId="291" xr:uid="{00000000-0005-0000-0000-0000EB000000}"/>
    <cellStyle name="60% - Accent2 16" xfId="782" xr:uid="{00000000-0005-0000-0000-0000EC000000}"/>
    <cellStyle name="60% - Accent2 2" xfId="36" xr:uid="{00000000-0005-0000-0000-0000ED000000}"/>
    <cellStyle name="60% - Accent2 2 2" xfId="821" xr:uid="{00000000-0005-0000-0000-0000EE000000}"/>
    <cellStyle name="60% - Accent2 2 3" xfId="292" xr:uid="{00000000-0005-0000-0000-0000EF000000}"/>
    <cellStyle name="60% - Accent2 3" xfId="293" xr:uid="{00000000-0005-0000-0000-0000F0000000}"/>
    <cellStyle name="60% - Accent2 4" xfId="294" xr:uid="{00000000-0005-0000-0000-0000F1000000}"/>
    <cellStyle name="60% - Accent2 5" xfId="295" xr:uid="{00000000-0005-0000-0000-0000F2000000}"/>
    <cellStyle name="60% - Accent2 6" xfId="296" xr:uid="{00000000-0005-0000-0000-0000F3000000}"/>
    <cellStyle name="60% - Accent2 7" xfId="297" xr:uid="{00000000-0005-0000-0000-0000F4000000}"/>
    <cellStyle name="60% - Accent2 8" xfId="298" xr:uid="{00000000-0005-0000-0000-0000F5000000}"/>
    <cellStyle name="60% - Accent2 9" xfId="299" xr:uid="{00000000-0005-0000-0000-0000F6000000}"/>
    <cellStyle name="60% - Accent3 10" xfId="300" xr:uid="{00000000-0005-0000-0000-0000F7000000}"/>
    <cellStyle name="60% - Accent3 11" xfId="301" xr:uid="{00000000-0005-0000-0000-0000F8000000}"/>
    <cellStyle name="60% - Accent3 12" xfId="302" xr:uid="{00000000-0005-0000-0000-0000F9000000}"/>
    <cellStyle name="60% - Accent3 13" xfId="303" xr:uid="{00000000-0005-0000-0000-0000FA000000}"/>
    <cellStyle name="60% - Accent3 14" xfId="304" xr:uid="{00000000-0005-0000-0000-0000FB000000}"/>
    <cellStyle name="60% - Accent3 15" xfId="305" xr:uid="{00000000-0005-0000-0000-0000FC000000}"/>
    <cellStyle name="60% - Accent3 16" xfId="783" xr:uid="{00000000-0005-0000-0000-0000FD000000}"/>
    <cellStyle name="60% - Accent3 2" xfId="37" xr:uid="{00000000-0005-0000-0000-0000FE000000}"/>
    <cellStyle name="60% - Accent3 2 2" xfId="825" xr:uid="{00000000-0005-0000-0000-0000FF000000}"/>
    <cellStyle name="60% - Accent3 2 3" xfId="306" xr:uid="{00000000-0005-0000-0000-000000010000}"/>
    <cellStyle name="60% - Accent3 3" xfId="307" xr:uid="{00000000-0005-0000-0000-000001010000}"/>
    <cellStyle name="60% - Accent3 4" xfId="308" xr:uid="{00000000-0005-0000-0000-000002010000}"/>
    <cellStyle name="60% - Accent3 5" xfId="309" xr:uid="{00000000-0005-0000-0000-000003010000}"/>
    <cellStyle name="60% - Accent3 6" xfId="310" xr:uid="{00000000-0005-0000-0000-000004010000}"/>
    <cellStyle name="60% - Accent3 7" xfId="311" xr:uid="{00000000-0005-0000-0000-000005010000}"/>
    <cellStyle name="60% - Accent3 8" xfId="312" xr:uid="{00000000-0005-0000-0000-000006010000}"/>
    <cellStyle name="60% - Accent3 9" xfId="313" xr:uid="{00000000-0005-0000-0000-000007010000}"/>
    <cellStyle name="60% - Accent4 10" xfId="314" xr:uid="{00000000-0005-0000-0000-000008010000}"/>
    <cellStyle name="60% - Accent4 11" xfId="315" xr:uid="{00000000-0005-0000-0000-000009010000}"/>
    <cellStyle name="60% - Accent4 12" xfId="316" xr:uid="{00000000-0005-0000-0000-00000A010000}"/>
    <cellStyle name="60% - Accent4 13" xfId="317" xr:uid="{00000000-0005-0000-0000-00000B010000}"/>
    <cellStyle name="60% - Accent4 14" xfId="318" xr:uid="{00000000-0005-0000-0000-00000C010000}"/>
    <cellStyle name="60% - Accent4 15" xfId="319" xr:uid="{00000000-0005-0000-0000-00000D010000}"/>
    <cellStyle name="60% - Accent4 16" xfId="784" xr:uid="{00000000-0005-0000-0000-00000E010000}"/>
    <cellStyle name="60% - Accent4 2" xfId="38" xr:uid="{00000000-0005-0000-0000-00000F010000}"/>
    <cellStyle name="60% - Accent4 2 2" xfId="829" xr:uid="{00000000-0005-0000-0000-000010010000}"/>
    <cellStyle name="60% - Accent4 2 3" xfId="320" xr:uid="{00000000-0005-0000-0000-000011010000}"/>
    <cellStyle name="60% - Accent4 3" xfId="321" xr:uid="{00000000-0005-0000-0000-000012010000}"/>
    <cellStyle name="60% - Accent4 4" xfId="322" xr:uid="{00000000-0005-0000-0000-000013010000}"/>
    <cellStyle name="60% - Accent4 5" xfId="323" xr:uid="{00000000-0005-0000-0000-000014010000}"/>
    <cellStyle name="60% - Accent4 6" xfId="324" xr:uid="{00000000-0005-0000-0000-000015010000}"/>
    <cellStyle name="60% - Accent4 7" xfId="325" xr:uid="{00000000-0005-0000-0000-000016010000}"/>
    <cellStyle name="60% - Accent4 8" xfId="326" xr:uid="{00000000-0005-0000-0000-000017010000}"/>
    <cellStyle name="60% - Accent4 9" xfId="327" xr:uid="{00000000-0005-0000-0000-000018010000}"/>
    <cellStyle name="60% - Accent5 10" xfId="328" xr:uid="{00000000-0005-0000-0000-000019010000}"/>
    <cellStyle name="60% - Accent5 11" xfId="329" xr:uid="{00000000-0005-0000-0000-00001A010000}"/>
    <cellStyle name="60% - Accent5 12" xfId="330" xr:uid="{00000000-0005-0000-0000-00001B010000}"/>
    <cellStyle name="60% - Accent5 13" xfId="331" xr:uid="{00000000-0005-0000-0000-00001C010000}"/>
    <cellStyle name="60% - Accent5 14" xfId="332" xr:uid="{00000000-0005-0000-0000-00001D010000}"/>
    <cellStyle name="60% - Accent5 15" xfId="333" xr:uid="{00000000-0005-0000-0000-00001E010000}"/>
    <cellStyle name="60% - Accent5 16" xfId="785" xr:uid="{00000000-0005-0000-0000-00001F010000}"/>
    <cellStyle name="60% - Accent5 2" xfId="39" xr:uid="{00000000-0005-0000-0000-000020010000}"/>
    <cellStyle name="60% - Accent5 2 2" xfId="833" xr:uid="{00000000-0005-0000-0000-000021010000}"/>
    <cellStyle name="60% - Accent5 2 3" xfId="334" xr:uid="{00000000-0005-0000-0000-000022010000}"/>
    <cellStyle name="60% - Accent5 3" xfId="335" xr:uid="{00000000-0005-0000-0000-000023010000}"/>
    <cellStyle name="60% - Accent5 4" xfId="336" xr:uid="{00000000-0005-0000-0000-000024010000}"/>
    <cellStyle name="60% - Accent5 5" xfId="337" xr:uid="{00000000-0005-0000-0000-000025010000}"/>
    <cellStyle name="60% - Accent5 6" xfId="338" xr:uid="{00000000-0005-0000-0000-000026010000}"/>
    <cellStyle name="60% - Accent5 7" xfId="339" xr:uid="{00000000-0005-0000-0000-000027010000}"/>
    <cellStyle name="60% - Accent5 8" xfId="340" xr:uid="{00000000-0005-0000-0000-000028010000}"/>
    <cellStyle name="60% - Accent5 9" xfId="341" xr:uid="{00000000-0005-0000-0000-000029010000}"/>
    <cellStyle name="60% - Accent6 10" xfId="342" xr:uid="{00000000-0005-0000-0000-00002A010000}"/>
    <cellStyle name="60% - Accent6 11" xfId="343" xr:uid="{00000000-0005-0000-0000-00002B010000}"/>
    <cellStyle name="60% - Accent6 12" xfId="344" xr:uid="{00000000-0005-0000-0000-00002C010000}"/>
    <cellStyle name="60% - Accent6 13" xfId="345" xr:uid="{00000000-0005-0000-0000-00002D010000}"/>
    <cellStyle name="60% - Accent6 14" xfId="346" xr:uid="{00000000-0005-0000-0000-00002E010000}"/>
    <cellStyle name="60% - Accent6 15" xfId="347" xr:uid="{00000000-0005-0000-0000-00002F010000}"/>
    <cellStyle name="60% - Accent6 16" xfId="786" xr:uid="{00000000-0005-0000-0000-000030010000}"/>
    <cellStyle name="60% - Accent6 2" xfId="40" xr:uid="{00000000-0005-0000-0000-000031010000}"/>
    <cellStyle name="60% - Accent6 2 2" xfId="837" xr:uid="{00000000-0005-0000-0000-000032010000}"/>
    <cellStyle name="60% - Accent6 2 3" xfId="348" xr:uid="{00000000-0005-0000-0000-000033010000}"/>
    <cellStyle name="60% - Accent6 3" xfId="349" xr:uid="{00000000-0005-0000-0000-000034010000}"/>
    <cellStyle name="60% - Accent6 4" xfId="350" xr:uid="{00000000-0005-0000-0000-000035010000}"/>
    <cellStyle name="60% - Accent6 5" xfId="351" xr:uid="{00000000-0005-0000-0000-000036010000}"/>
    <cellStyle name="60% - Accent6 6" xfId="352" xr:uid="{00000000-0005-0000-0000-000037010000}"/>
    <cellStyle name="60% - Accent6 7" xfId="353" xr:uid="{00000000-0005-0000-0000-000038010000}"/>
    <cellStyle name="60% - Accent6 8" xfId="354" xr:uid="{00000000-0005-0000-0000-000039010000}"/>
    <cellStyle name="60% - Accent6 9" xfId="355" xr:uid="{00000000-0005-0000-0000-00003A010000}"/>
    <cellStyle name="Accent1 10" xfId="356" xr:uid="{00000000-0005-0000-0000-00003B010000}"/>
    <cellStyle name="Accent1 11" xfId="357" xr:uid="{00000000-0005-0000-0000-00003C010000}"/>
    <cellStyle name="Accent1 12" xfId="358" xr:uid="{00000000-0005-0000-0000-00003D010000}"/>
    <cellStyle name="Accent1 13" xfId="359" xr:uid="{00000000-0005-0000-0000-00003E010000}"/>
    <cellStyle name="Accent1 14" xfId="360" xr:uid="{00000000-0005-0000-0000-00003F010000}"/>
    <cellStyle name="Accent1 15" xfId="361" xr:uid="{00000000-0005-0000-0000-000040010000}"/>
    <cellStyle name="Accent1 16" xfId="787" xr:uid="{00000000-0005-0000-0000-000041010000}"/>
    <cellStyle name="Accent1 2" xfId="41" xr:uid="{00000000-0005-0000-0000-000042010000}"/>
    <cellStyle name="Accent1 2 2" xfId="814" xr:uid="{00000000-0005-0000-0000-000043010000}"/>
    <cellStyle name="Accent1 2 3" xfId="362" xr:uid="{00000000-0005-0000-0000-000044010000}"/>
    <cellStyle name="Accent1 3" xfId="363" xr:uid="{00000000-0005-0000-0000-000045010000}"/>
    <cellStyle name="Accent1 4" xfId="364" xr:uid="{00000000-0005-0000-0000-000046010000}"/>
    <cellStyle name="Accent1 5" xfId="365" xr:uid="{00000000-0005-0000-0000-000047010000}"/>
    <cellStyle name="Accent1 6" xfId="366" xr:uid="{00000000-0005-0000-0000-000048010000}"/>
    <cellStyle name="Accent1 7" xfId="367" xr:uid="{00000000-0005-0000-0000-000049010000}"/>
    <cellStyle name="Accent1 8" xfId="368" xr:uid="{00000000-0005-0000-0000-00004A010000}"/>
    <cellStyle name="Accent1 9" xfId="369" xr:uid="{00000000-0005-0000-0000-00004B010000}"/>
    <cellStyle name="Accent2 10" xfId="370" xr:uid="{00000000-0005-0000-0000-00004C010000}"/>
    <cellStyle name="Accent2 11" xfId="371" xr:uid="{00000000-0005-0000-0000-00004D010000}"/>
    <cellStyle name="Accent2 12" xfId="372" xr:uid="{00000000-0005-0000-0000-00004E010000}"/>
    <cellStyle name="Accent2 13" xfId="373" xr:uid="{00000000-0005-0000-0000-00004F010000}"/>
    <cellStyle name="Accent2 14" xfId="374" xr:uid="{00000000-0005-0000-0000-000050010000}"/>
    <cellStyle name="Accent2 15" xfId="375" xr:uid="{00000000-0005-0000-0000-000051010000}"/>
    <cellStyle name="Accent2 16" xfId="788" xr:uid="{00000000-0005-0000-0000-000052010000}"/>
    <cellStyle name="Accent2 2" xfId="42" xr:uid="{00000000-0005-0000-0000-000053010000}"/>
    <cellStyle name="Accent2 2 2" xfId="818" xr:uid="{00000000-0005-0000-0000-000054010000}"/>
    <cellStyle name="Accent2 2 3" xfId="376" xr:uid="{00000000-0005-0000-0000-000055010000}"/>
    <cellStyle name="Accent2 3" xfId="377" xr:uid="{00000000-0005-0000-0000-000056010000}"/>
    <cellStyle name="Accent2 4" xfId="378" xr:uid="{00000000-0005-0000-0000-000057010000}"/>
    <cellStyle name="Accent2 5" xfId="379" xr:uid="{00000000-0005-0000-0000-000058010000}"/>
    <cellStyle name="Accent2 6" xfId="380" xr:uid="{00000000-0005-0000-0000-000059010000}"/>
    <cellStyle name="Accent2 7" xfId="381" xr:uid="{00000000-0005-0000-0000-00005A010000}"/>
    <cellStyle name="Accent2 8" xfId="382" xr:uid="{00000000-0005-0000-0000-00005B010000}"/>
    <cellStyle name="Accent2 9" xfId="383" xr:uid="{00000000-0005-0000-0000-00005C010000}"/>
    <cellStyle name="Accent3 10" xfId="384" xr:uid="{00000000-0005-0000-0000-00005D010000}"/>
    <cellStyle name="Accent3 11" xfId="385" xr:uid="{00000000-0005-0000-0000-00005E010000}"/>
    <cellStyle name="Accent3 12" xfId="386" xr:uid="{00000000-0005-0000-0000-00005F010000}"/>
    <cellStyle name="Accent3 13" xfId="387" xr:uid="{00000000-0005-0000-0000-000060010000}"/>
    <cellStyle name="Accent3 14" xfId="388" xr:uid="{00000000-0005-0000-0000-000061010000}"/>
    <cellStyle name="Accent3 15" xfId="389" xr:uid="{00000000-0005-0000-0000-000062010000}"/>
    <cellStyle name="Accent3 16" xfId="789" xr:uid="{00000000-0005-0000-0000-000063010000}"/>
    <cellStyle name="Accent3 2" xfId="43" xr:uid="{00000000-0005-0000-0000-000064010000}"/>
    <cellStyle name="Accent3 2 2" xfId="822" xr:uid="{00000000-0005-0000-0000-000065010000}"/>
    <cellStyle name="Accent3 2 3" xfId="390" xr:uid="{00000000-0005-0000-0000-000066010000}"/>
    <cellStyle name="Accent3 3" xfId="391" xr:uid="{00000000-0005-0000-0000-000067010000}"/>
    <cellStyle name="Accent3 4" xfId="392" xr:uid="{00000000-0005-0000-0000-000068010000}"/>
    <cellStyle name="Accent3 5" xfId="393" xr:uid="{00000000-0005-0000-0000-000069010000}"/>
    <cellStyle name="Accent3 6" xfId="394" xr:uid="{00000000-0005-0000-0000-00006A010000}"/>
    <cellStyle name="Accent3 7" xfId="395" xr:uid="{00000000-0005-0000-0000-00006B010000}"/>
    <cellStyle name="Accent3 8" xfId="396" xr:uid="{00000000-0005-0000-0000-00006C010000}"/>
    <cellStyle name="Accent3 9" xfId="397" xr:uid="{00000000-0005-0000-0000-00006D010000}"/>
    <cellStyle name="Accent4 10" xfId="398" xr:uid="{00000000-0005-0000-0000-00006E010000}"/>
    <cellStyle name="Accent4 11" xfId="399" xr:uid="{00000000-0005-0000-0000-00006F010000}"/>
    <cellStyle name="Accent4 12" xfId="400" xr:uid="{00000000-0005-0000-0000-000070010000}"/>
    <cellStyle name="Accent4 13" xfId="401" xr:uid="{00000000-0005-0000-0000-000071010000}"/>
    <cellStyle name="Accent4 14" xfId="402" xr:uid="{00000000-0005-0000-0000-000072010000}"/>
    <cellStyle name="Accent4 15" xfId="403" xr:uid="{00000000-0005-0000-0000-000073010000}"/>
    <cellStyle name="Accent4 16" xfId="871" xr:uid="{00000000-0005-0000-0000-000074010000}"/>
    <cellStyle name="Accent4 2" xfId="44" xr:uid="{00000000-0005-0000-0000-000075010000}"/>
    <cellStyle name="Accent4 2 2" xfId="826" xr:uid="{00000000-0005-0000-0000-000076010000}"/>
    <cellStyle name="Accent4 2 3" xfId="404" xr:uid="{00000000-0005-0000-0000-000077010000}"/>
    <cellStyle name="Accent4 3" xfId="405" xr:uid="{00000000-0005-0000-0000-000078010000}"/>
    <cellStyle name="Accent4 4" xfId="406" xr:uid="{00000000-0005-0000-0000-000079010000}"/>
    <cellStyle name="Accent4 5" xfId="407" xr:uid="{00000000-0005-0000-0000-00007A010000}"/>
    <cellStyle name="Accent4 6" xfId="408" xr:uid="{00000000-0005-0000-0000-00007B010000}"/>
    <cellStyle name="Accent4 7" xfId="409" xr:uid="{00000000-0005-0000-0000-00007C010000}"/>
    <cellStyle name="Accent4 8" xfId="410" xr:uid="{00000000-0005-0000-0000-00007D010000}"/>
    <cellStyle name="Accent4 9" xfId="411" xr:uid="{00000000-0005-0000-0000-00007E010000}"/>
    <cellStyle name="Accent5 10" xfId="412" xr:uid="{00000000-0005-0000-0000-00007F010000}"/>
    <cellStyle name="Accent5 11" xfId="413" xr:uid="{00000000-0005-0000-0000-000080010000}"/>
    <cellStyle name="Accent5 12" xfId="414" xr:uid="{00000000-0005-0000-0000-000081010000}"/>
    <cellStyle name="Accent5 13" xfId="415" xr:uid="{00000000-0005-0000-0000-000082010000}"/>
    <cellStyle name="Accent5 14" xfId="416" xr:uid="{00000000-0005-0000-0000-000083010000}"/>
    <cellStyle name="Accent5 15" xfId="417" xr:uid="{00000000-0005-0000-0000-000084010000}"/>
    <cellStyle name="Accent5 16" xfId="866" xr:uid="{00000000-0005-0000-0000-000085010000}"/>
    <cellStyle name="Accent5 2" xfId="45" xr:uid="{00000000-0005-0000-0000-000086010000}"/>
    <cellStyle name="Accent5 2 2" xfId="830" xr:uid="{00000000-0005-0000-0000-000087010000}"/>
    <cellStyle name="Accent5 2 3" xfId="418" xr:uid="{00000000-0005-0000-0000-000088010000}"/>
    <cellStyle name="Accent5 3" xfId="419" xr:uid="{00000000-0005-0000-0000-000089010000}"/>
    <cellStyle name="Accent5 4" xfId="420" xr:uid="{00000000-0005-0000-0000-00008A010000}"/>
    <cellStyle name="Accent5 5" xfId="421" xr:uid="{00000000-0005-0000-0000-00008B010000}"/>
    <cellStyle name="Accent5 6" xfId="422" xr:uid="{00000000-0005-0000-0000-00008C010000}"/>
    <cellStyle name="Accent5 7" xfId="423" xr:uid="{00000000-0005-0000-0000-00008D010000}"/>
    <cellStyle name="Accent5 8" xfId="424" xr:uid="{00000000-0005-0000-0000-00008E010000}"/>
    <cellStyle name="Accent5 9" xfId="425" xr:uid="{00000000-0005-0000-0000-00008F010000}"/>
    <cellStyle name="Accent6 10" xfId="426" xr:uid="{00000000-0005-0000-0000-000090010000}"/>
    <cellStyle name="Accent6 11" xfId="427" xr:uid="{00000000-0005-0000-0000-000091010000}"/>
    <cellStyle name="Accent6 12" xfId="428" xr:uid="{00000000-0005-0000-0000-000092010000}"/>
    <cellStyle name="Accent6 13" xfId="429" xr:uid="{00000000-0005-0000-0000-000093010000}"/>
    <cellStyle name="Accent6 14" xfId="430" xr:uid="{00000000-0005-0000-0000-000094010000}"/>
    <cellStyle name="Accent6 15" xfId="431" xr:uid="{00000000-0005-0000-0000-000095010000}"/>
    <cellStyle name="Accent6 16" xfId="870" xr:uid="{00000000-0005-0000-0000-000096010000}"/>
    <cellStyle name="Accent6 2" xfId="46" xr:uid="{00000000-0005-0000-0000-000097010000}"/>
    <cellStyle name="Accent6 2 2" xfId="834" xr:uid="{00000000-0005-0000-0000-000098010000}"/>
    <cellStyle name="Accent6 2 3" xfId="432" xr:uid="{00000000-0005-0000-0000-000099010000}"/>
    <cellStyle name="Accent6 3" xfId="433" xr:uid="{00000000-0005-0000-0000-00009A010000}"/>
    <cellStyle name="Accent6 4" xfId="434" xr:uid="{00000000-0005-0000-0000-00009B010000}"/>
    <cellStyle name="Accent6 5" xfId="435" xr:uid="{00000000-0005-0000-0000-00009C010000}"/>
    <cellStyle name="Accent6 6" xfId="436" xr:uid="{00000000-0005-0000-0000-00009D010000}"/>
    <cellStyle name="Accent6 7" xfId="437" xr:uid="{00000000-0005-0000-0000-00009E010000}"/>
    <cellStyle name="Accent6 8" xfId="438" xr:uid="{00000000-0005-0000-0000-00009F010000}"/>
    <cellStyle name="Accent6 9" xfId="439" xr:uid="{00000000-0005-0000-0000-0000A0010000}"/>
    <cellStyle name="Bad 10" xfId="440" xr:uid="{00000000-0005-0000-0000-0000A1010000}"/>
    <cellStyle name="Bad 11" xfId="441" xr:uid="{00000000-0005-0000-0000-0000A2010000}"/>
    <cellStyle name="Bad 12" xfId="442" xr:uid="{00000000-0005-0000-0000-0000A3010000}"/>
    <cellStyle name="Bad 13" xfId="443" xr:uid="{00000000-0005-0000-0000-0000A4010000}"/>
    <cellStyle name="Bad 14" xfId="444" xr:uid="{00000000-0005-0000-0000-0000A5010000}"/>
    <cellStyle name="Bad 15" xfId="445" xr:uid="{00000000-0005-0000-0000-0000A6010000}"/>
    <cellStyle name="Bad 16" xfId="855" xr:uid="{00000000-0005-0000-0000-0000A7010000}"/>
    <cellStyle name="Bad 2" xfId="47" xr:uid="{00000000-0005-0000-0000-0000A8010000}"/>
    <cellStyle name="Bad 2 2" xfId="803" xr:uid="{00000000-0005-0000-0000-0000A9010000}"/>
    <cellStyle name="Bad 2 3" xfId="446" xr:uid="{00000000-0005-0000-0000-0000AA010000}"/>
    <cellStyle name="Bad 3" xfId="447" xr:uid="{00000000-0005-0000-0000-0000AB010000}"/>
    <cellStyle name="Bad 4" xfId="448" xr:uid="{00000000-0005-0000-0000-0000AC010000}"/>
    <cellStyle name="Bad 5" xfId="449" xr:uid="{00000000-0005-0000-0000-0000AD010000}"/>
    <cellStyle name="Bad 6" xfId="450" xr:uid="{00000000-0005-0000-0000-0000AE010000}"/>
    <cellStyle name="Bad 7" xfId="451" xr:uid="{00000000-0005-0000-0000-0000AF010000}"/>
    <cellStyle name="Bad 8" xfId="452" xr:uid="{00000000-0005-0000-0000-0000B0010000}"/>
    <cellStyle name="Bad 9" xfId="453" xr:uid="{00000000-0005-0000-0000-0000B1010000}"/>
    <cellStyle name="Calculation 10" xfId="454" xr:uid="{00000000-0005-0000-0000-0000B2010000}"/>
    <cellStyle name="Calculation 11" xfId="455" xr:uid="{00000000-0005-0000-0000-0000B3010000}"/>
    <cellStyle name="Calculation 12" xfId="456" xr:uid="{00000000-0005-0000-0000-0000B4010000}"/>
    <cellStyle name="Calculation 13" xfId="457" xr:uid="{00000000-0005-0000-0000-0000B5010000}"/>
    <cellStyle name="Calculation 14" xfId="458" xr:uid="{00000000-0005-0000-0000-0000B6010000}"/>
    <cellStyle name="Calculation 15" xfId="459" xr:uid="{00000000-0005-0000-0000-0000B7010000}"/>
    <cellStyle name="Calculation 16" xfId="790" xr:uid="{00000000-0005-0000-0000-0000B8010000}"/>
    <cellStyle name="Calculation 2" xfId="48" xr:uid="{00000000-0005-0000-0000-0000B9010000}"/>
    <cellStyle name="Calculation 2 2" xfId="807" xr:uid="{00000000-0005-0000-0000-0000BA010000}"/>
    <cellStyle name="Calculation 2 3" xfId="460" xr:uid="{00000000-0005-0000-0000-0000BB010000}"/>
    <cellStyle name="Calculation 3" xfId="461" xr:uid="{00000000-0005-0000-0000-0000BC010000}"/>
    <cellStyle name="Calculation 4" xfId="462" xr:uid="{00000000-0005-0000-0000-0000BD010000}"/>
    <cellStyle name="Calculation 5" xfId="463" xr:uid="{00000000-0005-0000-0000-0000BE010000}"/>
    <cellStyle name="Calculation 6" xfId="464" xr:uid="{00000000-0005-0000-0000-0000BF010000}"/>
    <cellStyle name="Calculation 7" xfId="465" xr:uid="{00000000-0005-0000-0000-0000C0010000}"/>
    <cellStyle name="Calculation 8" xfId="466" xr:uid="{00000000-0005-0000-0000-0000C1010000}"/>
    <cellStyle name="Calculation 9" xfId="467" xr:uid="{00000000-0005-0000-0000-0000C2010000}"/>
    <cellStyle name="Check Cell 10" xfId="468" xr:uid="{00000000-0005-0000-0000-0000C3010000}"/>
    <cellStyle name="Check Cell 11" xfId="469" xr:uid="{00000000-0005-0000-0000-0000C4010000}"/>
    <cellStyle name="Check Cell 12" xfId="470" xr:uid="{00000000-0005-0000-0000-0000C5010000}"/>
    <cellStyle name="Check Cell 13" xfId="471" xr:uid="{00000000-0005-0000-0000-0000C6010000}"/>
    <cellStyle name="Check Cell 14" xfId="472" xr:uid="{00000000-0005-0000-0000-0000C7010000}"/>
    <cellStyle name="Check Cell 15" xfId="473" xr:uid="{00000000-0005-0000-0000-0000C8010000}"/>
    <cellStyle name="Check Cell 16" xfId="851" xr:uid="{00000000-0005-0000-0000-0000C9010000}"/>
    <cellStyle name="Check Cell 2" xfId="49" xr:uid="{00000000-0005-0000-0000-0000CA010000}"/>
    <cellStyle name="Check Cell 2 2" xfId="809" xr:uid="{00000000-0005-0000-0000-0000CB010000}"/>
    <cellStyle name="Check Cell 2 3" xfId="474" xr:uid="{00000000-0005-0000-0000-0000CC010000}"/>
    <cellStyle name="Check Cell 3" xfId="475" xr:uid="{00000000-0005-0000-0000-0000CD010000}"/>
    <cellStyle name="Check Cell 4" xfId="476" xr:uid="{00000000-0005-0000-0000-0000CE010000}"/>
    <cellStyle name="Check Cell 5" xfId="477" xr:uid="{00000000-0005-0000-0000-0000CF010000}"/>
    <cellStyle name="Check Cell 6" xfId="478" xr:uid="{00000000-0005-0000-0000-0000D0010000}"/>
    <cellStyle name="Check Cell 7" xfId="479" xr:uid="{00000000-0005-0000-0000-0000D1010000}"/>
    <cellStyle name="Check Cell 8" xfId="480" xr:uid="{00000000-0005-0000-0000-0000D2010000}"/>
    <cellStyle name="Check Cell 9" xfId="481" xr:uid="{00000000-0005-0000-0000-0000D3010000}"/>
    <cellStyle name="Comma" xfId="1" builtinId="3"/>
    <cellStyle name="Comma 10" xfId="482" xr:uid="{00000000-0005-0000-0000-0000D5010000}"/>
    <cellStyle name="Comma 11" xfId="1533" xr:uid="{8EF4B4E4-7C46-4EC0-B90E-71438A2E3C83}"/>
    <cellStyle name="Comma 2" xfId="5" xr:uid="{00000000-0005-0000-0000-0000D6010000}"/>
    <cellStyle name="Comma 2 10" xfId="1527" xr:uid="{00000000-0005-0000-0000-0000D7010000}"/>
    <cellStyle name="Comma 2 2" xfId="696" xr:uid="{00000000-0005-0000-0000-0000D8010000}"/>
    <cellStyle name="Comma 2 2 2" xfId="695" xr:uid="{00000000-0005-0000-0000-0000D9010000}"/>
    <cellStyle name="Comma 2 3" xfId="734" xr:uid="{00000000-0005-0000-0000-0000DA010000}"/>
    <cellStyle name="Comma 2 4" xfId="839" xr:uid="{00000000-0005-0000-0000-0000DB010000}"/>
    <cellStyle name="Comma 2 5" xfId="1529" xr:uid="{00000000-0005-0000-0000-0000DC010000}"/>
    <cellStyle name="Comma 3" xfId="6" xr:uid="{00000000-0005-0000-0000-0000DD010000}"/>
    <cellStyle name="Comma 3 2" xfId="50" xr:uid="{00000000-0005-0000-0000-0000DE010000}"/>
    <cellStyle name="Comma 3 2 2" xfId="845" xr:uid="{00000000-0005-0000-0000-0000DF010000}"/>
    <cellStyle name="Comma 3 2 3" xfId="697" xr:uid="{00000000-0005-0000-0000-0000E0010000}"/>
    <cellStyle name="Comma 3 2 5" xfId="98" xr:uid="{00000000-0005-0000-0000-0000E1010000}"/>
    <cellStyle name="Comma 3 3" xfId="841" xr:uid="{00000000-0005-0000-0000-0000E2010000}"/>
    <cellStyle name="Comma 3 4" xfId="1013" xr:uid="{00000000-0005-0000-0000-0000E3010000}"/>
    <cellStyle name="Comma 3 5" xfId="483" xr:uid="{00000000-0005-0000-0000-0000E4010000}"/>
    <cellStyle name="Comma 4" xfId="13" xr:uid="{00000000-0005-0000-0000-0000E5010000}"/>
    <cellStyle name="Comma 4 2" xfId="718" xr:uid="{00000000-0005-0000-0000-0000E6010000}"/>
    <cellStyle name="Comma 4 2 2" xfId="755" xr:uid="{00000000-0005-0000-0000-0000E7010000}"/>
    <cellStyle name="Comma 4 2 2 2" xfId="910" xr:uid="{00000000-0005-0000-0000-0000E8010000}"/>
    <cellStyle name="Comma 4 2 2 2 2" xfId="1241" xr:uid="{00000000-0005-0000-0000-0000E9010000}"/>
    <cellStyle name="Comma 4 2 2 2 2 2" xfId="1474" xr:uid="{00000000-0005-0000-0000-0000EA010000}"/>
    <cellStyle name="Comma 4 2 2 2 3" xfId="1358" xr:uid="{00000000-0005-0000-0000-0000EB010000}"/>
    <cellStyle name="Comma 4 2 2 2 4" xfId="1122" xr:uid="{00000000-0005-0000-0000-0000EC010000}"/>
    <cellStyle name="Comma 4 2 2 3" xfId="980" xr:uid="{00000000-0005-0000-0000-0000ED010000}"/>
    <cellStyle name="Comma 4 2 2 3 2" xfId="1418" xr:uid="{00000000-0005-0000-0000-0000EE010000}"/>
    <cellStyle name="Comma 4 2 2 3 3" xfId="1185" xr:uid="{00000000-0005-0000-0000-0000EF010000}"/>
    <cellStyle name="Comma 4 2 2 4" xfId="1302" xr:uid="{00000000-0005-0000-0000-0000F0010000}"/>
    <cellStyle name="Comma 4 2 2 5" xfId="1065" xr:uid="{00000000-0005-0000-0000-0000F1010000}"/>
    <cellStyle name="Comma 4 2 3" xfId="877" xr:uid="{00000000-0005-0000-0000-0000F2010000}"/>
    <cellStyle name="Comma 4 2 3 2" xfId="1211" xr:uid="{00000000-0005-0000-0000-0000F3010000}"/>
    <cellStyle name="Comma 4 2 3 2 2" xfId="1444" xr:uid="{00000000-0005-0000-0000-0000F4010000}"/>
    <cellStyle name="Comma 4 2 3 3" xfId="1328" xr:uid="{00000000-0005-0000-0000-0000F5010000}"/>
    <cellStyle name="Comma 4 2 3 4" xfId="1092" xr:uid="{00000000-0005-0000-0000-0000F6010000}"/>
    <cellStyle name="Comma 4 2 4" xfId="950" xr:uid="{00000000-0005-0000-0000-0000F7010000}"/>
    <cellStyle name="Comma 4 2 4 2" xfId="1392" xr:uid="{00000000-0005-0000-0000-0000F8010000}"/>
    <cellStyle name="Comma 4 2 4 3" xfId="1159" xr:uid="{00000000-0005-0000-0000-0000F9010000}"/>
    <cellStyle name="Comma 4 2 5" xfId="1276" xr:uid="{00000000-0005-0000-0000-0000FA010000}"/>
    <cellStyle name="Comma 4 2 6" xfId="1039" xr:uid="{00000000-0005-0000-0000-0000FB010000}"/>
    <cellStyle name="Comma 4 3" xfId="726" xr:uid="{00000000-0005-0000-0000-0000FC010000}"/>
    <cellStyle name="Comma 4 3 2" xfId="763" xr:uid="{00000000-0005-0000-0000-0000FD010000}"/>
    <cellStyle name="Comma 4 3 2 2" xfId="918" xr:uid="{00000000-0005-0000-0000-0000FE010000}"/>
    <cellStyle name="Comma 4 3 2 2 2" xfId="1249" xr:uid="{00000000-0005-0000-0000-0000FF010000}"/>
    <cellStyle name="Comma 4 3 2 2 2 2" xfId="1482" xr:uid="{00000000-0005-0000-0000-000000020000}"/>
    <cellStyle name="Comma 4 3 2 2 3" xfId="1366" xr:uid="{00000000-0005-0000-0000-000001020000}"/>
    <cellStyle name="Comma 4 3 2 2 4" xfId="1130" xr:uid="{00000000-0005-0000-0000-000002020000}"/>
    <cellStyle name="Comma 4 3 2 3" xfId="988" xr:uid="{00000000-0005-0000-0000-000003020000}"/>
    <cellStyle name="Comma 4 3 2 3 2" xfId="1426" xr:uid="{00000000-0005-0000-0000-000004020000}"/>
    <cellStyle name="Comma 4 3 2 3 3" xfId="1193" xr:uid="{00000000-0005-0000-0000-000005020000}"/>
    <cellStyle name="Comma 4 3 2 4" xfId="1310" xr:uid="{00000000-0005-0000-0000-000006020000}"/>
    <cellStyle name="Comma 4 3 2 5" xfId="1073" xr:uid="{00000000-0005-0000-0000-000007020000}"/>
    <cellStyle name="Comma 4 3 3" xfId="885" xr:uid="{00000000-0005-0000-0000-000008020000}"/>
    <cellStyle name="Comma 4 3 3 2" xfId="1219" xr:uid="{00000000-0005-0000-0000-000009020000}"/>
    <cellStyle name="Comma 4 3 3 2 2" xfId="1452" xr:uid="{00000000-0005-0000-0000-00000A020000}"/>
    <cellStyle name="Comma 4 3 3 3" xfId="1336" xr:uid="{00000000-0005-0000-0000-00000B020000}"/>
    <cellStyle name="Comma 4 3 3 4" xfId="1100" xr:uid="{00000000-0005-0000-0000-00000C020000}"/>
    <cellStyle name="Comma 4 3 4" xfId="958" xr:uid="{00000000-0005-0000-0000-00000D020000}"/>
    <cellStyle name="Comma 4 3 4 2" xfId="1400" xr:uid="{00000000-0005-0000-0000-00000E020000}"/>
    <cellStyle name="Comma 4 3 4 3" xfId="1167" xr:uid="{00000000-0005-0000-0000-00000F020000}"/>
    <cellStyle name="Comma 4 3 5" xfId="1284" xr:uid="{00000000-0005-0000-0000-000010020000}"/>
    <cellStyle name="Comma 4 3 6" xfId="1047" xr:uid="{00000000-0005-0000-0000-000011020000}"/>
    <cellStyle name="Comma 4 4" xfId="747" xr:uid="{00000000-0005-0000-0000-000012020000}"/>
    <cellStyle name="Comma 4 4 2" xfId="902" xr:uid="{00000000-0005-0000-0000-000013020000}"/>
    <cellStyle name="Comma 4 4 2 2" xfId="1233" xr:uid="{00000000-0005-0000-0000-000014020000}"/>
    <cellStyle name="Comma 4 4 2 2 2" xfId="1466" xr:uid="{00000000-0005-0000-0000-000015020000}"/>
    <cellStyle name="Comma 4 4 2 3" xfId="1350" xr:uid="{00000000-0005-0000-0000-000016020000}"/>
    <cellStyle name="Comma 4 4 2 4" xfId="1114" xr:uid="{00000000-0005-0000-0000-000017020000}"/>
    <cellStyle name="Comma 4 4 3" xfId="972" xr:uid="{00000000-0005-0000-0000-000018020000}"/>
    <cellStyle name="Comma 4 4 3 2" xfId="1410" xr:uid="{00000000-0005-0000-0000-000019020000}"/>
    <cellStyle name="Comma 4 4 3 3" xfId="1177" xr:uid="{00000000-0005-0000-0000-00001A020000}"/>
    <cellStyle name="Comma 4 4 4" xfId="1294" xr:uid="{00000000-0005-0000-0000-00001B020000}"/>
    <cellStyle name="Comma 4 4 5" xfId="1057" xr:uid="{00000000-0005-0000-0000-00001C020000}"/>
    <cellStyle name="Comma 4 5" xfId="863" xr:uid="{00000000-0005-0000-0000-00001D020000}"/>
    <cellStyle name="Comma 4 5 2" xfId="1203" xr:uid="{00000000-0005-0000-0000-00001E020000}"/>
    <cellStyle name="Comma 4 5 2 2" xfId="1436" xr:uid="{00000000-0005-0000-0000-00001F020000}"/>
    <cellStyle name="Comma 4 5 3" xfId="1320" xr:uid="{00000000-0005-0000-0000-000020020000}"/>
    <cellStyle name="Comma 4 5 4" xfId="1084" xr:uid="{00000000-0005-0000-0000-000021020000}"/>
    <cellStyle name="Comma 4 6" xfId="942" xr:uid="{00000000-0005-0000-0000-000022020000}"/>
    <cellStyle name="Comma 4 6 2" xfId="1384" xr:uid="{00000000-0005-0000-0000-000023020000}"/>
    <cellStyle name="Comma 4 6 3" xfId="1151" xr:uid="{00000000-0005-0000-0000-000024020000}"/>
    <cellStyle name="Comma 4 7" xfId="1268" xr:uid="{00000000-0005-0000-0000-000025020000}"/>
    <cellStyle name="Comma 4 8" xfId="1031" xr:uid="{00000000-0005-0000-0000-000026020000}"/>
    <cellStyle name="Comma 4 9" xfId="698" xr:uid="{00000000-0005-0000-0000-000027020000}"/>
    <cellStyle name="Comma 5" xfId="51" xr:uid="{00000000-0005-0000-0000-000028020000}"/>
    <cellStyle name="Comma 5 2" xfId="741" xr:uid="{00000000-0005-0000-0000-000029020000}"/>
    <cellStyle name="Comma 6" xfId="52" xr:uid="{00000000-0005-0000-0000-00002A020000}"/>
    <cellStyle name="Comma 6 2" xfId="895" xr:uid="{00000000-0005-0000-0000-00002B020000}"/>
    <cellStyle name="Comma 6 2 2" xfId="1255" xr:uid="{00000000-0005-0000-0000-00002C020000}"/>
    <cellStyle name="Comma 6 2 2 2" xfId="1488" xr:uid="{00000000-0005-0000-0000-00002D020000}"/>
    <cellStyle name="Comma 6 2 3" xfId="1372" xr:uid="{00000000-0005-0000-0000-00002E020000}"/>
    <cellStyle name="Comma 6 2 4" xfId="1136" xr:uid="{00000000-0005-0000-0000-00002F020000}"/>
    <cellStyle name="Comma 6 3" xfId="966" xr:uid="{00000000-0005-0000-0000-000030020000}"/>
    <cellStyle name="Comma 6 3 2" xfId="1460" xr:uid="{00000000-0005-0000-0000-000031020000}"/>
    <cellStyle name="Comma 6 3 3" xfId="1227" xr:uid="{00000000-0005-0000-0000-000032020000}"/>
    <cellStyle name="Comma 6 4" xfId="1344" xr:uid="{00000000-0005-0000-0000-000033020000}"/>
    <cellStyle name="Comma 6 5" xfId="1108" xr:uid="{00000000-0005-0000-0000-000034020000}"/>
    <cellStyle name="Comma 6 6" xfId="738" xr:uid="{00000000-0005-0000-0000-000035020000}"/>
    <cellStyle name="Comma 7" xfId="102" xr:uid="{00000000-0005-0000-0000-000036020000}"/>
    <cellStyle name="Comma 7 2" xfId="1139" xr:uid="{00000000-0005-0000-0000-000037020000}"/>
    <cellStyle name="Comma 7 3" xfId="872" xr:uid="{00000000-0005-0000-0000-000038020000}"/>
    <cellStyle name="Comma 7 4" xfId="1528" xr:uid="{00000000-0005-0000-0000-000039020000}"/>
    <cellStyle name="Comma 8" xfId="1143" xr:uid="{00000000-0005-0000-0000-00003A020000}"/>
    <cellStyle name="Comma 8 2" xfId="1373" xr:uid="{00000000-0005-0000-0000-00003B020000}"/>
    <cellStyle name="Comma 9" xfId="1257" xr:uid="{00000000-0005-0000-0000-00003C020000}"/>
    <cellStyle name="Comma0" xfId="7" xr:uid="{00000000-0005-0000-0000-00003D020000}"/>
    <cellStyle name="Currency 2" xfId="12" xr:uid="{00000000-0005-0000-0000-00003E020000}"/>
    <cellStyle name="Currency 2 2" xfId="699" xr:uid="{00000000-0005-0000-0000-00003F020000}"/>
    <cellStyle name="Currency 2 3" xfId="690" xr:uid="{00000000-0005-0000-0000-000040020000}"/>
    <cellStyle name="Currency 2 4" xfId="865" xr:uid="{00000000-0005-0000-0000-000041020000}"/>
    <cellStyle name="Currency 2 5" xfId="1012" xr:uid="{00000000-0005-0000-0000-000042020000}"/>
    <cellStyle name="Currency 2 6" xfId="484" xr:uid="{00000000-0005-0000-0000-000043020000}"/>
    <cellStyle name="Currency 3" xfId="53" xr:uid="{00000000-0005-0000-0000-000044020000}"/>
    <cellStyle name="Currency 3 2" xfId="700" xr:uid="{00000000-0005-0000-0000-000045020000}"/>
    <cellStyle name="Currency 3 3" xfId="691" xr:uid="{00000000-0005-0000-0000-000046020000}"/>
    <cellStyle name="Currency 3 4" xfId="847" xr:uid="{00000000-0005-0000-0000-000047020000}"/>
    <cellStyle name="Currency 4" xfId="54" xr:uid="{00000000-0005-0000-0000-000048020000}"/>
    <cellStyle name="Currency 4 2" xfId="1024" xr:uid="{00000000-0005-0000-0000-000049020000}"/>
    <cellStyle name="Currency 5" xfId="485" xr:uid="{00000000-0005-0000-0000-00004A020000}"/>
    <cellStyle name="Currency0" xfId="8" xr:uid="{00000000-0005-0000-0000-00004B020000}"/>
    <cellStyle name="Date" xfId="9" xr:uid="{00000000-0005-0000-0000-00004C020000}"/>
    <cellStyle name="Explanatory Text 10" xfId="486" xr:uid="{00000000-0005-0000-0000-00004D020000}"/>
    <cellStyle name="Explanatory Text 11" xfId="487" xr:uid="{00000000-0005-0000-0000-00004E020000}"/>
    <cellStyle name="Explanatory Text 12" xfId="488" xr:uid="{00000000-0005-0000-0000-00004F020000}"/>
    <cellStyle name="Explanatory Text 13" xfId="489" xr:uid="{00000000-0005-0000-0000-000050020000}"/>
    <cellStyle name="Explanatory Text 14" xfId="490" xr:uid="{00000000-0005-0000-0000-000051020000}"/>
    <cellStyle name="Explanatory Text 15" xfId="491" xr:uid="{00000000-0005-0000-0000-000052020000}"/>
    <cellStyle name="Explanatory Text 16" xfId="858" xr:uid="{00000000-0005-0000-0000-000053020000}"/>
    <cellStyle name="Explanatory Text 2" xfId="55" xr:uid="{00000000-0005-0000-0000-000054020000}"/>
    <cellStyle name="Explanatory Text 2 2" xfId="812" xr:uid="{00000000-0005-0000-0000-000055020000}"/>
    <cellStyle name="Explanatory Text 2 3" xfId="492" xr:uid="{00000000-0005-0000-0000-000056020000}"/>
    <cellStyle name="Explanatory Text 3" xfId="493" xr:uid="{00000000-0005-0000-0000-000057020000}"/>
    <cellStyle name="Explanatory Text 4" xfId="494" xr:uid="{00000000-0005-0000-0000-000058020000}"/>
    <cellStyle name="Explanatory Text 5" xfId="495" xr:uid="{00000000-0005-0000-0000-000059020000}"/>
    <cellStyle name="Explanatory Text 6" xfId="496" xr:uid="{00000000-0005-0000-0000-00005A020000}"/>
    <cellStyle name="Explanatory Text 7" xfId="497" xr:uid="{00000000-0005-0000-0000-00005B020000}"/>
    <cellStyle name="Explanatory Text 8" xfId="498" xr:uid="{00000000-0005-0000-0000-00005C020000}"/>
    <cellStyle name="Explanatory Text 9" xfId="499" xr:uid="{00000000-0005-0000-0000-00005D020000}"/>
    <cellStyle name="Fixed" xfId="10" xr:uid="{00000000-0005-0000-0000-00005E020000}"/>
    <cellStyle name="Good 10" xfId="500" xr:uid="{00000000-0005-0000-0000-00005F020000}"/>
    <cellStyle name="Good 11" xfId="501" xr:uid="{00000000-0005-0000-0000-000060020000}"/>
    <cellStyle name="Good 12" xfId="502" xr:uid="{00000000-0005-0000-0000-000061020000}"/>
    <cellStyle name="Good 13" xfId="503" xr:uid="{00000000-0005-0000-0000-000062020000}"/>
    <cellStyle name="Good 14" xfId="504" xr:uid="{00000000-0005-0000-0000-000063020000}"/>
    <cellStyle name="Good 15" xfId="505" xr:uid="{00000000-0005-0000-0000-000064020000}"/>
    <cellStyle name="Good 16" xfId="854" xr:uid="{00000000-0005-0000-0000-000065020000}"/>
    <cellStyle name="Good 2" xfId="56" xr:uid="{00000000-0005-0000-0000-000066020000}"/>
    <cellStyle name="Good 2 2" xfId="802" xr:uid="{00000000-0005-0000-0000-000067020000}"/>
    <cellStyle name="Good 2 3" xfId="506" xr:uid="{00000000-0005-0000-0000-000068020000}"/>
    <cellStyle name="Good 3" xfId="507" xr:uid="{00000000-0005-0000-0000-000069020000}"/>
    <cellStyle name="Good 4" xfId="508" xr:uid="{00000000-0005-0000-0000-00006A020000}"/>
    <cellStyle name="Good 5" xfId="509" xr:uid="{00000000-0005-0000-0000-00006B020000}"/>
    <cellStyle name="Good 6" xfId="510" xr:uid="{00000000-0005-0000-0000-00006C020000}"/>
    <cellStyle name="Good 7" xfId="511" xr:uid="{00000000-0005-0000-0000-00006D020000}"/>
    <cellStyle name="Good 8" xfId="512" xr:uid="{00000000-0005-0000-0000-00006E020000}"/>
    <cellStyle name="Good 9" xfId="513" xr:uid="{00000000-0005-0000-0000-00006F020000}"/>
    <cellStyle name="Grey" xfId="57" xr:uid="{00000000-0005-0000-0000-000070020000}"/>
    <cellStyle name="Grey 2" xfId="58" xr:uid="{00000000-0005-0000-0000-000071020000}"/>
    <cellStyle name="Heading 1 10" xfId="514" xr:uid="{00000000-0005-0000-0000-000072020000}"/>
    <cellStyle name="Heading 1 11" xfId="515" xr:uid="{00000000-0005-0000-0000-000073020000}"/>
    <cellStyle name="Heading 1 12" xfId="516" xr:uid="{00000000-0005-0000-0000-000074020000}"/>
    <cellStyle name="Heading 1 13" xfId="517" xr:uid="{00000000-0005-0000-0000-000075020000}"/>
    <cellStyle name="Heading 1 14" xfId="518" xr:uid="{00000000-0005-0000-0000-000076020000}"/>
    <cellStyle name="Heading 1 15" xfId="519" xr:uid="{00000000-0005-0000-0000-000077020000}"/>
    <cellStyle name="Heading 1 16" xfId="859" xr:uid="{00000000-0005-0000-0000-000078020000}"/>
    <cellStyle name="Heading 1 2" xfId="59" xr:uid="{00000000-0005-0000-0000-000079020000}"/>
    <cellStyle name="Heading 1 2 2" xfId="798" xr:uid="{00000000-0005-0000-0000-00007A020000}"/>
    <cellStyle name="Heading 1 2 3" xfId="520" xr:uid="{00000000-0005-0000-0000-00007B020000}"/>
    <cellStyle name="Heading 1 3" xfId="521" xr:uid="{00000000-0005-0000-0000-00007C020000}"/>
    <cellStyle name="Heading 1 4" xfId="522" xr:uid="{00000000-0005-0000-0000-00007D020000}"/>
    <cellStyle name="Heading 1 5" xfId="523" xr:uid="{00000000-0005-0000-0000-00007E020000}"/>
    <cellStyle name="Heading 1 6" xfId="524" xr:uid="{00000000-0005-0000-0000-00007F020000}"/>
    <cellStyle name="Heading 1 7" xfId="525" xr:uid="{00000000-0005-0000-0000-000080020000}"/>
    <cellStyle name="Heading 1 8" xfId="526" xr:uid="{00000000-0005-0000-0000-000081020000}"/>
    <cellStyle name="Heading 1 9" xfId="527" xr:uid="{00000000-0005-0000-0000-000082020000}"/>
    <cellStyle name="Heading 2 10" xfId="528" xr:uid="{00000000-0005-0000-0000-000083020000}"/>
    <cellStyle name="Heading 2 11" xfId="529" xr:uid="{00000000-0005-0000-0000-000084020000}"/>
    <cellStyle name="Heading 2 12" xfId="530" xr:uid="{00000000-0005-0000-0000-000085020000}"/>
    <cellStyle name="Heading 2 13" xfId="531" xr:uid="{00000000-0005-0000-0000-000086020000}"/>
    <cellStyle name="Heading 2 14" xfId="532" xr:uid="{00000000-0005-0000-0000-000087020000}"/>
    <cellStyle name="Heading 2 15" xfId="533" xr:uid="{00000000-0005-0000-0000-000088020000}"/>
    <cellStyle name="Heading 2 16" xfId="857" xr:uid="{00000000-0005-0000-0000-000089020000}"/>
    <cellStyle name="Heading 2 2" xfId="60" xr:uid="{00000000-0005-0000-0000-00008A020000}"/>
    <cellStyle name="Heading 2 2 2" xfId="797" xr:uid="{00000000-0005-0000-0000-00008B020000}"/>
    <cellStyle name="Heading 2 2 3" xfId="534" xr:uid="{00000000-0005-0000-0000-00008C020000}"/>
    <cellStyle name="Heading 2 3" xfId="535" xr:uid="{00000000-0005-0000-0000-00008D020000}"/>
    <cellStyle name="Heading 2 4" xfId="536" xr:uid="{00000000-0005-0000-0000-00008E020000}"/>
    <cellStyle name="Heading 2 5" xfId="537" xr:uid="{00000000-0005-0000-0000-00008F020000}"/>
    <cellStyle name="Heading 2 6" xfId="538" xr:uid="{00000000-0005-0000-0000-000090020000}"/>
    <cellStyle name="Heading 2 7" xfId="539" xr:uid="{00000000-0005-0000-0000-000091020000}"/>
    <cellStyle name="Heading 2 8" xfId="540" xr:uid="{00000000-0005-0000-0000-000092020000}"/>
    <cellStyle name="Heading 2 9" xfId="541" xr:uid="{00000000-0005-0000-0000-000093020000}"/>
    <cellStyle name="Heading 3 10" xfId="542" xr:uid="{00000000-0005-0000-0000-000094020000}"/>
    <cellStyle name="Heading 3 11" xfId="543" xr:uid="{00000000-0005-0000-0000-000095020000}"/>
    <cellStyle name="Heading 3 12" xfId="544" xr:uid="{00000000-0005-0000-0000-000096020000}"/>
    <cellStyle name="Heading 3 13" xfId="545" xr:uid="{00000000-0005-0000-0000-000097020000}"/>
    <cellStyle name="Heading 3 14" xfId="546" xr:uid="{00000000-0005-0000-0000-000098020000}"/>
    <cellStyle name="Heading 3 15" xfId="547" xr:uid="{00000000-0005-0000-0000-000099020000}"/>
    <cellStyle name="Heading 3 16" xfId="856" xr:uid="{00000000-0005-0000-0000-00009A020000}"/>
    <cellStyle name="Heading 3 2" xfId="61" xr:uid="{00000000-0005-0000-0000-00009B020000}"/>
    <cellStyle name="Heading 3 2 2" xfId="800" xr:uid="{00000000-0005-0000-0000-00009C020000}"/>
    <cellStyle name="Heading 3 2 3" xfId="548" xr:uid="{00000000-0005-0000-0000-00009D020000}"/>
    <cellStyle name="Heading 3 3" xfId="549" xr:uid="{00000000-0005-0000-0000-00009E020000}"/>
    <cellStyle name="Heading 3 4" xfId="550" xr:uid="{00000000-0005-0000-0000-00009F020000}"/>
    <cellStyle name="Heading 3 5" xfId="551" xr:uid="{00000000-0005-0000-0000-0000A0020000}"/>
    <cellStyle name="Heading 3 6" xfId="552" xr:uid="{00000000-0005-0000-0000-0000A1020000}"/>
    <cellStyle name="Heading 3 7" xfId="553" xr:uid="{00000000-0005-0000-0000-0000A2020000}"/>
    <cellStyle name="Heading 3 8" xfId="554" xr:uid="{00000000-0005-0000-0000-0000A3020000}"/>
    <cellStyle name="Heading 3 9" xfId="555" xr:uid="{00000000-0005-0000-0000-0000A4020000}"/>
    <cellStyle name="Heading 4 10" xfId="556" xr:uid="{00000000-0005-0000-0000-0000A5020000}"/>
    <cellStyle name="Heading 4 11" xfId="557" xr:uid="{00000000-0005-0000-0000-0000A6020000}"/>
    <cellStyle name="Heading 4 12" xfId="558" xr:uid="{00000000-0005-0000-0000-0000A7020000}"/>
    <cellStyle name="Heading 4 13" xfId="559" xr:uid="{00000000-0005-0000-0000-0000A8020000}"/>
    <cellStyle name="Heading 4 14" xfId="560" xr:uid="{00000000-0005-0000-0000-0000A9020000}"/>
    <cellStyle name="Heading 4 15" xfId="561" xr:uid="{00000000-0005-0000-0000-0000AA020000}"/>
    <cellStyle name="Heading 4 16" xfId="899" xr:uid="{00000000-0005-0000-0000-0000AB020000}"/>
    <cellStyle name="Heading 4 2" xfId="62" xr:uid="{00000000-0005-0000-0000-0000AC020000}"/>
    <cellStyle name="Heading 4 2 2" xfId="801" xr:uid="{00000000-0005-0000-0000-0000AD020000}"/>
    <cellStyle name="Heading 4 2 3" xfId="562" xr:uid="{00000000-0005-0000-0000-0000AE020000}"/>
    <cellStyle name="Heading 4 3" xfId="563" xr:uid="{00000000-0005-0000-0000-0000AF020000}"/>
    <cellStyle name="Heading 4 4" xfId="564" xr:uid="{00000000-0005-0000-0000-0000B0020000}"/>
    <cellStyle name="Heading 4 5" xfId="565" xr:uid="{00000000-0005-0000-0000-0000B1020000}"/>
    <cellStyle name="Heading 4 6" xfId="566" xr:uid="{00000000-0005-0000-0000-0000B2020000}"/>
    <cellStyle name="Heading 4 7" xfId="567" xr:uid="{00000000-0005-0000-0000-0000B3020000}"/>
    <cellStyle name="Heading 4 8" xfId="568" xr:uid="{00000000-0005-0000-0000-0000B4020000}"/>
    <cellStyle name="Heading 4 9" xfId="569" xr:uid="{00000000-0005-0000-0000-0000B5020000}"/>
    <cellStyle name="Hyperlink 2" xfId="860" xr:uid="{00000000-0005-0000-0000-0000B6020000}"/>
    <cellStyle name="Hyperlink 2 2" xfId="1079" xr:uid="{00000000-0005-0000-0000-0000B7020000}"/>
    <cellStyle name="Hyperlink 3" xfId="791" xr:uid="{00000000-0005-0000-0000-0000B8020000}"/>
    <cellStyle name="Hyperlink 4" xfId="1523" xr:uid="{00000000-0005-0000-0000-0000B9020000}"/>
    <cellStyle name="Hyperlink 5" xfId="1530" xr:uid="{00000000-0005-0000-0000-0000BA020000}"/>
    <cellStyle name="Input [yellow]" xfId="63" xr:uid="{00000000-0005-0000-0000-0000BB020000}"/>
    <cellStyle name="Input [yellow] 2" xfId="64" xr:uid="{00000000-0005-0000-0000-0000BC020000}"/>
    <cellStyle name="Input 10" xfId="570" xr:uid="{00000000-0005-0000-0000-0000BD020000}"/>
    <cellStyle name="Input 11" xfId="571" xr:uid="{00000000-0005-0000-0000-0000BE020000}"/>
    <cellStyle name="Input 12" xfId="572" xr:uid="{00000000-0005-0000-0000-0000BF020000}"/>
    <cellStyle name="Input 13" xfId="573" xr:uid="{00000000-0005-0000-0000-0000C0020000}"/>
    <cellStyle name="Input 14" xfId="574" xr:uid="{00000000-0005-0000-0000-0000C1020000}"/>
    <cellStyle name="Input 15" xfId="575" xr:uid="{00000000-0005-0000-0000-0000C2020000}"/>
    <cellStyle name="Input 16" xfId="852" xr:uid="{00000000-0005-0000-0000-0000C3020000}"/>
    <cellStyle name="Input 17" xfId="928" xr:uid="{00000000-0005-0000-0000-0000C4020000}"/>
    <cellStyle name="Input 18" xfId="927" xr:uid="{00000000-0005-0000-0000-0000C5020000}"/>
    <cellStyle name="Input 19" xfId="926" xr:uid="{00000000-0005-0000-0000-0000C6020000}"/>
    <cellStyle name="Input 2" xfId="65" xr:uid="{00000000-0005-0000-0000-0000C7020000}"/>
    <cellStyle name="Input 2 2" xfId="805" xr:uid="{00000000-0005-0000-0000-0000C8020000}"/>
    <cellStyle name="Input 2 3" xfId="576" xr:uid="{00000000-0005-0000-0000-0000C9020000}"/>
    <cellStyle name="Input 20" xfId="934" xr:uid="{00000000-0005-0000-0000-0000CA020000}"/>
    <cellStyle name="Input 3" xfId="577" xr:uid="{00000000-0005-0000-0000-0000CB020000}"/>
    <cellStyle name="Input 4" xfId="578" xr:uid="{00000000-0005-0000-0000-0000CC020000}"/>
    <cellStyle name="Input 5" xfId="579" xr:uid="{00000000-0005-0000-0000-0000CD020000}"/>
    <cellStyle name="Input 6" xfId="580" xr:uid="{00000000-0005-0000-0000-0000CE020000}"/>
    <cellStyle name="Input 7" xfId="581" xr:uid="{00000000-0005-0000-0000-0000CF020000}"/>
    <cellStyle name="Input 8" xfId="582" xr:uid="{00000000-0005-0000-0000-0000D0020000}"/>
    <cellStyle name="Input 9" xfId="583" xr:uid="{00000000-0005-0000-0000-0000D1020000}"/>
    <cellStyle name="Linked Cell 10" xfId="584" xr:uid="{00000000-0005-0000-0000-0000D2020000}"/>
    <cellStyle name="Linked Cell 11" xfId="585" xr:uid="{00000000-0005-0000-0000-0000D3020000}"/>
    <cellStyle name="Linked Cell 12" xfId="586" xr:uid="{00000000-0005-0000-0000-0000D4020000}"/>
    <cellStyle name="Linked Cell 13" xfId="587" xr:uid="{00000000-0005-0000-0000-0000D5020000}"/>
    <cellStyle name="Linked Cell 14" xfId="588" xr:uid="{00000000-0005-0000-0000-0000D6020000}"/>
    <cellStyle name="Linked Cell 15" xfId="589" xr:uid="{00000000-0005-0000-0000-0000D7020000}"/>
    <cellStyle name="Linked Cell 16" xfId="893" xr:uid="{00000000-0005-0000-0000-0000D8020000}"/>
    <cellStyle name="Linked Cell 2" xfId="66" xr:uid="{00000000-0005-0000-0000-0000D9020000}"/>
    <cellStyle name="Linked Cell 2 2" xfId="808" xr:uid="{00000000-0005-0000-0000-0000DA020000}"/>
    <cellStyle name="Linked Cell 2 3" xfId="590" xr:uid="{00000000-0005-0000-0000-0000DB020000}"/>
    <cellStyle name="Linked Cell 3" xfId="591" xr:uid="{00000000-0005-0000-0000-0000DC020000}"/>
    <cellStyle name="Linked Cell 4" xfId="592" xr:uid="{00000000-0005-0000-0000-0000DD020000}"/>
    <cellStyle name="Linked Cell 5" xfId="593" xr:uid="{00000000-0005-0000-0000-0000DE020000}"/>
    <cellStyle name="Linked Cell 6" xfId="594" xr:uid="{00000000-0005-0000-0000-0000DF020000}"/>
    <cellStyle name="Linked Cell 7" xfId="595" xr:uid="{00000000-0005-0000-0000-0000E0020000}"/>
    <cellStyle name="Linked Cell 8" xfId="596" xr:uid="{00000000-0005-0000-0000-0000E1020000}"/>
    <cellStyle name="Linked Cell 9" xfId="597" xr:uid="{00000000-0005-0000-0000-0000E2020000}"/>
    <cellStyle name="M" xfId="67" xr:uid="{00000000-0005-0000-0000-0000E3020000}"/>
    <cellStyle name="M.00" xfId="68" xr:uid="{00000000-0005-0000-0000-0000E4020000}"/>
    <cellStyle name="M_9. Rev2Cost_GDPIPI" xfId="69" xr:uid="{00000000-0005-0000-0000-0000E5020000}"/>
    <cellStyle name="M_lists" xfId="70" xr:uid="{00000000-0005-0000-0000-0000E6020000}"/>
    <cellStyle name="M_lists_4. Current Monthly Fixed Charge" xfId="71" xr:uid="{00000000-0005-0000-0000-0000E7020000}"/>
    <cellStyle name="M_Sheet4" xfId="72" xr:uid="{00000000-0005-0000-0000-0000E8020000}"/>
    <cellStyle name="Neutral 10" xfId="598" xr:uid="{00000000-0005-0000-0000-0000E9020000}"/>
    <cellStyle name="Neutral 11" xfId="599" xr:uid="{00000000-0005-0000-0000-0000EA020000}"/>
    <cellStyle name="Neutral 12" xfId="600" xr:uid="{00000000-0005-0000-0000-0000EB020000}"/>
    <cellStyle name="Neutral 13" xfId="601" xr:uid="{00000000-0005-0000-0000-0000EC020000}"/>
    <cellStyle name="Neutral 14" xfId="602" xr:uid="{00000000-0005-0000-0000-0000ED020000}"/>
    <cellStyle name="Neutral 15" xfId="603" xr:uid="{00000000-0005-0000-0000-0000EE020000}"/>
    <cellStyle name="Neutral 16" xfId="792" xr:uid="{00000000-0005-0000-0000-0000EF020000}"/>
    <cellStyle name="Neutral 2" xfId="73" xr:uid="{00000000-0005-0000-0000-0000F0020000}"/>
    <cellStyle name="Neutral 2 2" xfId="804" xr:uid="{00000000-0005-0000-0000-0000F1020000}"/>
    <cellStyle name="Neutral 2 3" xfId="604" xr:uid="{00000000-0005-0000-0000-0000F2020000}"/>
    <cellStyle name="Neutral 3" xfId="605" xr:uid="{00000000-0005-0000-0000-0000F3020000}"/>
    <cellStyle name="Neutral 4" xfId="606" xr:uid="{00000000-0005-0000-0000-0000F4020000}"/>
    <cellStyle name="Neutral 5" xfId="607" xr:uid="{00000000-0005-0000-0000-0000F5020000}"/>
    <cellStyle name="Neutral 6" xfId="608" xr:uid="{00000000-0005-0000-0000-0000F6020000}"/>
    <cellStyle name="Neutral 7" xfId="609" xr:uid="{00000000-0005-0000-0000-0000F7020000}"/>
    <cellStyle name="Neutral 8" xfId="610" xr:uid="{00000000-0005-0000-0000-0000F8020000}"/>
    <cellStyle name="Neutral 9" xfId="611" xr:uid="{00000000-0005-0000-0000-0000F9020000}"/>
    <cellStyle name="Normal" xfId="0" builtinId="0"/>
    <cellStyle name="Normal - Style1" xfId="74" xr:uid="{00000000-0005-0000-0000-0000FB020000}"/>
    <cellStyle name="Normal 10" xfId="612" xr:uid="{00000000-0005-0000-0000-0000FC020000}"/>
    <cellStyle name="Normal 11" xfId="613" xr:uid="{00000000-0005-0000-0000-0000FD020000}"/>
    <cellStyle name="Normal 12" xfId="614" xr:uid="{00000000-0005-0000-0000-0000FE020000}"/>
    <cellStyle name="Normal 13" xfId="615" xr:uid="{00000000-0005-0000-0000-0000FF020000}"/>
    <cellStyle name="Normal 14" xfId="616" xr:uid="{00000000-0005-0000-0000-000000030000}"/>
    <cellStyle name="Normal 15" xfId="617" xr:uid="{00000000-0005-0000-0000-000001030000}"/>
    <cellStyle name="Normal 16" xfId="618" xr:uid="{00000000-0005-0000-0000-000002030000}"/>
    <cellStyle name="Normal 16 10" xfId="1259" xr:uid="{00000000-0005-0000-0000-000003030000}"/>
    <cellStyle name="Normal 16 11" xfId="1015" xr:uid="{00000000-0005-0000-0000-000004030000}"/>
    <cellStyle name="Normal 16 12" xfId="1525" xr:uid="{00000000-0005-0000-0000-000005030000}"/>
    <cellStyle name="Normal 16 2" xfId="702" xr:uid="{00000000-0005-0000-0000-000006030000}"/>
    <cellStyle name="Normal 16 2 2" xfId="719" xr:uid="{00000000-0005-0000-0000-000007030000}"/>
    <cellStyle name="Normal 16 2 2 2" xfId="756" xr:uid="{00000000-0005-0000-0000-000008030000}"/>
    <cellStyle name="Normal 16 2 2 2 2" xfId="911" xr:uid="{00000000-0005-0000-0000-000009030000}"/>
    <cellStyle name="Normal 16 2 2 2 2 2" xfId="1242" xr:uid="{00000000-0005-0000-0000-00000A030000}"/>
    <cellStyle name="Normal 16 2 2 2 2 2 2" xfId="1475" xr:uid="{00000000-0005-0000-0000-00000B030000}"/>
    <cellStyle name="Normal 16 2 2 2 2 3" xfId="1359" xr:uid="{00000000-0005-0000-0000-00000C030000}"/>
    <cellStyle name="Normal 16 2 2 2 2 4" xfId="1123" xr:uid="{00000000-0005-0000-0000-00000D030000}"/>
    <cellStyle name="Normal 16 2 2 2 3" xfId="981" xr:uid="{00000000-0005-0000-0000-00000E030000}"/>
    <cellStyle name="Normal 16 2 2 2 3 2" xfId="1419" xr:uid="{00000000-0005-0000-0000-00000F030000}"/>
    <cellStyle name="Normal 16 2 2 2 3 3" xfId="1186" xr:uid="{00000000-0005-0000-0000-000010030000}"/>
    <cellStyle name="Normal 16 2 2 2 4" xfId="1303" xr:uid="{00000000-0005-0000-0000-000011030000}"/>
    <cellStyle name="Normal 16 2 2 2 5" xfId="1066" xr:uid="{00000000-0005-0000-0000-000012030000}"/>
    <cellStyle name="Normal 16 2 2 3" xfId="878" xr:uid="{00000000-0005-0000-0000-000013030000}"/>
    <cellStyle name="Normal 16 2 2 3 2" xfId="1212" xr:uid="{00000000-0005-0000-0000-000014030000}"/>
    <cellStyle name="Normal 16 2 2 3 2 2" xfId="1445" xr:uid="{00000000-0005-0000-0000-000015030000}"/>
    <cellStyle name="Normal 16 2 2 3 3" xfId="1329" xr:uid="{00000000-0005-0000-0000-000016030000}"/>
    <cellStyle name="Normal 16 2 2 3 4" xfId="1093" xr:uid="{00000000-0005-0000-0000-000017030000}"/>
    <cellStyle name="Normal 16 2 2 4" xfId="951" xr:uid="{00000000-0005-0000-0000-000018030000}"/>
    <cellStyle name="Normal 16 2 2 4 2" xfId="1393" xr:uid="{00000000-0005-0000-0000-000019030000}"/>
    <cellStyle name="Normal 16 2 2 4 3" xfId="1160" xr:uid="{00000000-0005-0000-0000-00001A030000}"/>
    <cellStyle name="Normal 16 2 2 5" xfId="1277" xr:uid="{00000000-0005-0000-0000-00001B030000}"/>
    <cellStyle name="Normal 16 2 2 6" xfId="1040" xr:uid="{00000000-0005-0000-0000-00001C030000}"/>
    <cellStyle name="Normal 16 2 3" xfId="727" xr:uid="{00000000-0005-0000-0000-00001D030000}"/>
    <cellStyle name="Normal 16 2 3 2" xfId="764" xr:uid="{00000000-0005-0000-0000-00001E030000}"/>
    <cellStyle name="Normal 16 2 3 2 2" xfId="919" xr:uid="{00000000-0005-0000-0000-00001F030000}"/>
    <cellStyle name="Normal 16 2 3 2 2 2" xfId="1250" xr:uid="{00000000-0005-0000-0000-000020030000}"/>
    <cellStyle name="Normal 16 2 3 2 2 2 2" xfId="1483" xr:uid="{00000000-0005-0000-0000-000021030000}"/>
    <cellStyle name="Normal 16 2 3 2 2 3" xfId="1367" xr:uid="{00000000-0005-0000-0000-000022030000}"/>
    <cellStyle name="Normal 16 2 3 2 2 4" xfId="1131" xr:uid="{00000000-0005-0000-0000-000023030000}"/>
    <cellStyle name="Normal 16 2 3 2 3" xfId="989" xr:uid="{00000000-0005-0000-0000-000024030000}"/>
    <cellStyle name="Normal 16 2 3 2 3 2" xfId="1427" xr:uid="{00000000-0005-0000-0000-000025030000}"/>
    <cellStyle name="Normal 16 2 3 2 3 3" xfId="1194" xr:uid="{00000000-0005-0000-0000-000026030000}"/>
    <cellStyle name="Normal 16 2 3 2 4" xfId="1311" xr:uid="{00000000-0005-0000-0000-000027030000}"/>
    <cellStyle name="Normal 16 2 3 2 5" xfId="1074" xr:uid="{00000000-0005-0000-0000-000028030000}"/>
    <cellStyle name="Normal 16 2 3 3" xfId="886" xr:uid="{00000000-0005-0000-0000-000029030000}"/>
    <cellStyle name="Normal 16 2 3 3 2" xfId="1220" xr:uid="{00000000-0005-0000-0000-00002A030000}"/>
    <cellStyle name="Normal 16 2 3 3 2 2" xfId="1453" xr:uid="{00000000-0005-0000-0000-00002B030000}"/>
    <cellStyle name="Normal 16 2 3 3 3" xfId="1337" xr:uid="{00000000-0005-0000-0000-00002C030000}"/>
    <cellStyle name="Normal 16 2 3 3 4" xfId="1101" xr:uid="{00000000-0005-0000-0000-00002D030000}"/>
    <cellStyle name="Normal 16 2 3 4" xfId="959" xr:uid="{00000000-0005-0000-0000-00002E030000}"/>
    <cellStyle name="Normal 16 2 3 4 2" xfId="1401" xr:uid="{00000000-0005-0000-0000-00002F030000}"/>
    <cellStyle name="Normal 16 2 3 4 3" xfId="1168" xr:uid="{00000000-0005-0000-0000-000030030000}"/>
    <cellStyle name="Normal 16 2 3 5" xfId="1285" xr:uid="{00000000-0005-0000-0000-000031030000}"/>
    <cellStyle name="Normal 16 2 3 6" xfId="1048" xr:uid="{00000000-0005-0000-0000-000032030000}"/>
    <cellStyle name="Normal 16 2 4" xfId="748" xr:uid="{00000000-0005-0000-0000-000033030000}"/>
    <cellStyle name="Normal 16 2 4 2" xfId="903" xr:uid="{00000000-0005-0000-0000-000034030000}"/>
    <cellStyle name="Normal 16 2 4 2 2" xfId="1234" xr:uid="{00000000-0005-0000-0000-000035030000}"/>
    <cellStyle name="Normal 16 2 4 2 2 2" xfId="1467" xr:uid="{00000000-0005-0000-0000-000036030000}"/>
    <cellStyle name="Normal 16 2 4 2 3" xfId="1351" xr:uid="{00000000-0005-0000-0000-000037030000}"/>
    <cellStyle name="Normal 16 2 4 2 4" xfId="1115" xr:uid="{00000000-0005-0000-0000-000038030000}"/>
    <cellStyle name="Normal 16 2 4 3" xfId="973" xr:uid="{00000000-0005-0000-0000-000039030000}"/>
    <cellStyle name="Normal 16 2 4 3 2" xfId="1385" xr:uid="{00000000-0005-0000-0000-00003A030000}"/>
    <cellStyle name="Normal 16 2 4 3 3" xfId="1152" xr:uid="{00000000-0005-0000-0000-00003B030000}"/>
    <cellStyle name="Normal 16 2 4 4" xfId="1269" xr:uid="{00000000-0005-0000-0000-00003C030000}"/>
    <cellStyle name="Normal 16 2 4 5" xfId="1032" xr:uid="{00000000-0005-0000-0000-00003D030000}"/>
    <cellStyle name="Normal 16 2 5" xfId="867" xr:uid="{00000000-0005-0000-0000-00003E030000}"/>
    <cellStyle name="Normal 16 2 5 2" xfId="1178" xr:uid="{00000000-0005-0000-0000-00003F030000}"/>
    <cellStyle name="Normal 16 2 5 2 2" xfId="1411" xr:uid="{00000000-0005-0000-0000-000040030000}"/>
    <cellStyle name="Normal 16 2 5 3" xfId="1295" xr:uid="{00000000-0005-0000-0000-000041030000}"/>
    <cellStyle name="Normal 16 2 5 4" xfId="1058" xr:uid="{00000000-0005-0000-0000-000042030000}"/>
    <cellStyle name="Normal 16 2 6" xfId="943" xr:uid="{00000000-0005-0000-0000-000043030000}"/>
    <cellStyle name="Normal 16 2 6 2" xfId="1204" xr:uid="{00000000-0005-0000-0000-000044030000}"/>
    <cellStyle name="Normal 16 2 6 2 2" xfId="1437" xr:uid="{00000000-0005-0000-0000-000045030000}"/>
    <cellStyle name="Normal 16 2 6 3" xfId="1321" xr:uid="{00000000-0005-0000-0000-000046030000}"/>
    <cellStyle name="Normal 16 2 6 4" xfId="1085" xr:uid="{00000000-0005-0000-0000-000047030000}"/>
    <cellStyle name="Normal 16 2 7" xfId="1145" xr:uid="{00000000-0005-0000-0000-000048030000}"/>
    <cellStyle name="Normal 16 2 7 2" xfId="1378" xr:uid="{00000000-0005-0000-0000-000049030000}"/>
    <cellStyle name="Normal 16 2 8" xfId="1262" xr:uid="{00000000-0005-0000-0000-00004A030000}"/>
    <cellStyle name="Normal 16 2 9" xfId="1025" xr:uid="{00000000-0005-0000-0000-00004B030000}"/>
    <cellStyle name="Normal 16 3" xfId="692" xr:uid="{00000000-0005-0000-0000-00004C030000}"/>
    <cellStyle name="Normal 16 3 2" xfId="745" xr:uid="{00000000-0005-0000-0000-00004D030000}"/>
    <cellStyle name="Normal 16 3 2 2" xfId="900" xr:uid="{00000000-0005-0000-0000-00004E030000}"/>
    <cellStyle name="Normal 16 3 2 2 2" xfId="1231" xr:uid="{00000000-0005-0000-0000-00004F030000}"/>
    <cellStyle name="Normal 16 3 2 2 2 2" xfId="1464" xr:uid="{00000000-0005-0000-0000-000050030000}"/>
    <cellStyle name="Normal 16 3 2 2 3" xfId="1348" xr:uid="{00000000-0005-0000-0000-000051030000}"/>
    <cellStyle name="Normal 16 3 2 2 4" xfId="1112" xr:uid="{00000000-0005-0000-0000-000052030000}"/>
    <cellStyle name="Normal 16 3 2 3" xfId="970" xr:uid="{00000000-0005-0000-0000-000053030000}"/>
    <cellStyle name="Normal 16 3 2 3 2" xfId="1408" xr:uid="{00000000-0005-0000-0000-000054030000}"/>
    <cellStyle name="Normal 16 3 2 3 3" xfId="1175" xr:uid="{00000000-0005-0000-0000-000055030000}"/>
    <cellStyle name="Normal 16 3 2 4" xfId="1292" xr:uid="{00000000-0005-0000-0000-000056030000}"/>
    <cellStyle name="Normal 16 3 2 5" xfId="1055" xr:uid="{00000000-0005-0000-0000-000057030000}"/>
    <cellStyle name="Normal 16 3 3" xfId="861" xr:uid="{00000000-0005-0000-0000-000058030000}"/>
    <cellStyle name="Normal 16 3 3 2" xfId="1201" xr:uid="{00000000-0005-0000-0000-000059030000}"/>
    <cellStyle name="Normal 16 3 3 2 2" xfId="1434" xr:uid="{00000000-0005-0000-0000-00005A030000}"/>
    <cellStyle name="Normal 16 3 3 3" xfId="1318" xr:uid="{00000000-0005-0000-0000-00005B030000}"/>
    <cellStyle name="Normal 16 3 3 4" xfId="1082" xr:uid="{00000000-0005-0000-0000-00005C030000}"/>
    <cellStyle name="Normal 16 3 4" xfId="940" xr:uid="{00000000-0005-0000-0000-00005D030000}"/>
    <cellStyle name="Normal 16 3 4 2" xfId="1382" xr:uid="{00000000-0005-0000-0000-00005E030000}"/>
    <cellStyle name="Normal 16 3 4 3" xfId="1149" xr:uid="{00000000-0005-0000-0000-00005F030000}"/>
    <cellStyle name="Normal 16 3 5" xfId="1266" xr:uid="{00000000-0005-0000-0000-000060030000}"/>
    <cellStyle name="Normal 16 3 6" xfId="1029" xr:uid="{00000000-0005-0000-0000-000061030000}"/>
    <cellStyle name="Normal 16 4" xfId="716" xr:uid="{00000000-0005-0000-0000-000062030000}"/>
    <cellStyle name="Normal 16 4 2" xfId="753" xr:uid="{00000000-0005-0000-0000-000063030000}"/>
    <cellStyle name="Normal 16 4 2 2" xfId="908" xr:uid="{00000000-0005-0000-0000-000064030000}"/>
    <cellStyle name="Normal 16 4 2 2 2" xfId="1239" xr:uid="{00000000-0005-0000-0000-000065030000}"/>
    <cellStyle name="Normal 16 4 2 2 2 2" xfId="1472" xr:uid="{00000000-0005-0000-0000-000066030000}"/>
    <cellStyle name="Normal 16 4 2 2 3" xfId="1356" xr:uid="{00000000-0005-0000-0000-000067030000}"/>
    <cellStyle name="Normal 16 4 2 2 4" xfId="1120" xr:uid="{00000000-0005-0000-0000-000068030000}"/>
    <cellStyle name="Normal 16 4 2 3" xfId="978" xr:uid="{00000000-0005-0000-0000-000069030000}"/>
    <cellStyle name="Normal 16 4 2 3 2" xfId="1416" xr:uid="{00000000-0005-0000-0000-00006A030000}"/>
    <cellStyle name="Normal 16 4 2 3 3" xfId="1183" xr:uid="{00000000-0005-0000-0000-00006B030000}"/>
    <cellStyle name="Normal 16 4 2 4" xfId="1300" xr:uid="{00000000-0005-0000-0000-00006C030000}"/>
    <cellStyle name="Normal 16 4 2 5" xfId="1063" xr:uid="{00000000-0005-0000-0000-00006D030000}"/>
    <cellStyle name="Normal 16 4 3" xfId="875" xr:uid="{00000000-0005-0000-0000-00006E030000}"/>
    <cellStyle name="Normal 16 4 3 2" xfId="1209" xr:uid="{00000000-0005-0000-0000-00006F030000}"/>
    <cellStyle name="Normal 16 4 3 2 2" xfId="1442" xr:uid="{00000000-0005-0000-0000-000070030000}"/>
    <cellStyle name="Normal 16 4 3 3" xfId="1326" xr:uid="{00000000-0005-0000-0000-000071030000}"/>
    <cellStyle name="Normal 16 4 3 4" xfId="1090" xr:uid="{00000000-0005-0000-0000-000072030000}"/>
    <cellStyle name="Normal 16 4 4" xfId="948" xr:uid="{00000000-0005-0000-0000-000073030000}"/>
    <cellStyle name="Normal 16 4 4 2" xfId="1390" xr:uid="{00000000-0005-0000-0000-000074030000}"/>
    <cellStyle name="Normal 16 4 4 3" xfId="1157" xr:uid="{00000000-0005-0000-0000-000075030000}"/>
    <cellStyle name="Normal 16 4 5" xfId="1274" xr:uid="{00000000-0005-0000-0000-000076030000}"/>
    <cellStyle name="Normal 16 4 6" xfId="1037" xr:uid="{00000000-0005-0000-0000-000077030000}"/>
    <cellStyle name="Normal 16 5" xfId="724" xr:uid="{00000000-0005-0000-0000-000078030000}"/>
    <cellStyle name="Normal 16 5 2" xfId="761" xr:uid="{00000000-0005-0000-0000-000079030000}"/>
    <cellStyle name="Normal 16 5 2 2" xfId="916" xr:uid="{00000000-0005-0000-0000-00007A030000}"/>
    <cellStyle name="Normal 16 5 2 2 2" xfId="1247" xr:uid="{00000000-0005-0000-0000-00007B030000}"/>
    <cellStyle name="Normal 16 5 2 2 2 2" xfId="1480" xr:uid="{00000000-0005-0000-0000-00007C030000}"/>
    <cellStyle name="Normal 16 5 2 2 3" xfId="1364" xr:uid="{00000000-0005-0000-0000-00007D030000}"/>
    <cellStyle name="Normal 16 5 2 2 4" xfId="1128" xr:uid="{00000000-0005-0000-0000-00007E030000}"/>
    <cellStyle name="Normal 16 5 2 3" xfId="986" xr:uid="{00000000-0005-0000-0000-00007F030000}"/>
    <cellStyle name="Normal 16 5 2 3 2" xfId="1424" xr:uid="{00000000-0005-0000-0000-000080030000}"/>
    <cellStyle name="Normal 16 5 2 3 3" xfId="1191" xr:uid="{00000000-0005-0000-0000-000081030000}"/>
    <cellStyle name="Normal 16 5 2 4" xfId="1308" xr:uid="{00000000-0005-0000-0000-000082030000}"/>
    <cellStyle name="Normal 16 5 2 5" xfId="1071" xr:uid="{00000000-0005-0000-0000-000083030000}"/>
    <cellStyle name="Normal 16 5 3" xfId="883" xr:uid="{00000000-0005-0000-0000-000084030000}"/>
    <cellStyle name="Normal 16 5 3 2" xfId="1217" xr:uid="{00000000-0005-0000-0000-000085030000}"/>
    <cellStyle name="Normal 16 5 3 2 2" xfId="1450" xr:uid="{00000000-0005-0000-0000-000086030000}"/>
    <cellStyle name="Normal 16 5 3 3" xfId="1334" xr:uid="{00000000-0005-0000-0000-000087030000}"/>
    <cellStyle name="Normal 16 5 3 4" xfId="1098" xr:uid="{00000000-0005-0000-0000-000088030000}"/>
    <cellStyle name="Normal 16 5 4" xfId="956" xr:uid="{00000000-0005-0000-0000-000089030000}"/>
    <cellStyle name="Normal 16 5 4 2" xfId="1398" xr:uid="{00000000-0005-0000-0000-00008A030000}"/>
    <cellStyle name="Normal 16 5 4 3" xfId="1165" xr:uid="{00000000-0005-0000-0000-00008B030000}"/>
    <cellStyle name="Normal 16 5 5" xfId="1282" xr:uid="{00000000-0005-0000-0000-00008C030000}"/>
    <cellStyle name="Normal 16 5 6" xfId="1045" xr:uid="{00000000-0005-0000-0000-00008D030000}"/>
    <cellStyle name="Normal 16 6" xfId="742" xr:uid="{00000000-0005-0000-0000-00008E030000}"/>
    <cellStyle name="Normal 16 6 2" xfId="897" xr:uid="{00000000-0005-0000-0000-00008F030000}"/>
    <cellStyle name="Normal 16 6 2 2" xfId="1229" xr:uid="{00000000-0005-0000-0000-000090030000}"/>
    <cellStyle name="Normal 16 6 2 2 2" xfId="1462" xr:uid="{00000000-0005-0000-0000-000091030000}"/>
    <cellStyle name="Normal 16 6 2 3" xfId="1346" xr:uid="{00000000-0005-0000-0000-000092030000}"/>
    <cellStyle name="Normal 16 6 2 4" xfId="1110" xr:uid="{00000000-0005-0000-0000-000093030000}"/>
    <cellStyle name="Normal 16 6 3" xfId="968" xr:uid="{00000000-0005-0000-0000-000094030000}"/>
    <cellStyle name="Normal 16 6 3 2" xfId="1380" xr:uid="{00000000-0005-0000-0000-000095030000}"/>
    <cellStyle name="Normal 16 6 3 3" xfId="1147" xr:uid="{00000000-0005-0000-0000-000096030000}"/>
    <cellStyle name="Normal 16 6 4" xfId="1264" xr:uid="{00000000-0005-0000-0000-000097030000}"/>
    <cellStyle name="Normal 16 6 5" xfId="1027" xr:uid="{00000000-0005-0000-0000-000098030000}"/>
    <cellStyle name="Normal 16 7" xfId="848" xr:uid="{00000000-0005-0000-0000-000099030000}"/>
    <cellStyle name="Normal 16 7 2" xfId="1173" xr:uid="{00000000-0005-0000-0000-00009A030000}"/>
    <cellStyle name="Normal 16 7 2 2" xfId="1406" xr:uid="{00000000-0005-0000-0000-00009B030000}"/>
    <cellStyle name="Normal 16 7 3" xfId="1290" xr:uid="{00000000-0005-0000-0000-00009C030000}"/>
    <cellStyle name="Normal 16 7 4" xfId="1053" xr:uid="{00000000-0005-0000-0000-00009D030000}"/>
    <cellStyle name="Normal 16 8" xfId="937" xr:uid="{00000000-0005-0000-0000-00009E030000}"/>
    <cellStyle name="Normal 16 8 2" xfId="1199" xr:uid="{00000000-0005-0000-0000-00009F030000}"/>
    <cellStyle name="Normal 16 8 2 2" xfId="1432" xr:uid="{00000000-0005-0000-0000-0000A0030000}"/>
    <cellStyle name="Normal 16 8 3" xfId="1316" xr:uid="{00000000-0005-0000-0000-0000A1030000}"/>
    <cellStyle name="Normal 16 8 4" xfId="1080" xr:uid="{00000000-0005-0000-0000-0000A2030000}"/>
    <cellStyle name="Normal 16 9" xfId="1140" xr:uid="{00000000-0005-0000-0000-0000A3030000}"/>
    <cellStyle name="Normal 16 9 2" xfId="1375" xr:uid="{00000000-0005-0000-0000-0000A4030000}"/>
    <cellStyle name="Normal 17" xfId="619" xr:uid="{00000000-0005-0000-0000-0000A5030000}"/>
    <cellStyle name="Normal 17 10" xfId="1260" xr:uid="{00000000-0005-0000-0000-0000A6030000}"/>
    <cellStyle name="Normal 17 11" xfId="1016" xr:uid="{00000000-0005-0000-0000-0000A7030000}"/>
    <cellStyle name="Normal 17 2" xfId="703" xr:uid="{00000000-0005-0000-0000-0000A8030000}"/>
    <cellStyle name="Normal 17 2 2" xfId="720" xr:uid="{00000000-0005-0000-0000-0000A9030000}"/>
    <cellStyle name="Normal 17 2 2 2" xfId="757" xr:uid="{00000000-0005-0000-0000-0000AA030000}"/>
    <cellStyle name="Normal 17 2 2 2 2" xfId="912" xr:uid="{00000000-0005-0000-0000-0000AB030000}"/>
    <cellStyle name="Normal 17 2 2 2 2 2" xfId="1243" xr:uid="{00000000-0005-0000-0000-0000AC030000}"/>
    <cellStyle name="Normal 17 2 2 2 2 2 2" xfId="1476" xr:uid="{00000000-0005-0000-0000-0000AD030000}"/>
    <cellStyle name="Normal 17 2 2 2 2 3" xfId="1360" xr:uid="{00000000-0005-0000-0000-0000AE030000}"/>
    <cellStyle name="Normal 17 2 2 2 2 4" xfId="1124" xr:uid="{00000000-0005-0000-0000-0000AF030000}"/>
    <cellStyle name="Normal 17 2 2 2 3" xfId="982" xr:uid="{00000000-0005-0000-0000-0000B0030000}"/>
    <cellStyle name="Normal 17 2 2 2 3 2" xfId="1420" xr:uid="{00000000-0005-0000-0000-0000B1030000}"/>
    <cellStyle name="Normal 17 2 2 2 3 3" xfId="1187" xr:uid="{00000000-0005-0000-0000-0000B2030000}"/>
    <cellStyle name="Normal 17 2 2 2 4" xfId="1304" xr:uid="{00000000-0005-0000-0000-0000B3030000}"/>
    <cellStyle name="Normal 17 2 2 2 5" xfId="1067" xr:uid="{00000000-0005-0000-0000-0000B4030000}"/>
    <cellStyle name="Normal 17 2 2 3" xfId="879" xr:uid="{00000000-0005-0000-0000-0000B5030000}"/>
    <cellStyle name="Normal 17 2 2 3 2" xfId="1213" xr:uid="{00000000-0005-0000-0000-0000B6030000}"/>
    <cellStyle name="Normal 17 2 2 3 2 2" xfId="1446" xr:uid="{00000000-0005-0000-0000-0000B7030000}"/>
    <cellStyle name="Normal 17 2 2 3 3" xfId="1330" xr:uid="{00000000-0005-0000-0000-0000B8030000}"/>
    <cellStyle name="Normal 17 2 2 3 4" xfId="1094" xr:uid="{00000000-0005-0000-0000-0000B9030000}"/>
    <cellStyle name="Normal 17 2 2 4" xfId="952" xr:uid="{00000000-0005-0000-0000-0000BA030000}"/>
    <cellStyle name="Normal 17 2 2 4 2" xfId="1394" xr:uid="{00000000-0005-0000-0000-0000BB030000}"/>
    <cellStyle name="Normal 17 2 2 4 3" xfId="1161" xr:uid="{00000000-0005-0000-0000-0000BC030000}"/>
    <cellStyle name="Normal 17 2 2 5" xfId="1278" xr:uid="{00000000-0005-0000-0000-0000BD030000}"/>
    <cellStyle name="Normal 17 2 2 6" xfId="1041" xr:uid="{00000000-0005-0000-0000-0000BE030000}"/>
    <cellStyle name="Normal 17 2 3" xfId="728" xr:uid="{00000000-0005-0000-0000-0000BF030000}"/>
    <cellStyle name="Normal 17 2 3 2" xfId="765" xr:uid="{00000000-0005-0000-0000-0000C0030000}"/>
    <cellStyle name="Normal 17 2 3 2 2" xfId="920" xr:uid="{00000000-0005-0000-0000-0000C1030000}"/>
    <cellStyle name="Normal 17 2 3 2 2 2" xfId="1251" xr:uid="{00000000-0005-0000-0000-0000C2030000}"/>
    <cellStyle name="Normal 17 2 3 2 2 2 2" xfId="1484" xr:uid="{00000000-0005-0000-0000-0000C3030000}"/>
    <cellStyle name="Normal 17 2 3 2 2 3" xfId="1368" xr:uid="{00000000-0005-0000-0000-0000C4030000}"/>
    <cellStyle name="Normal 17 2 3 2 2 4" xfId="1132" xr:uid="{00000000-0005-0000-0000-0000C5030000}"/>
    <cellStyle name="Normal 17 2 3 2 3" xfId="990" xr:uid="{00000000-0005-0000-0000-0000C6030000}"/>
    <cellStyle name="Normal 17 2 3 2 3 2" xfId="1428" xr:uid="{00000000-0005-0000-0000-0000C7030000}"/>
    <cellStyle name="Normal 17 2 3 2 3 3" xfId="1195" xr:uid="{00000000-0005-0000-0000-0000C8030000}"/>
    <cellStyle name="Normal 17 2 3 2 4" xfId="1312" xr:uid="{00000000-0005-0000-0000-0000C9030000}"/>
    <cellStyle name="Normal 17 2 3 2 5" xfId="1075" xr:uid="{00000000-0005-0000-0000-0000CA030000}"/>
    <cellStyle name="Normal 17 2 3 3" xfId="887" xr:uid="{00000000-0005-0000-0000-0000CB030000}"/>
    <cellStyle name="Normal 17 2 3 3 2" xfId="1221" xr:uid="{00000000-0005-0000-0000-0000CC030000}"/>
    <cellStyle name="Normal 17 2 3 3 2 2" xfId="1454" xr:uid="{00000000-0005-0000-0000-0000CD030000}"/>
    <cellStyle name="Normal 17 2 3 3 3" xfId="1338" xr:uid="{00000000-0005-0000-0000-0000CE030000}"/>
    <cellStyle name="Normal 17 2 3 3 4" xfId="1102" xr:uid="{00000000-0005-0000-0000-0000CF030000}"/>
    <cellStyle name="Normal 17 2 3 4" xfId="960" xr:uid="{00000000-0005-0000-0000-0000D0030000}"/>
    <cellStyle name="Normal 17 2 3 4 2" xfId="1402" xr:uid="{00000000-0005-0000-0000-0000D1030000}"/>
    <cellStyle name="Normal 17 2 3 4 3" xfId="1169" xr:uid="{00000000-0005-0000-0000-0000D2030000}"/>
    <cellStyle name="Normal 17 2 3 5" xfId="1286" xr:uid="{00000000-0005-0000-0000-0000D3030000}"/>
    <cellStyle name="Normal 17 2 3 6" xfId="1049" xr:uid="{00000000-0005-0000-0000-0000D4030000}"/>
    <cellStyle name="Normal 17 2 4" xfId="749" xr:uid="{00000000-0005-0000-0000-0000D5030000}"/>
    <cellStyle name="Normal 17 2 4 2" xfId="904" xr:uid="{00000000-0005-0000-0000-0000D6030000}"/>
    <cellStyle name="Normal 17 2 4 2 2" xfId="1235" xr:uid="{00000000-0005-0000-0000-0000D7030000}"/>
    <cellStyle name="Normal 17 2 4 2 2 2" xfId="1468" xr:uid="{00000000-0005-0000-0000-0000D8030000}"/>
    <cellStyle name="Normal 17 2 4 2 3" xfId="1352" xr:uid="{00000000-0005-0000-0000-0000D9030000}"/>
    <cellStyle name="Normal 17 2 4 2 4" xfId="1116" xr:uid="{00000000-0005-0000-0000-0000DA030000}"/>
    <cellStyle name="Normal 17 2 4 3" xfId="974" xr:uid="{00000000-0005-0000-0000-0000DB030000}"/>
    <cellStyle name="Normal 17 2 4 3 2" xfId="1386" xr:uid="{00000000-0005-0000-0000-0000DC030000}"/>
    <cellStyle name="Normal 17 2 4 3 3" xfId="1153" xr:uid="{00000000-0005-0000-0000-0000DD030000}"/>
    <cellStyle name="Normal 17 2 4 4" xfId="1270" xr:uid="{00000000-0005-0000-0000-0000DE030000}"/>
    <cellStyle name="Normal 17 2 4 5" xfId="1033" xr:uid="{00000000-0005-0000-0000-0000DF030000}"/>
    <cellStyle name="Normal 17 2 5" xfId="868" xr:uid="{00000000-0005-0000-0000-0000E0030000}"/>
    <cellStyle name="Normal 17 2 5 2" xfId="1179" xr:uid="{00000000-0005-0000-0000-0000E1030000}"/>
    <cellStyle name="Normal 17 2 5 2 2" xfId="1412" xr:uid="{00000000-0005-0000-0000-0000E2030000}"/>
    <cellStyle name="Normal 17 2 5 3" xfId="1296" xr:uid="{00000000-0005-0000-0000-0000E3030000}"/>
    <cellStyle name="Normal 17 2 5 4" xfId="1059" xr:uid="{00000000-0005-0000-0000-0000E4030000}"/>
    <cellStyle name="Normal 17 2 6" xfId="944" xr:uid="{00000000-0005-0000-0000-0000E5030000}"/>
    <cellStyle name="Normal 17 2 6 2" xfId="1205" xr:uid="{00000000-0005-0000-0000-0000E6030000}"/>
    <cellStyle name="Normal 17 2 6 2 2" xfId="1438" xr:uid="{00000000-0005-0000-0000-0000E7030000}"/>
    <cellStyle name="Normal 17 2 6 3" xfId="1322" xr:uid="{00000000-0005-0000-0000-0000E8030000}"/>
    <cellStyle name="Normal 17 2 6 4" xfId="1086" xr:uid="{00000000-0005-0000-0000-0000E9030000}"/>
    <cellStyle name="Normal 17 2 7" xfId="1146" xr:uid="{00000000-0005-0000-0000-0000EA030000}"/>
    <cellStyle name="Normal 17 2 7 2" xfId="1379" xr:uid="{00000000-0005-0000-0000-0000EB030000}"/>
    <cellStyle name="Normal 17 2 8" xfId="1263" xr:uid="{00000000-0005-0000-0000-0000EC030000}"/>
    <cellStyle name="Normal 17 2 9" xfId="1026" xr:uid="{00000000-0005-0000-0000-0000ED030000}"/>
    <cellStyle name="Normal 17 3" xfId="693" xr:uid="{00000000-0005-0000-0000-0000EE030000}"/>
    <cellStyle name="Normal 17 3 2" xfId="746" xr:uid="{00000000-0005-0000-0000-0000EF030000}"/>
    <cellStyle name="Normal 17 3 2 2" xfId="901" xr:uid="{00000000-0005-0000-0000-0000F0030000}"/>
    <cellStyle name="Normal 17 3 2 2 2" xfId="1232" xr:uid="{00000000-0005-0000-0000-0000F1030000}"/>
    <cellStyle name="Normal 17 3 2 2 2 2" xfId="1465" xr:uid="{00000000-0005-0000-0000-0000F2030000}"/>
    <cellStyle name="Normal 17 3 2 2 3" xfId="1349" xr:uid="{00000000-0005-0000-0000-0000F3030000}"/>
    <cellStyle name="Normal 17 3 2 2 4" xfId="1113" xr:uid="{00000000-0005-0000-0000-0000F4030000}"/>
    <cellStyle name="Normal 17 3 2 3" xfId="971" xr:uid="{00000000-0005-0000-0000-0000F5030000}"/>
    <cellStyle name="Normal 17 3 2 3 2" xfId="1409" xr:uid="{00000000-0005-0000-0000-0000F6030000}"/>
    <cellStyle name="Normal 17 3 2 3 3" xfId="1176" xr:uid="{00000000-0005-0000-0000-0000F7030000}"/>
    <cellStyle name="Normal 17 3 2 4" xfId="1293" xr:uid="{00000000-0005-0000-0000-0000F8030000}"/>
    <cellStyle name="Normal 17 3 2 5" xfId="1056" xr:uid="{00000000-0005-0000-0000-0000F9030000}"/>
    <cellStyle name="Normal 17 3 3" xfId="862" xr:uid="{00000000-0005-0000-0000-0000FA030000}"/>
    <cellStyle name="Normal 17 3 3 2" xfId="1202" xr:uid="{00000000-0005-0000-0000-0000FB030000}"/>
    <cellStyle name="Normal 17 3 3 2 2" xfId="1435" xr:uid="{00000000-0005-0000-0000-0000FC030000}"/>
    <cellStyle name="Normal 17 3 3 3" xfId="1319" xr:uid="{00000000-0005-0000-0000-0000FD030000}"/>
    <cellStyle name="Normal 17 3 3 4" xfId="1083" xr:uid="{00000000-0005-0000-0000-0000FE030000}"/>
    <cellStyle name="Normal 17 3 4" xfId="941" xr:uid="{00000000-0005-0000-0000-0000FF030000}"/>
    <cellStyle name="Normal 17 3 4 2" xfId="1383" xr:uid="{00000000-0005-0000-0000-000000040000}"/>
    <cellStyle name="Normal 17 3 4 3" xfId="1150" xr:uid="{00000000-0005-0000-0000-000001040000}"/>
    <cellStyle name="Normal 17 3 5" xfId="1267" xr:uid="{00000000-0005-0000-0000-000002040000}"/>
    <cellStyle name="Normal 17 3 6" xfId="1030" xr:uid="{00000000-0005-0000-0000-000003040000}"/>
    <cellStyle name="Normal 17 4" xfId="717" xr:uid="{00000000-0005-0000-0000-000004040000}"/>
    <cellStyle name="Normal 17 4 2" xfId="754" xr:uid="{00000000-0005-0000-0000-000005040000}"/>
    <cellStyle name="Normal 17 4 2 2" xfId="909" xr:uid="{00000000-0005-0000-0000-000006040000}"/>
    <cellStyle name="Normal 17 4 2 2 2" xfId="1240" xr:uid="{00000000-0005-0000-0000-000007040000}"/>
    <cellStyle name="Normal 17 4 2 2 2 2" xfId="1473" xr:uid="{00000000-0005-0000-0000-000008040000}"/>
    <cellStyle name="Normal 17 4 2 2 3" xfId="1357" xr:uid="{00000000-0005-0000-0000-000009040000}"/>
    <cellStyle name="Normal 17 4 2 2 4" xfId="1121" xr:uid="{00000000-0005-0000-0000-00000A040000}"/>
    <cellStyle name="Normal 17 4 2 3" xfId="979" xr:uid="{00000000-0005-0000-0000-00000B040000}"/>
    <cellStyle name="Normal 17 4 2 3 2" xfId="1417" xr:uid="{00000000-0005-0000-0000-00000C040000}"/>
    <cellStyle name="Normal 17 4 2 3 3" xfId="1184" xr:uid="{00000000-0005-0000-0000-00000D040000}"/>
    <cellStyle name="Normal 17 4 2 4" xfId="1301" xr:uid="{00000000-0005-0000-0000-00000E040000}"/>
    <cellStyle name="Normal 17 4 2 5" xfId="1064" xr:uid="{00000000-0005-0000-0000-00000F040000}"/>
    <cellStyle name="Normal 17 4 3" xfId="876" xr:uid="{00000000-0005-0000-0000-000010040000}"/>
    <cellStyle name="Normal 17 4 3 2" xfId="1210" xr:uid="{00000000-0005-0000-0000-000011040000}"/>
    <cellStyle name="Normal 17 4 3 2 2" xfId="1443" xr:uid="{00000000-0005-0000-0000-000012040000}"/>
    <cellStyle name="Normal 17 4 3 3" xfId="1327" xr:uid="{00000000-0005-0000-0000-000013040000}"/>
    <cellStyle name="Normal 17 4 3 4" xfId="1091" xr:uid="{00000000-0005-0000-0000-000014040000}"/>
    <cellStyle name="Normal 17 4 4" xfId="949" xr:uid="{00000000-0005-0000-0000-000015040000}"/>
    <cellStyle name="Normal 17 4 4 2" xfId="1391" xr:uid="{00000000-0005-0000-0000-000016040000}"/>
    <cellStyle name="Normal 17 4 4 3" xfId="1158" xr:uid="{00000000-0005-0000-0000-000017040000}"/>
    <cellStyle name="Normal 17 4 5" xfId="1275" xr:uid="{00000000-0005-0000-0000-000018040000}"/>
    <cellStyle name="Normal 17 4 6" xfId="1038" xr:uid="{00000000-0005-0000-0000-000019040000}"/>
    <cellStyle name="Normal 17 5" xfId="725" xr:uid="{00000000-0005-0000-0000-00001A040000}"/>
    <cellStyle name="Normal 17 5 2" xfId="762" xr:uid="{00000000-0005-0000-0000-00001B040000}"/>
    <cellStyle name="Normal 17 5 2 2" xfId="917" xr:uid="{00000000-0005-0000-0000-00001C040000}"/>
    <cellStyle name="Normal 17 5 2 2 2" xfId="1248" xr:uid="{00000000-0005-0000-0000-00001D040000}"/>
    <cellStyle name="Normal 17 5 2 2 2 2" xfId="1481" xr:uid="{00000000-0005-0000-0000-00001E040000}"/>
    <cellStyle name="Normal 17 5 2 2 3" xfId="1365" xr:uid="{00000000-0005-0000-0000-00001F040000}"/>
    <cellStyle name="Normal 17 5 2 2 4" xfId="1129" xr:uid="{00000000-0005-0000-0000-000020040000}"/>
    <cellStyle name="Normal 17 5 2 3" xfId="987" xr:uid="{00000000-0005-0000-0000-000021040000}"/>
    <cellStyle name="Normal 17 5 2 3 2" xfId="1425" xr:uid="{00000000-0005-0000-0000-000022040000}"/>
    <cellStyle name="Normal 17 5 2 3 3" xfId="1192" xr:uid="{00000000-0005-0000-0000-000023040000}"/>
    <cellStyle name="Normal 17 5 2 4" xfId="1309" xr:uid="{00000000-0005-0000-0000-000024040000}"/>
    <cellStyle name="Normal 17 5 2 5" xfId="1072" xr:uid="{00000000-0005-0000-0000-000025040000}"/>
    <cellStyle name="Normal 17 5 3" xfId="884" xr:uid="{00000000-0005-0000-0000-000026040000}"/>
    <cellStyle name="Normal 17 5 3 2" xfId="1218" xr:uid="{00000000-0005-0000-0000-000027040000}"/>
    <cellStyle name="Normal 17 5 3 2 2" xfId="1451" xr:uid="{00000000-0005-0000-0000-000028040000}"/>
    <cellStyle name="Normal 17 5 3 3" xfId="1335" xr:uid="{00000000-0005-0000-0000-000029040000}"/>
    <cellStyle name="Normal 17 5 3 4" xfId="1099" xr:uid="{00000000-0005-0000-0000-00002A040000}"/>
    <cellStyle name="Normal 17 5 4" xfId="957" xr:uid="{00000000-0005-0000-0000-00002B040000}"/>
    <cellStyle name="Normal 17 5 4 2" xfId="1399" xr:uid="{00000000-0005-0000-0000-00002C040000}"/>
    <cellStyle name="Normal 17 5 4 3" xfId="1166" xr:uid="{00000000-0005-0000-0000-00002D040000}"/>
    <cellStyle name="Normal 17 5 5" xfId="1283" xr:uid="{00000000-0005-0000-0000-00002E040000}"/>
    <cellStyle name="Normal 17 5 6" xfId="1046" xr:uid="{00000000-0005-0000-0000-00002F040000}"/>
    <cellStyle name="Normal 17 6" xfId="743" xr:uid="{00000000-0005-0000-0000-000030040000}"/>
    <cellStyle name="Normal 17 6 2" xfId="898" xr:uid="{00000000-0005-0000-0000-000031040000}"/>
    <cellStyle name="Normal 17 6 2 2" xfId="1230" xr:uid="{00000000-0005-0000-0000-000032040000}"/>
    <cellStyle name="Normal 17 6 2 2 2" xfId="1463" xr:uid="{00000000-0005-0000-0000-000033040000}"/>
    <cellStyle name="Normal 17 6 2 3" xfId="1347" xr:uid="{00000000-0005-0000-0000-000034040000}"/>
    <cellStyle name="Normal 17 6 2 4" xfId="1111" xr:uid="{00000000-0005-0000-0000-000035040000}"/>
    <cellStyle name="Normal 17 6 3" xfId="969" xr:uid="{00000000-0005-0000-0000-000036040000}"/>
    <cellStyle name="Normal 17 6 3 2" xfId="1381" xr:uid="{00000000-0005-0000-0000-000037040000}"/>
    <cellStyle name="Normal 17 6 3 3" xfId="1148" xr:uid="{00000000-0005-0000-0000-000038040000}"/>
    <cellStyle name="Normal 17 6 4" xfId="1265" xr:uid="{00000000-0005-0000-0000-000039040000}"/>
    <cellStyle name="Normal 17 6 5" xfId="1028" xr:uid="{00000000-0005-0000-0000-00003A040000}"/>
    <cellStyle name="Normal 17 7" xfId="849" xr:uid="{00000000-0005-0000-0000-00003B040000}"/>
    <cellStyle name="Normal 17 7 2" xfId="1174" xr:uid="{00000000-0005-0000-0000-00003C040000}"/>
    <cellStyle name="Normal 17 7 2 2" xfId="1407" xr:uid="{00000000-0005-0000-0000-00003D040000}"/>
    <cellStyle name="Normal 17 7 3" xfId="1291" xr:uid="{00000000-0005-0000-0000-00003E040000}"/>
    <cellStyle name="Normal 17 7 4" xfId="1054" xr:uid="{00000000-0005-0000-0000-00003F040000}"/>
    <cellStyle name="Normal 17 8" xfId="938" xr:uid="{00000000-0005-0000-0000-000040040000}"/>
    <cellStyle name="Normal 17 8 2" xfId="1200" xr:uid="{00000000-0005-0000-0000-000041040000}"/>
    <cellStyle name="Normal 17 8 2 2" xfId="1433" xr:uid="{00000000-0005-0000-0000-000042040000}"/>
    <cellStyle name="Normal 17 8 3" xfId="1317" xr:uid="{00000000-0005-0000-0000-000043040000}"/>
    <cellStyle name="Normal 17 8 4" xfId="1081" xr:uid="{00000000-0005-0000-0000-000044040000}"/>
    <cellStyle name="Normal 17 9" xfId="1141" xr:uid="{00000000-0005-0000-0000-000045040000}"/>
    <cellStyle name="Normal 17 9 2" xfId="1376" xr:uid="{00000000-0005-0000-0000-000046040000}"/>
    <cellStyle name="Normal 18" xfId="620" xr:uid="{00000000-0005-0000-0000-000047040000}"/>
    <cellStyle name="Normal 19" xfId="621" xr:uid="{00000000-0005-0000-0000-000048040000}"/>
    <cellStyle name="Normal 19 2" xfId="704" xr:uid="{00000000-0005-0000-0000-000049040000}"/>
    <cellStyle name="Normal 19 3" xfId="694" xr:uid="{00000000-0005-0000-0000-00004A040000}"/>
    <cellStyle name="Normal 2" xfId="4" xr:uid="{00000000-0005-0000-0000-00004B040000}"/>
    <cellStyle name="Normal 2 2" xfId="75" xr:uid="{00000000-0005-0000-0000-00004C040000}"/>
    <cellStyle name="Normal 2 2 10" xfId="705" xr:uid="{00000000-0005-0000-0000-00004D040000}"/>
    <cellStyle name="Normal 2 2 11" xfId="1526" xr:uid="{00000000-0005-0000-0000-00004E040000}"/>
    <cellStyle name="Normal 2 2 2" xfId="721" xr:uid="{00000000-0005-0000-0000-00004F040000}"/>
    <cellStyle name="Normal 2 2 2 2" xfId="758" xr:uid="{00000000-0005-0000-0000-000050040000}"/>
    <cellStyle name="Normal 2 2 2 2 2" xfId="913" xr:uid="{00000000-0005-0000-0000-000051040000}"/>
    <cellStyle name="Normal 2 2 2 2 2 2" xfId="1244" xr:uid="{00000000-0005-0000-0000-000052040000}"/>
    <cellStyle name="Normal 2 2 2 2 2 2 2" xfId="1477" xr:uid="{00000000-0005-0000-0000-000053040000}"/>
    <cellStyle name="Normal 2 2 2 2 2 3" xfId="1361" xr:uid="{00000000-0005-0000-0000-000054040000}"/>
    <cellStyle name="Normal 2 2 2 2 2 4" xfId="1125" xr:uid="{00000000-0005-0000-0000-000055040000}"/>
    <cellStyle name="Normal 2 2 2 2 3" xfId="983" xr:uid="{00000000-0005-0000-0000-000056040000}"/>
    <cellStyle name="Normal 2 2 2 2 3 2" xfId="1421" xr:uid="{00000000-0005-0000-0000-000057040000}"/>
    <cellStyle name="Normal 2 2 2 2 3 3" xfId="1188" xr:uid="{00000000-0005-0000-0000-000058040000}"/>
    <cellStyle name="Normal 2 2 2 2 4" xfId="1305" xr:uid="{00000000-0005-0000-0000-000059040000}"/>
    <cellStyle name="Normal 2 2 2 2 5" xfId="1068" xr:uid="{00000000-0005-0000-0000-00005A040000}"/>
    <cellStyle name="Normal 2 2 2 3" xfId="880" xr:uid="{00000000-0005-0000-0000-00005B040000}"/>
    <cellStyle name="Normal 2 2 2 3 2" xfId="1214" xr:uid="{00000000-0005-0000-0000-00005C040000}"/>
    <cellStyle name="Normal 2 2 2 3 2 2" xfId="1447" xr:uid="{00000000-0005-0000-0000-00005D040000}"/>
    <cellStyle name="Normal 2 2 2 3 3" xfId="1331" xr:uid="{00000000-0005-0000-0000-00005E040000}"/>
    <cellStyle name="Normal 2 2 2 3 4" xfId="1095" xr:uid="{00000000-0005-0000-0000-00005F040000}"/>
    <cellStyle name="Normal 2 2 2 4" xfId="953" xr:uid="{00000000-0005-0000-0000-000060040000}"/>
    <cellStyle name="Normal 2 2 2 4 2" xfId="1395" xr:uid="{00000000-0005-0000-0000-000061040000}"/>
    <cellStyle name="Normal 2 2 2 4 3" xfId="1162" xr:uid="{00000000-0005-0000-0000-000062040000}"/>
    <cellStyle name="Normal 2 2 2 5" xfId="1279" xr:uid="{00000000-0005-0000-0000-000063040000}"/>
    <cellStyle name="Normal 2 2 2 6" xfId="1042" xr:uid="{00000000-0005-0000-0000-000064040000}"/>
    <cellStyle name="Normal 2 2 3" xfId="729" xr:uid="{00000000-0005-0000-0000-000065040000}"/>
    <cellStyle name="Normal 2 2 3 2" xfId="766" xr:uid="{00000000-0005-0000-0000-000066040000}"/>
    <cellStyle name="Normal 2 2 3 2 2" xfId="921" xr:uid="{00000000-0005-0000-0000-000067040000}"/>
    <cellStyle name="Normal 2 2 3 2 2 2" xfId="1252" xr:uid="{00000000-0005-0000-0000-000068040000}"/>
    <cellStyle name="Normal 2 2 3 2 2 2 2" xfId="1485" xr:uid="{00000000-0005-0000-0000-000069040000}"/>
    <cellStyle name="Normal 2 2 3 2 2 3" xfId="1369" xr:uid="{00000000-0005-0000-0000-00006A040000}"/>
    <cellStyle name="Normal 2 2 3 2 2 4" xfId="1133" xr:uid="{00000000-0005-0000-0000-00006B040000}"/>
    <cellStyle name="Normal 2 2 3 2 3" xfId="991" xr:uid="{00000000-0005-0000-0000-00006C040000}"/>
    <cellStyle name="Normal 2 2 3 2 3 2" xfId="1429" xr:uid="{00000000-0005-0000-0000-00006D040000}"/>
    <cellStyle name="Normal 2 2 3 2 3 3" xfId="1196" xr:uid="{00000000-0005-0000-0000-00006E040000}"/>
    <cellStyle name="Normal 2 2 3 2 4" xfId="1313" xr:uid="{00000000-0005-0000-0000-00006F040000}"/>
    <cellStyle name="Normal 2 2 3 2 5" xfId="1076" xr:uid="{00000000-0005-0000-0000-000070040000}"/>
    <cellStyle name="Normal 2 2 3 3" xfId="888" xr:uid="{00000000-0005-0000-0000-000071040000}"/>
    <cellStyle name="Normal 2 2 3 3 2" xfId="1222" xr:uid="{00000000-0005-0000-0000-000072040000}"/>
    <cellStyle name="Normal 2 2 3 3 2 2" xfId="1455" xr:uid="{00000000-0005-0000-0000-000073040000}"/>
    <cellStyle name="Normal 2 2 3 3 3" xfId="1339" xr:uid="{00000000-0005-0000-0000-000074040000}"/>
    <cellStyle name="Normal 2 2 3 3 4" xfId="1103" xr:uid="{00000000-0005-0000-0000-000075040000}"/>
    <cellStyle name="Normal 2 2 3 4" xfId="961" xr:uid="{00000000-0005-0000-0000-000076040000}"/>
    <cellStyle name="Normal 2 2 3 4 2" xfId="1403" xr:uid="{00000000-0005-0000-0000-000077040000}"/>
    <cellStyle name="Normal 2 2 3 4 3" xfId="1170" xr:uid="{00000000-0005-0000-0000-000078040000}"/>
    <cellStyle name="Normal 2 2 3 5" xfId="1287" xr:uid="{00000000-0005-0000-0000-000079040000}"/>
    <cellStyle name="Normal 2 2 3 6" xfId="1050" xr:uid="{00000000-0005-0000-0000-00007A040000}"/>
    <cellStyle name="Normal 2 2 4" xfId="750" xr:uid="{00000000-0005-0000-0000-00007B040000}"/>
    <cellStyle name="Normal 2 2 4 2" xfId="905" xr:uid="{00000000-0005-0000-0000-00007C040000}"/>
    <cellStyle name="Normal 2 2 4 2 2" xfId="1236" xr:uid="{00000000-0005-0000-0000-00007D040000}"/>
    <cellStyle name="Normal 2 2 4 2 2 2" xfId="1469" xr:uid="{00000000-0005-0000-0000-00007E040000}"/>
    <cellStyle name="Normal 2 2 4 2 3" xfId="1353" xr:uid="{00000000-0005-0000-0000-00007F040000}"/>
    <cellStyle name="Normal 2 2 4 2 4" xfId="1117" xr:uid="{00000000-0005-0000-0000-000080040000}"/>
    <cellStyle name="Normal 2 2 4 3" xfId="975" xr:uid="{00000000-0005-0000-0000-000081040000}"/>
    <cellStyle name="Normal 2 2 4 3 2" xfId="1387" xr:uid="{00000000-0005-0000-0000-000082040000}"/>
    <cellStyle name="Normal 2 2 4 3 3" xfId="1154" xr:uid="{00000000-0005-0000-0000-000083040000}"/>
    <cellStyle name="Normal 2 2 4 4" xfId="1271" xr:uid="{00000000-0005-0000-0000-000084040000}"/>
    <cellStyle name="Normal 2 2 4 5" xfId="1034" xr:uid="{00000000-0005-0000-0000-000085040000}"/>
    <cellStyle name="Normal 2 2 5" xfId="869" xr:uid="{00000000-0005-0000-0000-000086040000}"/>
    <cellStyle name="Normal 2 2 5 2" xfId="1180" xr:uid="{00000000-0005-0000-0000-000087040000}"/>
    <cellStyle name="Normal 2 2 5 2 2" xfId="1413" xr:uid="{00000000-0005-0000-0000-000088040000}"/>
    <cellStyle name="Normal 2 2 5 3" xfId="1297" xr:uid="{00000000-0005-0000-0000-000089040000}"/>
    <cellStyle name="Normal 2 2 5 4" xfId="1060" xr:uid="{00000000-0005-0000-0000-00008A040000}"/>
    <cellStyle name="Normal 2 2 6" xfId="945" xr:uid="{00000000-0005-0000-0000-00008B040000}"/>
    <cellStyle name="Normal 2 2 6 2" xfId="1206" xr:uid="{00000000-0005-0000-0000-00008C040000}"/>
    <cellStyle name="Normal 2 2 6 2 2" xfId="1439" xr:uid="{00000000-0005-0000-0000-00008D040000}"/>
    <cellStyle name="Normal 2 2 6 3" xfId="1323" xr:uid="{00000000-0005-0000-0000-00008E040000}"/>
    <cellStyle name="Normal 2 2 6 4" xfId="1087" xr:uid="{00000000-0005-0000-0000-00008F040000}"/>
    <cellStyle name="Normal 2 2 7" xfId="1144" xr:uid="{00000000-0005-0000-0000-000090040000}"/>
    <cellStyle name="Normal 2 2 7 2" xfId="1377" xr:uid="{00000000-0005-0000-0000-000091040000}"/>
    <cellStyle name="Normal 2 2 8" xfId="1261" xr:uid="{00000000-0005-0000-0000-000092040000}"/>
    <cellStyle name="Normal 2 2 9" xfId="1023" xr:uid="{00000000-0005-0000-0000-000093040000}"/>
    <cellStyle name="Normal 2 3" xfId="736" xr:uid="{00000000-0005-0000-0000-000094040000}"/>
    <cellStyle name="Normal 2 4" xfId="796" xr:uid="{00000000-0005-0000-0000-000095040000}"/>
    <cellStyle name="Normal 2 5" xfId="622" xr:uid="{00000000-0005-0000-0000-000096040000}"/>
    <cellStyle name="Normal 20" xfId="623" xr:uid="{00000000-0005-0000-0000-000097040000}"/>
    <cellStyle name="Normal 21" xfId="706" xr:uid="{00000000-0005-0000-0000-000098040000}"/>
    <cellStyle name="Normal 22" xfId="732" xr:uid="{00000000-0005-0000-0000-000099040000}"/>
    <cellStyle name="Normal 22 2" xfId="740" xr:uid="{00000000-0005-0000-0000-00009A040000}"/>
    <cellStyle name="Normal 22 3" xfId="891" xr:uid="{00000000-0005-0000-0000-00009B040000}"/>
    <cellStyle name="Normal 22 3 2" xfId="1458" xr:uid="{00000000-0005-0000-0000-00009C040000}"/>
    <cellStyle name="Normal 22 3 3" xfId="1225" xr:uid="{00000000-0005-0000-0000-00009D040000}"/>
    <cellStyle name="Normal 22 4" xfId="964" xr:uid="{00000000-0005-0000-0000-00009E040000}"/>
    <cellStyle name="Normal 22 4 2" xfId="1342" xr:uid="{00000000-0005-0000-0000-00009F040000}"/>
    <cellStyle name="Normal 22 5" xfId="1106" xr:uid="{00000000-0005-0000-0000-0000A0040000}"/>
    <cellStyle name="Normal 23" xfId="737" xr:uid="{00000000-0005-0000-0000-0000A1040000}"/>
    <cellStyle name="Normal 23 2" xfId="894" xr:uid="{00000000-0005-0000-0000-0000A2040000}"/>
    <cellStyle name="Normal 23 2 2" xfId="1459" xr:uid="{00000000-0005-0000-0000-0000A3040000}"/>
    <cellStyle name="Normal 23 2 3" xfId="1226" xr:uid="{00000000-0005-0000-0000-0000A4040000}"/>
    <cellStyle name="Normal 23 3" xfId="965" xr:uid="{00000000-0005-0000-0000-0000A5040000}"/>
    <cellStyle name="Normal 23 3 2" xfId="1343" xr:uid="{00000000-0005-0000-0000-0000A6040000}"/>
    <cellStyle name="Normal 23 4" xfId="1107" xr:uid="{00000000-0005-0000-0000-0000A7040000}"/>
    <cellStyle name="Normal 24" xfId="924" xr:uid="{00000000-0005-0000-0000-0000A8040000}"/>
    <cellStyle name="Normal 24 2" xfId="1138" xr:uid="{00000000-0005-0000-0000-0000A9040000}"/>
    <cellStyle name="Normal 25" xfId="935" xr:uid="{00000000-0005-0000-0000-0000AA040000}"/>
    <cellStyle name="Normal 25 2" xfId="1374" xr:uid="{00000000-0005-0000-0000-0000AB040000}"/>
    <cellStyle name="Normal 25 3" xfId="1137" xr:uid="{00000000-0005-0000-0000-0000AC040000}"/>
    <cellStyle name="Normal 26" xfId="925" xr:uid="{00000000-0005-0000-0000-0000AD040000}"/>
    <cellStyle name="Normal 26 2" xfId="1256" xr:uid="{00000000-0005-0000-0000-0000AE040000}"/>
    <cellStyle name="Normal 27" xfId="931" xr:uid="{00000000-0005-0000-0000-0000AF040000}"/>
    <cellStyle name="Normal 28" xfId="936" xr:uid="{00000000-0005-0000-0000-0000B0040000}"/>
    <cellStyle name="Normal 29" xfId="1006" xr:uid="{00000000-0005-0000-0000-0000B1040000}"/>
    <cellStyle name="Normal 3" xfId="11" xr:uid="{00000000-0005-0000-0000-0000B2040000}"/>
    <cellStyle name="Normal 3 2" xfId="707" xr:uid="{00000000-0005-0000-0000-0000B3040000}"/>
    <cellStyle name="Normal 3 3" xfId="708" xr:uid="{00000000-0005-0000-0000-0000B4040000}"/>
    <cellStyle name="Normal 3 3 2" xfId="701" xr:uid="{00000000-0005-0000-0000-0000B5040000}"/>
    <cellStyle name="Normal 3 4" xfId="733" xr:uid="{00000000-0005-0000-0000-0000B6040000}"/>
    <cellStyle name="Normal 3 4 2" xfId="892" xr:uid="{00000000-0005-0000-0000-0000B7040000}"/>
    <cellStyle name="Normal 3 5" xfId="799" xr:uid="{00000000-0005-0000-0000-0000B8040000}"/>
    <cellStyle name="Normal 3 6" xfId="999" xr:uid="{00000000-0005-0000-0000-0000B9040000}"/>
    <cellStyle name="Normal 3 7" xfId="624" xr:uid="{00000000-0005-0000-0000-0000BA040000}"/>
    <cellStyle name="Normal 30" xfId="1002" xr:uid="{00000000-0005-0000-0000-0000BB040000}"/>
    <cellStyle name="Normal 31" xfId="1489" xr:uid="{00000000-0005-0000-0000-0000BC040000}"/>
    <cellStyle name="Normal 32" xfId="1000" xr:uid="{00000000-0005-0000-0000-0000BD040000}"/>
    <cellStyle name="Normal 33" xfId="1004" xr:uid="{00000000-0005-0000-0000-0000BE040000}"/>
    <cellStyle name="Normal 34" xfId="1014" xr:uid="{00000000-0005-0000-0000-0000BF040000}"/>
    <cellStyle name="Normal 35" xfId="1498" xr:uid="{00000000-0005-0000-0000-0000C0040000}"/>
    <cellStyle name="Normal 36" xfId="1500" xr:uid="{00000000-0005-0000-0000-0000C1040000}"/>
    <cellStyle name="Normal 37" xfId="1502" xr:uid="{00000000-0005-0000-0000-0000C2040000}"/>
    <cellStyle name="Normal 38" xfId="1504" xr:uid="{00000000-0005-0000-0000-0000C3040000}"/>
    <cellStyle name="Normal 39" xfId="1506" xr:uid="{00000000-0005-0000-0000-0000C4040000}"/>
    <cellStyle name="Normal 4" xfId="76" xr:uid="{00000000-0005-0000-0000-0000C5040000}"/>
    <cellStyle name="Normal 4 2" xfId="709" xr:uid="{00000000-0005-0000-0000-0000C6040000}"/>
    <cellStyle name="Normal 4 3" xfId="838" xr:uid="{00000000-0005-0000-0000-0000C7040000}"/>
    <cellStyle name="Normal 4 4" xfId="625" xr:uid="{00000000-0005-0000-0000-0000C8040000}"/>
    <cellStyle name="Normal 4 5" xfId="1531" xr:uid="{00000000-0005-0000-0000-0000C9040000}"/>
    <cellStyle name="Normal 40" xfId="1508" xr:uid="{00000000-0005-0000-0000-0000CA040000}"/>
    <cellStyle name="Normal 41" xfId="1510" xr:uid="{00000000-0005-0000-0000-0000CB040000}"/>
    <cellStyle name="Normal 42" xfId="1512" xr:uid="{00000000-0005-0000-0000-0000CC040000}"/>
    <cellStyle name="Normal 43" xfId="1514" xr:uid="{00000000-0005-0000-0000-0000CD040000}"/>
    <cellStyle name="Normal 44" xfId="1516" xr:uid="{00000000-0005-0000-0000-0000CE040000}"/>
    <cellStyle name="Normal 45" xfId="1518" xr:uid="{00000000-0005-0000-0000-0000CF040000}"/>
    <cellStyle name="Normal 46" xfId="1520" xr:uid="{00000000-0005-0000-0000-0000D0040000}"/>
    <cellStyle name="Normal 47" xfId="103" xr:uid="{00000000-0005-0000-0000-0000D1040000}"/>
    <cellStyle name="Normal 48" xfId="1524" xr:uid="{00000000-0005-0000-0000-0000D2040000}"/>
    <cellStyle name="Normal 49" xfId="1532" xr:uid="{F4B3D723-5428-433D-B6D3-617D0F25AD43}"/>
    <cellStyle name="Normal 5" xfId="77" xr:uid="{00000000-0005-0000-0000-0000D3040000}"/>
    <cellStyle name="Normal 5 2" xfId="78" xr:uid="{00000000-0005-0000-0000-0000D4040000}"/>
    <cellStyle name="Normal 5 2 2" xfId="1522" xr:uid="{00000000-0005-0000-0000-0000D5040000}"/>
    <cellStyle name="Normal 5 2 3" xfId="79" xr:uid="{00000000-0005-0000-0000-0000D6040000}"/>
    <cellStyle name="Normal 5 2 3 2" xfId="97" xr:uid="{00000000-0005-0000-0000-0000D7040000}"/>
    <cellStyle name="Normal 5 2 3 3" xfId="100" xr:uid="{00000000-0005-0000-0000-0000D8040000}"/>
    <cellStyle name="Normal 5 2 4" xfId="844" xr:uid="{00000000-0005-0000-0000-0000D9040000}"/>
    <cellStyle name="Normal 5 3" xfId="840" xr:uid="{00000000-0005-0000-0000-0000DA040000}"/>
    <cellStyle name="Normal 5 4" xfId="626" xr:uid="{00000000-0005-0000-0000-0000DB040000}"/>
    <cellStyle name="Normal 6" xfId="80" xr:uid="{00000000-0005-0000-0000-0000DC040000}"/>
    <cellStyle name="Normal 6 2" xfId="843" xr:uid="{00000000-0005-0000-0000-0000DD040000}"/>
    <cellStyle name="Normal 6 3" xfId="627" xr:uid="{00000000-0005-0000-0000-0000DE040000}"/>
    <cellStyle name="Normal 7" xfId="81" xr:uid="{00000000-0005-0000-0000-0000DF040000}"/>
    <cellStyle name="Normal 7 2" xfId="628" xr:uid="{00000000-0005-0000-0000-0000E0040000}"/>
    <cellStyle name="Normal 8" xfId="101" xr:uid="{00000000-0005-0000-0000-0000E1040000}"/>
    <cellStyle name="Normal 8 2" xfId="629" xr:uid="{00000000-0005-0000-0000-0000E2040000}"/>
    <cellStyle name="Normal 9" xfId="630" xr:uid="{00000000-0005-0000-0000-0000E3040000}"/>
    <cellStyle name="Note 10" xfId="631" xr:uid="{00000000-0005-0000-0000-0000E4040000}"/>
    <cellStyle name="Note 11" xfId="632" xr:uid="{00000000-0005-0000-0000-0000E5040000}"/>
    <cellStyle name="Note 12" xfId="633" xr:uid="{00000000-0005-0000-0000-0000E6040000}"/>
    <cellStyle name="Note 13" xfId="634" xr:uid="{00000000-0005-0000-0000-0000E7040000}"/>
    <cellStyle name="Note 14" xfId="635" xr:uid="{00000000-0005-0000-0000-0000E8040000}"/>
    <cellStyle name="Note 15" xfId="636" xr:uid="{00000000-0005-0000-0000-0000E9040000}"/>
    <cellStyle name="Note 16" xfId="853" xr:uid="{00000000-0005-0000-0000-0000EA040000}"/>
    <cellStyle name="Note 2" xfId="82" xr:uid="{00000000-0005-0000-0000-0000EB040000}"/>
    <cellStyle name="Note 2 2" xfId="811" xr:uid="{00000000-0005-0000-0000-0000EC040000}"/>
    <cellStyle name="Note 2 3" xfId="637" xr:uid="{00000000-0005-0000-0000-0000ED040000}"/>
    <cellStyle name="Note 3" xfId="638" xr:uid="{00000000-0005-0000-0000-0000EE040000}"/>
    <cellStyle name="Note 4" xfId="639" xr:uid="{00000000-0005-0000-0000-0000EF040000}"/>
    <cellStyle name="Note 5" xfId="640" xr:uid="{00000000-0005-0000-0000-0000F0040000}"/>
    <cellStyle name="Note 6" xfId="641" xr:uid="{00000000-0005-0000-0000-0000F1040000}"/>
    <cellStyle name="Note 7" xfId="642" xr:uid="{00000000-0005-0000-0000-0000F2040000}"/>
    <cellStyle name="Note 8" xfId="643" xr:uid="{00000000-0005-0000-0000-0000F3040000}"/>
    <cellStyle name="Note 9" xfId="644" xr:uid="{00000000-0005-0000-0000-0000F4040000}"/>
    <cellStyle name="Output 10" xfId="645" xr:uid="{00000000-0005-0000-0000-0000F5040000}"/>
    <cellStyle name="Output 11" xfId="646" xr:uid="{00000000-0005-0000-0000-0000F6040000}"/>
    <cellStyle name="Output 12" xfId="647" xr:uid="{00000000-0005-0000-0000-0000F7040000}"/>
    <cellStyle name="Output 13" xfId="648" xr:uid="{00000000-0005-0000-0000-0000F8040000}"/>
    <cellStyle name="Output 14" xfId="649" xr:uid="{00000000-0005-0000-0000-0000F9040000}"/>
    <cellStyle name="Output 15" xfId="650" xr:uid="{00000000-0005-0000-0000-0000FA040000}"/>
    <cellStyle name="Output 16" xfId="850" xr:uid="{00000000-0005-0000-0000-0000FB040000}"/>
    <cellStyle name="Output 2" xfId="83" xr:uid="{00000000-0005-0000-0000-0000FC040000}"/>
    <cellStyle name="Output 2 2" xfId="806" xr:uid="{00000000-0005-0000-0000-0000FD040000}"/>
    <cellStyle name="Output 2 3" xfId="651" xr:uid="{00000000-0005-0000-0000-0000FE040000}"/>
    <cellStyle name="Output 3" xfId="652" xr:uid="{00000000-0005-0000-0000-0000FF040000}"/>
    <cellStyle name="Output 4" xfId="653" xr:uid="{00000000-0005-0000-0000-000000050000}"/>
    <cellStyle name="Output 5" xfId="654" xr:uid="{00000000-0005-0000-0000-000001050000}"/>
    <cellStyle name="Output 6" xfId="655" xr:uid="{00000000-0005-0000-0000-000002050000}"/>
    <cellStyle name="Output 7" xfId="656" xr:uid="{00000000-0005-0000-0000-000003050000}"/>
    <cellStyle name="Output 8" xfId="657" xr:uid="{00000000-0005-0000-0000-000004050000}"/>
    <cellStyle name="Output 9" xfId="658" xr:uid="{00000000-0005-0000-0000-000005050000}"/>
    <cellStyle name="Percent" xfId="2" builtinId="5"/>
    <cellStyle name="Percent [2]" xfId="84" xr:uid="{00000000-0005-0000-0000-000007050000}"/>
    <cellStyle name="Percent 10" xfId="932" xr:uid="{00000000-0005-0000-0000-000008050000}"/>
    <cellStyle name="Percent 11" xfId="939" xr:uid="{00000000-0005-0000-0000-000009050000}"/>
    <cellStyle name="Percent 12" xfId="1017" xr:uid="{00000000-0005-0000-0000-00000A050000}"/>
    <cellStyle name="Percent 13" xfId="1001" xr:uid="{00000000-0005-0000-0000-00000B050000}"/>
    <cellStyle name="Percent 14" xfId="1005" xr:uid="{00000000-0005-0000-0000-00000C050000}"/>
    <cellStyle name="Percent 15" xfId="994" xr:uid="{00000000-0005-0000-0000-00000D050000}"/>
    <cellStyle name="Percent 16" xfId="1490" xr:uid="{00000000-0005-0000-0000-00000E050000}"/>
    <cellStyle name="Percent 17" xfId="1010" xr:uid="{00000000-0005-0000-0000-00000F050000}"/>
    <cellStyle name="Percent 18" xfId="1019" xr:uid="{00000000-0005-0000-0000-000010050000}"/>
    <cellStyle name="Percent 19" xfId="996" xr:uid="{00000000-0005-0000-0000-000011050000}"/>
    <cellStyle name="Percent 2" xfId="85" xr:uid="{00000000-0005-0000-0000-000012050000}"/>
    <cellStyle name="Percent 2 2" xfId="710" xr:uid="{00000000-0005-0000-0000-000013050000}"/>
    <cellStyle name="Percent 2 2 2" xfId="722" xr:uid="{00000000-0005-0000-0000-000014050000}"/>
    <cellStyle name="Percent 2 2 2 2" xfId="759" xr:uid="{00000000-0005-0000-0000-000015050000}"/>
    <cellStyle name="Percent 2 2 2 2 2" xfId="914" xr:uid="{00000000-0005-0000-0000-000016050000}"/>
    <cellStyle name="Percent 2 2 2 2 2 2" xfId="1245" xr:uid="{00000000-0005-0000-0000-000017050000}"/>
    <cellStyle name="Percent 2 2 2 2 2 2 2" xfId="1478" xr:uid="{00000000-0005-0000-0000-000018050000}"/>
    <cellStyle name="Percent 2 2 2 2 2 3" xfId="1362" xr:uid="{00000000-0005-0000-0000-000019050000}"/>
    <cellStyle name="Percent 2 2 2 2 2 4" xfId="1126" xr:uid="{00000000-0005-0000-0000-00001A050000}"/>
    <cellStyle name="Percent 2 2 2 2 3" xfId="984" xr:uid="{00000000-0005-0000-0000-00001B050000}"/>
    <cellStyle name="Percent 2 2 2 2 3 2" xfId="1422" xr:uid="{00000000-0005-0000-0000-00001C050000}"/>
    <cellStyle name="Percent 2 2 2 2 3 3" xfId="1189" xr:uid="{00000000-0005-0000-0000-00001D050000}"/>
    <cellStyle name="Percent 2 2 2 2 4" xfId="1306" xr:uid="{00000000-0005-0000-0000-00001E050000}"/>
    <cellStyle name="Percent 2 2 2 2 5" xfId="1069" xr:uid="{00000000-0005-0000-0000-00001F050000}"/>
    <cellStyle name="Percent 2 2 2 3" xfId="881" xr:uid="{00000000-0005-0000-0000-000020050000}"/>
    <cellStyle name="Percent 2 2 2 3 2" xfId="1215" xr:uid="{00000000-0005-0000-0000-000021050000}"/>
    <cellStyle name="Percent 2 2 2 3 2 2" xfId="1448" xr:uid="{00000000-0005-0000-0000-000022050000}"/>
    <cellStyle name="Percent 2 2 2 3 3" xfId="1332" xr:uid="{00000000-0005-0000-0000-000023050000}"/>
    <cellStyle name="Percent 2 2 2 3 4" xfId="1096" xr:uid="{00000000-0005-0000-0000-000024050000}"/>
    <cellStyle name="Percent 2 2 2 4" xfId="954" xr:uid="{00000000-0005-0000-0000-000025050000}"/>
    <cellStyle name="Percent 2 2 2 4 2" xfId="1396" xr:uid="{00000000-0005-0000-0000-000026050000}"/>
    <cellStyle name="Percent 2 2 2 4 3" xfId="1163" xr:uid="{00000000-0005-0000-0000-000027050000}"/>
    <cellStyle name="Percent 2 2 2 5" xfId="1280" xr:uid="{00000000-0005-0000-0000-000028050000}"/>
    <cellStyle name="Percent 2 2 2 6" xfId="1043" xr:uid="{00000000-0005-0000-0000-000029050000}"/>
    <cellStyle name="Percent 2 2 3" xfId="730" xr:uid="{00000000-0005-0000-0000-00002A050000}"/>
    <cellStyle name="Percent 2 2 3 2" xfId="767" xr:uid="{00000000-0005-0000-0000-00002B050000}"/>
    <cellStyle name="Percent 2 2 3 2 2" xfId="922" xr:uid="{00000000-0005-0000-0000-00002C050000}"/>
    <cellStyle name="Percent 2 2 3 2 2 2" xfId="1253" xr:uid="{00000000-0005-0000-0000-00002D050000}"/>
    <cellStyle name="Percent 2 2 3 2 2 2 2" xfId="1486" xr:uid="{00000000-0005-0000-0000-00002E050000}"/>
    <cellStyle name="Percent 2 2 3 2 2 3" xfId="1370" xr:uid="{00000000-0005-0000-0000-00002F050000}"/>
    <cellStyle name="Percent 2 2 3 2 2 4" xfId="1134" xr:uid="{00000000-0005-0000-0000-000030050000}"/>
    <cellStyle name="Percent 2 2 3 2 3" xfId="992" xr:uid="{00000000-0005-0000-0000-000031050000}"/>
    <cellStyle name="Percent 2 2 3 2 3 2" xfId="1430" xr:uid="{00000000-0005-0000-0000-000032050000}"/>
    <cellStyle name="Percent 2 2 3 2 3 3" xfId="1197" xr:uid="{00000000-0005-0000-0000-000033050000}"/>
    <cellStyle name="Percent 2 2 3 2 4" xfId="1314" xr:uid="{00000000-0005-0000-0000-000034050000}"/>
    <cellStyle name="Percent 2 2 3 2 5" xfId="1077" xr:uid="{00000000-0005-0000-0000-000035050000}"/>
    <cellStyle name="Percent 2 2 3 3" xfId="889" xr:uid="{00000000-0005-0000-0000-000036050000}"/>
    <cellStyle name="Percent 2 2 3 3 2" xfId="1223" xr:uid="{00000000-0005-0000-0000-000037050000}"/>
    <cellStyle name="Percent 2 2 3 3 2 2" xfId="1456" xr:uid="{00000000-0005-0000-0000-000038050000}"/>
    <cellStyle name="Percent 2 2 3 3 3" xfId="1340" xr:uid="{00000000-0005-0000-0000-000039050000}"/>
    <cellStyle name="Percent 2 2 3 3 4" xfId="1104" xr:uid="{00000000-0005-0000-0000-00003A050000}"/>
    <cellStyle name="Percent 2 2 3 4" xfId="962" xr:uid="{00000000-0005-0000-0000-00003B050000}"/>
    <cellStyle name="Percent 2 2 3 4 2" xfId="1404" xr:uid="{00000000-0005-0000-0000-00003C050000}"/>
    <cellStyle name="Percent 2 2 3 4 3" xfId="1171" xr:uid="{00000000-0005-0000-0000-00003D050000}"/>
    <cellStyle name="Percent 2 2 3 5" xfId="1288" xr:uid="{00000000-0005-0000-0000-00003E050000}"/>
    <cellStyle name="Percent 2 2 3 6" xfId="1051" xr:uid="{00000000-0005-0000-0000-00003F050000}"/>
    <cellStyle name="Percent 2 2 4" xfId="751" xr:uid="{00000000-0005-0000-0000-000040050000}"/>
    <cellStyle name="Percent 2 2 4 2" xfId="906" xr:uid="{00000000-0005-0000-0000-000041050000}"/>
    <cellStyle name="Percent 2 2 4 2 2" xfId="1237" xr:uid="{00000000-0005-0000-0000-000042050000}"/>
    <cellStyle name="Percent 2 2 4 2 2 2" xfId="1470" xr:uid="{00000000-0005-0000-0000-000043050000}"/>
    <cellStyle name="Percent 2 2 4 2 3" xfId="1354" xr:uid="{00000000-0005-0000-0000-000044050000}"/>
    <cellStyle name="Percent 2 2 4 2 4" xfId="1118" xr:uid="{00000000-0005-0000-0000-000045050000}"/>
    <cellStyle name="Percent 2 2 4 3" xfId="976" xr:uid="{00000000-0005-0000-0000-000046050000}"/>
    <cellStyle name="Percent 2 2 4 3 2" xfId="1414" xr:uid="{00000000-0005-0000-0000-000047050000}"/>
    <cellStyle name="Percent 2 2 4 3 3" xfId="1181" xr:uid="{00000000-0005-0000-0000-000048050000}"/>
    <cellStyle name="Percent 2 2 4 4" xfId="1298" xr:uid="{00000000-0005-0000-0000-000049050000}"/>
    <cellStyle name="Percent 2 2 4 5" xfId="1061" xr:uid="{00000000-0005-0000-0000-00004A050000}"/>
    <cellStyle name="Percent 2 2 5" xfId="873" xr:uid="{00000000-0005-0000-0000-00004B050000}"/>
    <cellStyle name="Percent 2 2 5 2" xfId="1207" xr:uid="{00000000-0005-0000-0000-00004C050000}"/>
    <cellStyle name="Percent 2 2 5 2 2" xfId="1440" xr:uid="{00000000-0005-0000-0000-00004D050000}"/>
    <cellStyle name="Percent 2 2 5 3" xfId="1324" xr:uid="{00000000-0005-0000-0000-00004E050000}"/>
    <cellStyle name="Percent 2 2 5 4" xfId="1088" xr:uid="{00000000-0005-0000-0000-00004F050000}"/>
    <cellStyle name="Percent 2 2 6" xfId="946" xr:uid="{00000000-0005-0000-0000-000050050000}"/>
    <cellStyle name="Percent 2 2 6 2" xfId="1388" xr:uid="{00000000-0005-0000-0000-000051050000}"/>
    <cellStyle name="Percent 2 2 6 3" xfId="1155" xr:uid="{00000000-0005-0000-0000-000052050000}"/>
    <cellStyle name="Percent 2 2 7" xfId="1272" xr:uid="{00000000-0005-0000-0000-000053050000}"/>
    <cellStyle name="Percent 2 2 8" xfId="1035" xr:uid="{00000000-0005-0000-0000-000054050000}"/>
    <cellStyle name="Percent 2 3" xfId="715" xr:uid="{00000000-0005-0000-0000-000055050000}"/>
    <cellStyle name="Percent 2 3 2" xfId="723" xr:uid="{00000000-0005-0000-0000-000056050000}"/>
    <cellStyle name="Percent 2 3 2 2" xfId="760" xr:uid="{00000000-0005-0000-0000-000057050000}"/>
    <cellStyle name="Percent 2 3 2 2 2" xfId="915" xr:uid="{00000000-0005-0000-0000-000058050000}"/>
    <cellStyle name="Percent 2 3 2 2 2 2" xfId="1246" xr:uid="{00000000-0005-0000-0000-000059050000}"/>
    <cellStyle name="Percent 2 3 2 2 2 2 2" xfId="1479" xr:uid="{00000000-0005-0000-0000-00005A050000}"/>
    <cellStyle name="Percent 2 3 2 2 2 3" xfId="1363" xr:uid="{00000000-0005-0000-0000-00005B050000}"/>
    <cellStyle name="Percent 2 3 2 2 2 4" xfId="1127" xr:uid="{00000000-0005-0000-0000-00005C050000}"/>
    <cellStyle name="Percent 2 3 2 2 3" xfId="985" xr:uid="{00000000-0005-0000-0000-00005D050000}"/>
    <cellStyle name="Percent 2 3 2 2 3 2" xfId="1423" xr:uid="{00000000-0005-0000-0000-00005E050000}"/>
    <cellStyle name="Percent 2 3 2 2 3 3" xfId="1190" xr:uid="{00000000-0005-0000-0000-00005F050000}"/>
    <cellStyle name="Percent 2 3 2 2 4" xfId="1307" xr:uid="{00000000-0005-0000-0000-000060050000}"/>
    <cellStyle name="Percent 2 3 2 2 5" xfId="1070" xr:uid="{00000000-0005-0000-0000-000061050000}"/>
    <cellStyle name="Percent 2 3 2 3" xfId="882" xr:uid="{00000000-0005-0000-0000-000062050000}"/>
    <cellStyle name="Percent 2 3 2 3 2" xfId="1216" xr:uid="{00000000-0005-0000-0000-000063050000}"/>
    <cellStyle name="Percent 2 3 2 3 2 2" xfId="1449" xr:uid="{00000000-0005-0000-0000-000064050000}"/>
    <cellStyle name="Percent 2 3 2 3 3" xfId="1333" xr:uid="{00000000-0005-0000-0000-000065050000}"/>
    <cellStyle name="Percent 2 3 2 3 4" xfId="1097" xr:uid="{00000000-0005-0000-0000-000066050000}"/>
    <cellStyle name="Percent 2 3 2 4" xfId="955" xr:uid="{00000000-0005-0000-0000-000067050000}"/>
    <cellStyle name="Percent 2 3 2 4 2" xfId="1397" xr:uid="{00000000-0005-0000-0000-000068050000}"/>
    <cellStyle name="Percent 2 3 2 4 3" xfId="1164" xr:uid="{00000000-0005-0000-0000-000069050000}"/>
    <cellStyle name="Percent 2 3 2 5" xfId="1281" xr:uid="{00000000-0005-0000-0000-00006A050000}"/>
    <cellStyle name="Percent 2 3 2 6" xfId="1044" xr:uid="{00000000-0005-0000-0000-00006B050000}"/>
    <cellStyle name="Percent 2 3 3" xfId="731" xr:uid="{00000000-0005-0000-0000-00006C050000}"/>
    <cellStyle name="Percent 2 3 3 2" xfId="768" xr:uid="{00000000-0005-0000-0000-00006D050000}"/>
    <cellStyle name="Percent 2 3 3 2 2" xfId="923" xr:uid="{00000000-0005-0000-0000-00006E050000}"/>
    <cellStyle name="Percent 2 3 3 2 2 2" xfId="1254" xr:uid="{00000000-0005-0000-0000-00006F050000}"/>
    <cellStyle name="Percent 2 3 3 2 2 2 2" xfId="1487" xr:uid="{00000000-0005-0000-0000-000070050000}"/>
    <cellStyle name="Percent 2 3 3 2 2 3" xfId="1371" xr:uid="{00000000-0005-0000-0000-000071050000}"/>
    <cellStyle name="Percent 2 3 3 2 2 4" xfId="1135" xr:uid="{00000000-0005-0000-0000-000072050000}"/>
    <cellStyle name="Percent 2 3 3 2 3" xfId="993" xr:uid="{00000000-0005-0000-0000-000073050000}"/>
    <cellStyle name="Percent 2 3 3 2 3 2" xfId="1431" xr:uid="{00000000-0005-0000-0000-000074050000}"/>
    <cellStyle name="Percent 2 3 3 2 3 3" xfId="1198" xr:uid="{00000000-0005-0000-0000-000075050000}"/>
    <cellStyle name="Percent 2 3 3 2 4" xfId="1315" xr:uid="{00000000-0005-0000-0000-000076050000}"/>
    <cellStyle name="Percent 2 3 3 2 5" xfId="1078" xr:uid="{00000000-0005-0000-0000-000077050000}"/>
    <cellStyle name="Percent 2 3 3 3" xfId="890" xr:uid="{00000000-0005-0000-0000-000078050000}"/>
    <cellStyle name="Percent 2 3 3 3 2" xfId="1224" xr:uid="{00000000-0005-0000-0000-000079050000}"/>
    <cellStyle name="Percent 2 3 3 3 2 2" xfId="1457" xr:uid="{00000000-0005-0000-0000-00007A050000}"/>
    <cellStyle name="Percent 2 3 3 3 3" xfId="1341" xr:uid="{00000000-0005-0000-0000-00007B050000}"/>
    <cellStyle name="Percent 2 3 3 3 4" xfId="1105" xr:uid="{00000000-0005-0000-0000-00007C050000}"/>
    <cellStyle name="Percent 2 3 3 4" xfId="963" xr:uid="{00000000-0005-0000-0000-00007D050000}"/>
    <cellStyle name="Percent 2 3 3 4 2" xfId="1405" xr:uid="{00000000-0005-0000-0000-00007E050000}"/>
    <cellStyle name="Percent 2 3 3 4 3" xfId="1172" xr:uid="{00000000-0005-0000-0000-00007F050000}"/>
    <cellStyle name="Percent 2 3 3 5" xfId="1289" xr:uid="{00000000-0005-0000-0000-000080050000}"/>
    <cellStyle name="Percent 2 3 3 6" xfId="1052" xr:uid="{00000000-0005-0000-0000-000081050000}"/>
    <cellStyle name="Percent 2 3 4" xfId="752" xr:uid="{00000000-0005-0000-0000-000082050000}"/>
    <cellStyle name="Percent 2 3 4 2" xfId="907" xr:uid="{00000000-0005-0000-0000-000083050000}"/>
    <cellStyle name="Percent 2 3 4 2 2" xfId="1238" xr:uid="{00000000-0005-0000-0000-000084050000}"/>
    <cellStyle name="Percent 2 3 4 2 2 2" xfId="1471" xr:uid="{00000000-0005-0000-0000-000085050000}"/>
    <cellStyle name="Percent 2 3 4 2 3" xfId="1355" xr:uid="{00000000-0005-0000-0000-000086050000}"/>
    <cellStyle name="Percent 2 3 4 2 4" xfId="1119" xr:uid="{00000000-0005-0000-0000-000087050000}"/>
    <cellStyle name="Percent 2 3 4 3" xfId="977" xr:uid="{00000000-0005-0000-0000-000088050000}"/>
    <cellStyle name="Percent 2 3 4 3 2" xfId="1415" xr:uid="{00000000-0005-0000-0000-000089050000}"/>
    <cellStyle name="Percent 2 3 4 3 3" xfId="1182" xr:uid="{00000000-0005-0000-0000-00008A050000}"/>
    <cellStyle name="Percent 2 3 4 4" xfId="1299" xr:uid="{00000000-0005-0000-0000-00008B050000}"/>
    <cellStyle name="Percent 2 3 4 5" xfId="1062" xr:uid="{00000000-0005-0000-0000-00008C050000}"/>
    <cellStyle name="Percent 2 3 5" xfId="874" xr:uid="{00000000-0005-0000-0000-00008D050000}"/>
    <cellStyle name="Percent 2 3 5 2" xfId="1208" xr:uid="{00000000-0005-0000-0000-00008E050000}"/>
    <cellStyle name="Percent 2 3 5 2 2" xfId="1441" xr:uid="{00000000-0005-0000-0000-00008F050000}"/>
    <cellStyle name="Percent 2 3 5 3" xfId="1325" xr:uid="{00000000-0005-0000-0000-000090050000}"/>
    <cellStyle name="Percent 2 3 5 4" xfId="1089" xr:uid="{00000000-0005-0000-0000-000091050000}"/>
    <cellStyle name="Percent 2 3 6" xfId="947" xr:uid="{00000000-0005-0000-0000-000092050000}"/>
    <cellStyle name="Percent 2 3 6 2" xfId="1389" xr:uid="{00000000-0005-0000-0000-000093050000}"/>
    <cellStyle name="Percent 2 3 6 3" xfId="1156" xr:uid="{00000000-0005-0000-0000-000094050000}"/>
    <cellStyle name="Percent 2 3 7" xfId="1273" xr:uid="{00000000-0005-0000-0000-000095050000}"/>
    <cellStyle name="Percent 2 3 8" xfId="1036" xr:uid="{00000000-0005-0000-0000-000096050000}"/>
    <cellStyle name="Percent 2 4" xfId="1491" xr:uid="{00000000-0005-0000-0000-000097050000}"/>
    <cellStyle name="Percent 2 5" xfId="660" xr:uid="{00000000-0005-0000-0000-000098050000}"/>
    <cellStyle name="Percent 20" xfId="995" xr:uid="{00000000-0005-0000-0000-000099050000}"/>
    <cellStyle name="Percent 21" xfId="997" xr:uid="{00000000-0005-0000-0000-00009A050000}"/>
    <cellStyle name="Percent 22" xfId="1008" xr:uid="{00000000-0005-0000-0000-00009B050000}"/>
    <cellStyle name="Percent 23" xfId="1492" xr:uid="{00000000-0005-0000-0000-00009C050000}"/>
    <cellStyle name="Percent 24" xfId="1011" xr:uid="{00000000-0005-0000-0000-00009D050000}"/>
    <cellStyle name="Percent 25" xfId="1494" xr:uid="{00000000-0005-0000-0000-00009E050000}"/>
    <cellStyle name="Percent 26" xfId="1021" xr:uid="{00000000-0005-0000-0000-00009F050000}"/>
    <cellStyle name="Percent 27" xfId="998" xr:uid="{00000000-0005-0000-0000-0000A0050000}"/>
    <cellStyle name="Percent 28" xfId="1007" xr:uid="{00000000-0005-0000-0000-0000A1050000}"/>
    <cellStyle name="Percent 29" xfId="1496" xr:uid="{00000000-0005-0000-0000-0000A2050000}"/>
    <cellStyle name="Percent 3" xfId="86" xr:uid="{00000000-0005-0000-0000-0000A3050000}"/>
    <cellStyle name="Percent 3 2" xfId="87" xr:uid="{00000000-0005-0000-0000-0000A4050000}"/>
    <cellStyle name="Percent 3 2 2" xfId="846" xr:uid="{00000000-0005-0000-0000-0000A5050000}"/>
    <cellStyle name="Percent 3 2 3" xfId="99" xr:uid="{00000000-0005-0000-0000-0000A6050000}"/>
    <cellStyle name="Percent 3 2 4" xfId="711" xr:uid="{00000000-0005-0000-0000-0000A7050000}"/>
    <cellStyle name="Percent 3 3" xfId="735" xr:uid="{00000000-0005-0000-0000-0000A8050000}"/>
    <cellStyle name="Percent 3 4" xfId="842" xr:uid="{00000000-0005-0000-0000-0000A9050000}"/>
    <cellStyle name="Percent 3 5" xfId="661" xr:uid="{00000000-0005-0000-0000-0000AA050000}"/>
    <cellStyle name="Percent 30" xfId="1018" xr:uid="{00000000-0005-0000-0000-0000AB050000}"/>
    <cellStyle name="Percent 31" xfId="1020" xr:uid="{00000000-0005-0000-0000-0000AC050000}"/>
    <cellStyle name="Percent 32" xfId="1009" xr:uid="{00000000-0005-0000-0000-0000AD050000}"/>
    <cellStyle name="Percent 33" xfId="1495" xr:uid="{00000000-0005-0000-0000-0000AE050000}"/>
    <cellStyle name="Percent 34" xfId="1003" xr:uid="{00000000-0005-0000-0000-0000AF050000}"/>
    <cellStyle name="Percent 35" xfId="1493" xr:uid="{00000000-0005-0000-0000-0000B0050000}"/>
    <cellStyle name="Percent 36" xfId="1497" xr:uid="{00000000-0005-0000-0000-0000B1050000}"/>
    <cellStyle name="Percent 37" xfId="1499" xr:uid="{00000000-0005-0000-0000-0000B2050000}"/>
    <cellStyle name="Percent 38" xfId="1501" xr:uid="{00000000-0005-0000-0000-0000B3050000}"/>
    <cellStyle name="Percent 39" xfId="1503" xr:uid="{00000000-0005-0000-0000-0000B4050000}"/>
    <cellStyle name="Percent 4" xfId="88" xr:uid="{00000000-0005-0000-0000-0000B5050000}"/>
    <cellStyle name="Percent 4 2" xfId="864" xr:uid="{00000000-0005-0000-0000-0000B6050000}"/>
    <cellStyle name="Percent 4 3" xfId="712" xr:uid="{00000000-0005-0000-0000-0000B7050000}"/>
    <cellStyle name="Percent 40" xfId="1505" xr:uid="{00000000-0005-0000-0000-0000B8050000}"/>
    <cellStyle name="Percent 41" xfId="1507" xr:uid="{00000000-0005-0000-0000-0000B9050000}"/>
    <cellStyle name="Percent 42" xfId="1509" xr:uid="{00000000-0005-0000-0000-0000BA050000}"/>
    <cellStyle name="Percent 43" xfId="1511" xr:uid="{00000000-0005-0000-0000-0000BB050000}"/>
    <cellStyle name="Percent 44" xfId="1513" xr:uid="{00000000-0005-0000-0000-0000BC050000}"/>
    <cellStyle name="Percent 45" xfId="1515" xr:uid="{00000000-0005-0000-0000-0000BD050000}"/>
    <cellStyle name="Percent 46" xfId="1517" xr:uid="{00000000-0005-0000-0000-0000BE050000}"/>
    <cellStyle name="Percent 47" xfId="1519" xr:uid="{00000000-0005-0000-0000-0000BF050000}"/>
    <cellStyle name="Percent 48" xfId="1521" xr:uid="{00000000-0005-0000-0000-0000C0050000}"/>
    <cellStyle name="Percent 49" xfId="659" xr:uid="{00000000-0005-0000-0000-0000C1050000}"/>
    <cellStyle name="Percent 5" xfId="89" xr:uid="{00000000-0005-0000-0000-0000C2050000}"/>
    <cellStyle name="Percent 5 2" xfId="744" xr:uid="{00000000-0005-0000-0000-0000C3050000}"/>
    <cellStyle name="Percent 6" xfId="739" xr:uid="{00000000-0005-0000-0000-0000C4050000}"/>
    <cellStyle name="Percent 6 2" xfId="896" xr:uid="{00000000-0005-0000-0000-0000C5050000}"/>
    <cellStyle name="Percent 6 2 2" xfId="1461" xr:uid="{00000000-0005-0000-0000-0000C6050000}"/>
    <cellStyle name="Percent 6 2 3" xfId="1228" xr:uid="{00000000-0005-0000-0000-0000C7050000}"/>
    <cellStyle name="Percent 6 3" xfId="967" xr:uid="{00000000-0005-0000-0000-0000C8050000}"/>
    <cellStyle name="Percent 6 3 2" xfId="1345" xr:uid="{00000000-0005-0000-0000-0000C9050000}"/>
    <cellStyle name="Percent 6 4" xfId="1109" xr:uid="{00000000-0005-0000-0000-0000CA050000}"/>
    <cellStyle name="Percent 7" xfId="929" xr:uid="{00000000-0005-0000-0000-0000CB050000}"/>
    <cellStyle name="Percent 7 2" xfId="1142" xr:uid="{00000000-0005-0000-0000-0000CC050000}"/>
    <cellStyle name="Percent 8" xfId="930" xr:uid="{00000000-0005-0000-0000-0000CD050000}"/>
    <cellStyle name="Percent 8 2" xfId="1258" xr:uid="{00000000-0005-0000-0000-0000CE050000}"/>
    <cellStyle name="Percent 9" xfId="933" xr:uid="{00000000-0005-0000-0000-0000CF050000}"/>
    <cellStyle name="Style 23" xfId="3" xr:uid="{00000000-0005-0000-0000-0000D0050000}"/>
    <cellStyle name="Style 23 2" xfId="714" xr:uid="{00000000-0005-0000-0000-0000D1050000}"/>
    <cellStyle name="Style 23 3" xfId="713" xr:uid="{00000000-0005-0000-0000-0000D2050000}"/>
    <cellStyle name="STYLE1" xfId="90" xr:uid="{00000000-0005-0000-0000-0000D3050000}"/>
    <cellStyle name="STYLE2" xfId="91" xr:uid="{00000000-0005-0000-0000-0000D4050000}"/>
    <cellStyle name="STYLE4" xfId="92" xr:uid="{00000000-0005-0000-0000-0000D5050000}"/>
    <cellStyle name="Subtotal" xfId="93" xr:uid="{00000000-0005-0000-0000-0000D6050000}"/>
    <cellStyle name="Title 2" xfId="94" xr:uid="{00000000-0005-0000-0000-0000D7050000}"/>
    <cellStyle name="Title 2 2" xfId="1022" xr:uid="{00000000-0005-0000-0000-0000D8050000}"/>
    <cellStyle name="Title 3" xfId="793" xr:uid="{00000000-0005-0000-0000-0000D9050000}"/>
    <cellStyle name="Total 10" xfId="662" xr:uid="{00000000-0005-0000-0000-0000DA050000}"/>
    <cellStyle name="Total 11" xfId="663" xr:uid="{00000000-0005-0000-0000-0000DB050000}"/>
    <cellStyle name="Total 12" xfId="664" xr:uid="{00000000-0005-0000-0000-0000DC050000}"/>
    <cellStyle name="Total 13" xfId="665" xr:uid="{00000000-0005-0000-0000-0000DD050000}"/>
    <cellStyle name="Total 14" xfId="666" xr:uid="{00000000-0005-0000-0000-0000DE050000}"/>
    <cellStyle name="Total 15" xfId="667" xr:uid="{00000000-0005-0000-0000-0000DF050000}"/>
    <cellStyle name="Total 16" xfId="794" xr:uid="{00000000-0005-0000-0000-0000E0050000}"/>
    <cellStyle name="Total 2" xfId="95" xr:uid="{00000000-0005-0000-0000-0000E1050000}"/>
    <cellStyle name="Total 2 2" xfId="813" xr:uid="{00000000-0005-0000-0000-0000E2050000}"/>
    <cellStyle name="Total 2 3" xfId="668" xr:uid="{00000000-0005-0000-0000-0000E3050000}"/>
    <cellStyle name="Total 3" xfId="669" xr:uid="{00000000-0005-0000-0000-0000E4050000}"/>
    <cellStyle name="Total 4" xfId="670" xr:uid="{00000000-0005-0000-0000-0000E5050000}"/>
    <cellStyle name="Total 5" xfId="671" xr:uid="{00000000-0005-0000-0000-0000E6050000}"/>
    <cellStyle name="Total 6" xfId="672" xr:uid="{00000000-0005-0000-0000-0000E7050000}"/>
    <cellStyle name="Total 7" xfId="673" xr:uid="{00000000-0005-0000-0000-0000E8050000}"/>
    <cellStyle name="Total 8" xfId="674" xr:uid="{00000000-0005-0000-0000-0000E9050000}"/>
    <cellStyle name="Total 9" xfId="675" xr:uid="{00000000-0005-0000-0000-0000EA050000}"/>
    <cellStyle name="Warning Text 10" xfId="676" xr:uid="{00000000-0005-0000-0000-0000EB050000}"/>
    <cellStyle name="Warning Text 11" xfId="677" xr:uid="{00000000-0005-0000-0000-0000EC050000}"/>
    <cellStyle name="Warning Text 12" xfId="678" xr:uid="{00000000-0005-0000-0000-0000ED050000}"/>
    <cellStyle name="Warning Text 13" xfId="679" xr:uid="{00000000-0005-0000-0000-0000EE050000}"/>
    <cellStyle name="Warning Text 14" xfId="680" xr:uid="{00000000-0005-0000-0000-0000EF050000}"/>
    <cellStyle name="Warning Text 15" xfId="681" xr:uid="{00000000-0005-0000-0000-0000F0050000}"/>
    <cellStyle name="Warning Text 16" xfId="795" xr:uid="{00000000-0005-0000-0000-0000F1050000}"/>
    <cellStyle name="Warning Text 2" xfId="96" xr:uid="{00000000-0005-0000-0000-0000F2050000}"/>
    <cellStyle name="Warning Text 2 2" xfId="810" xr:uid="{00000000-0005-0000-0000-0000F3050000}"/>
    <cellStyle name="Warning Text 2 3" xfId="682" xr:uid="{00000000-0005-0000-0000-0000F4050000}"/>
    <cellStyle name="Warning Text 3" xfId="683" xr:uid="{00000000-0005-0000-0000-0000F5050000}"/>
    <cellStyle name="Warning Text 4" xfId="684" xr:uid="{00000000-0005-0000-0000-0000F6050000}"/>
    <cellStyle name="Warning Text 5" xfId="685" xr:uid="{00000000-0005-0000-0000-0000F7050000}"/>
    <cellStyle name="Warning Text 6" xfId="686" xr:uid="{00000000-0005-0000-0000-0000F8050000}"/>
    <cellStyle name="Warning Text 7" xfId="687" xr:uid="{00000000-0005-0000-0000-0000F9050000}"/>
    <cellStyle name="Warning Text 8" xfId="688" xr:uid="{00000000-0005-0000-0000-0000FA050000}"/>
    <cellStyle name="Warning Text 9" xfId="689" xr:uid="{00000000-0005-0000-0000-0000FB050000}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4">
    <tabColor rgb="FFFFFF00"/>
  </sheetPr>
  <dimension ref="A1:AG178"/>
  <sheetViews>
    <sheetView showGridLines="0" topLeftCell="A82" zoomScale="90" zoomScaleNormal="90" workbookViewId="0">
      <selection activeCell="V10" sqref="V1:V1048576"/>
    </sheetView>
  </sheetViews>
  <sheetFormatPr defaultRowHeight="12.75" x14ac:dyDescent="0.2"/>
  <cols>
    <col min="1" max="3" width="14.5703125" style="61" customWidth="1"/>
    <col min="4" max="6" width="14.5703125" style="64" customWidth="1"/>
    <col min="7" max="8" width="14.5703125" style="61" customWidth="1"/>
    <col min="9" max="18" width="14" style="61" customWidth="1"/>
    <col min="19" max="19" width="14.5703125" style="62" bestFit="1" customWidth="1"/>
    <col min="20" max="20" width="12.140625" style="62" bestFit="1" customWidth="1"/>
    <col min="21" max="33" width="14" style="61" customWidth="1"/>
    <col min="34" max="257" width="9.140625" style="61"/>
    <col min="258" max="258" width="31" style="61" customWidth="1"/>
    <col min="259" max="259" width="18.5703125" style="61" customWidth="1"/>
    <col min="260" max="260" width="3.85546875" style="61" customWidth="1"/>
    <col min="261" max="261" width="18.7109375" style="61" customWidth="1"/>
    <col min="262" max="270" width="14" style="61" customWidth="1"/>
    <col min="271" max="271" width="13" style="61" bestFit="1" customWidth="1"/>
    <col min="272" max="272" width="14.5703125" style="61" bestFit="1" customWidth="1"/>
    <col min="273" max="273" width="12.140625" style="61" bestFit="1" customWidth="1"/>
    <col min="274" max="284" width="14" style="61" customWidth="1"/>
    <col min="285" max="288" width="13.28515625" style="61" customWidth="1"/>
    <col min="289" max="513" width="9.140625" style="61"/>
    <col min="514" max="514" width="31" style="61" customWidth="1"/>
    <col min="515" max="515" width="18.5703125" style="61" customWidth="1"/>
    <col min="516" max="516" width="3.85546875" style="61" customWidth="1"/>
    <col min="517" max="517" width="18.7109375" style="61" customWidth="1"/>
    <col min="518" max="526" width="14" style="61" customWidth="1"/>
    <col min="527" max="527" width="13" style="61" bestFit="1" customWidth="1"/>
    <col min="528" max="528" width="14.5703125" style="61" bestFit="1" customWidth="1"/>
    <col min="529" max="529" width="12.140625" style="61" bestFit="1" customWidth="1"/>
    <col min="530" max="540" width="14" style="61" customWidth="1"/>
    <col min="541" max="544" width="13.28515625" style="61" customWidth="1"/>
    <col min="545" max="769" width="9.140625" style="61"/>
    <col min="770" max="770" width="31" style="61" customWidth="1"/>
    <col min="771" max="771" width="18.5703125" style="61" customWidth="1"/>
    <col min="772" max="772" width="3.85546875" style="61" customWidth="1"/>
    <col min="773" max="773" width="18.7109375" style="61" customWidth="1"/>
    <col min="774" max="782" width="14" style="61" customWidth="1"/>
    <col min="783" max="783" width="13" style="61" bestFit="1" customWidth="1"/>
    <col min="784" max="784" width="14.5703125" style="61" bestFit="1" customWidth="1"/>
    <col min="785" max="785" width="12.140625" style="61" bestFit="1" customWidth="1"/>
    <col min="786" max="796" width="14" style="61" customWidth="1"/>
    <col min="797" max="800" width="13.28515625" style="61" customWidth="1"/>
    <col min="801" max="1025" width="9.140625" style="61"/>
    <col min="1026" max="1026" width="31" style="61" customWidth="1"/>
    <col min="1027" max="1027" width="18.5703125" style="61" customWidth="1"/>
    <col min="1028" max="1028" width="3.85546875" style="61" customWidth="1"/>
    <col min="1029" max="1029" width="18.7109375" style="61" customWidth="1"/>
    <col min="1030" max="1038" width="14" style="61" customWidth="1"/>
    <col min="1039" max="1039" width="13" style="61" bestFit="1" customWidth="1"/>
    <col min="1040" max="1040" width="14.5703125" style="61" bestFit="1" customWidth="1"/>
    <col min="1041" max="1041" width="12.140625" style="61" bestFit="1" customWidth="1"/>
    <col min="1042" max="1052" width="14" style="61" customWidth="1"/>
    <col min="1053" max="1056" width="13.28515625" style="61" customWidth="1"/>
    <col min="1057" max="1281" width="9.140625" style="61"/>
    <col min="1282" max="1282" width="31" style="61" customWidth="1"/>
    <col min="1283" max="1283" width="18.5703125" style="61" customWidth="1"/>
    <col min="1284" max="1284" width="3.85546875" style="61" customWidth="1"/>
    <col min="1285" max="1285" width="18.7109375" style="61" customWidth="1"/>
    <col min="1286" max="1294" width="14" style="61" customWidth="1"/>
    <col min="1295" max="1295" width="13" style="61" bestFit="1" customWidth="1"/>
    <col min="1296" max="1296" width="14.5703125" style="61" bestFit="1" customWidth="1"/>
    <col min="1297" max="1297" width="12.140625" style="61" bestFit="1" customWidth="1"/>
    <col min="1298" max="1308" width="14" style="61" customWidth="1"/>
    <col min="1309" max="1312" width="13.28515625" style="61" customWidth="1"/>
    <col min="1313" max="1537" width="9.140625" style="61"/>
    <col min="1538" max="1538" width="31" style="61" customWidth="1"/>
    <col min="1539" max="1539" width="18.5703125" style="61" customWidth="1"/>
    <col min="1540" max="1540" width="3.85546875" style="61" customWidth="1"/>
    <col min="1541" max="1541" width="18.7109375" style="61" customWidth="1"/>
    <col min="1542" max="1550" width="14" style="61" customWidth="1"/>
    <col min="1551" max="1551" width="13" style="61" bestFit="1" customWidth="1"/>
    <col min="1552" max="1552" width="14.5703125" style="61" bestFit="1" customWidth="1"/>
    <col min="1553" max="1553" width="12.140625" style="61" bestFit="1" customWidth="1"/>
    <col min="1554" max="1564" width="14" style="61" customWidth="1"/>
    <col min="1565" max="1568" width="13.28515625" style="61" customWidth="1"/>
    <col min="1569" max="1793" width="9.140625" style="61"/>
    <col min="1794" max="1794" width="31" style="61" customWidth="1"/>
    <col min="1795" max="1795" width="18.5703125" style="61" customWidth="1"/>
    <col min="1796" max="1796" width="3.85546875" style="61" customWidth="1"/>
    <col min="1797" max="1797" width="18.7109375" style="61" customWidth="1"/>
    <col min="1798" max="1806" width="14" style="61" customWidth="1"/>
    <col min="1807" max="1807" width="13" style="61" bestFit="1" customWidth="1"/>
    <col min="1808" max="1808" width="14.5703125" style="61" bestFit="1" customWidth="1"/>
    <col min="1809" max="1809" width="12.140625" style="61" bestFit="1" customWidth="1"/>
    <col min="1810" max="1820" width="14" style="61" customWidth="1"/>
    <col min="1821" max="1824" width="13.28515625" style="61" customWidth="1"/>
    <col min="1825" max="2049" width="9.140625" style="61"/>
    <col min="2050" max="2050" width="31" style="61" customWidth="1"/>
    <col min="2051" max="2051" width="18.5703125" style="61" customWidth="1"/>
    <col min="2052" max="2052" width="3.85546875" style="61" customWidth="1"/>
    <col min="2053" max="2053" width="18.7109375" style="61" customWidth="1"/>
    <col min="2054" max="2062" width="14" style="61" customWidth="1"/>
    <col min="2063" max="2063" width="13" style="61" bestFit="1" customWidth="1"/>
    <col min="2064" max="2064" width="14.5703125" style="61" bestFit="1" customWidth="1"/>
    <col min="2065" max="2065" width="12.140625" style="61" bestFit="1" customWidth="1"/>
    <col min="2066" max="2076" width="14" style="61" customWidth="1"/>
    <col min="2077" max="2080" width="13.28515625" style="61" customWidth="1"/>
    <col min="2081" max="2305" width="9.140625" style="61"/>
    <col min="2306" max="2306" width="31" style="61" customWidth="1"/>
    <col min="2307" max="2307" width="18.5703125" style="61" customWidth="1"/>
    <col min="2308" max="2308" width="3.85546875" style="61" customWidth="1"/>
    <col min="2309" max="2309" width="18.7109375" style="61" customWidth="1"/>
    <col min="2310" max="2318" width="14" style="61" customWidth="1"/>
    <col min="2319" max="2319" width="13" style="61" bestFit="1" customWidth="1"/>
    <col min="2320" max="2320" width="14.5703125" style="61" bestFit="1" customWidth="1"/>
    <col min="2321" max="2321" width="12.140625" style="61" bestFit="1" customWidth="1"/>
    <col min="2322" max="2332" width="14" style="61" customWidth="1"/>
    <col min="2333" max="2336" width="13.28515625" style="61" customWidth="1"/>
    <col min="2337" max="2561" width="9.140625" style="61"/>
    <col min="2562" max="2562" width="31" style="61" customWidth="1"/>
    <col min="2563" max="2563" width="18.5703125" style="61" customWidth="1"/>
    <col min="2564" max="2564" width="3.85546875" style="61" customWidth="1"/>
    <col min="2565" max="2565" width="18.7109375" style="61" customWidth="1"/>
    <col min="2566" max="2574" width="14" style="61" customWidth="1"/>
    <col min="2575" max="2575" width="13" style="61" bestFit="1" customWidth="1"/>
    <col min="2576" max="2576" width="14.5703125" style="61" bestFit="1" customWidth="1"/>
    <col min="2577" max="2577" width="12.140625" style="61" bestFit="1" customWidth="1"/>
    <col min="2578" max="2588" width="14" style="61" customWidth="1"/>
    <col min="2589" max="2592" width="13.28515625" style="61" customWidth="1"/>
    <col min="2593" max="2817" width="9.140625" style="61"/>
    <col min="2818" max="2818" width="31" style="61" customWidth="1"/>
    <col min="2819" max="2819" width="18.5703125" style="61" customWidth="1"/>
    <col min="2820" max="2820" width="3.85546875" style="61" customWidth="1"/>
    <col min="2821" max="2821" width="18.7109375" style="61" customWidth="1"/>
    <col min="2822" max="2830" width="14" style="61" customWidth="1"/>
    <col min="2831" max="2831" width="13" style="61" bestFit="1" customWidth="1"/>
    <col min="2832" max="2832" width="14.5703125" style="61" bestFit="1" customWidth="1"/>
    <col min="2833" max="2833" width="12.140625" style="61" bestFit="1" customWidth="1"/>
    <col min="2834" max="2844" width="14" style="61" customWidth="1"/>
    <col min="2845" max="2848" width="13.28515625" style="61" customWidth="1"/>
    <col min="2849" max="3073" width="9.140625" style="61"/>
    <col min="3074" max="3074" width="31" style="61" customWidth="1"/>
    <col min="3075" max="3075" width="18.5703125" style="61" customWidth="1"/>
    <col min="3076" max="3076" width="3.85546875" style="61" customWidth="1"/>
    <col min="3077" max="3077" width="18.7109375" style="61" customWidth="1"/>
    <col min="3078" max="3086" width="14" style="61" customWidth="1"/>
    <col min="3087" max="3087" width="13" style="61" bestFit="1" customWidth="1"/>
    <col min="3088" max="3088" width="14.5703125" style="61" bestFit="1" customWidth="1"/>
    <col min="3089" max="3089" width="12.140625" style="61" bestFit="1" customWidth="1"/>
    <col min="3090" max="3100" width="14" style="61" customWidth="1"/>
    <col min="3101" max="3104" width="13.28515625" style="61" customWidth="1"/>
    <col min="3105" max="3329" width="9.140625" style="61"/>
    <col min="3330" max="3330" width="31" style="61" customWidth="1"/>
    <col min="3331" max="3331" width="18.5703125" style="61" customWidth="1"/>
    <col min="3332" max="3332" width="3.85546875" style="61" customWidth="1"/>
    <col min="3333" max="3333" width="18.7109375" style="61" customWidth="1"/>
    <col min="3334" max="3342" width="14" style="61" customWidth="1"/>
    <col min="3343" max="3343" width="13" style="61" bestFit="1" customWidth="1"/>
    <col min="3344" max="3344" width="14.5703125" style="61" bestFit="1" customWidth="1"/>
    <col min="3345" max="3345" width="12.140625" style="61" bestFit="1" customWidth="1"/>
    <col min="3346" max="3356" width="14" style="61" customWidth="1"/>
    <col min="3357" max="3360" width="13.28515625" style="61" customWidth="1"/>
    <col min="3361" max="3585" width="9.140625" style="61"/>
    <col min="3586" max="3586" width="31" style="61" customWidth="1"/>
    <col min="3587" max="3587" width="18.5703125" style="61" customWidth="1"/>
    <col min="3588" max="3588" width="3.85546875" style="61" customWidth="1"/>
    <col min="3589" max="3589" width="18.7109375" style="61" customWidth="1"/>
    <col min="3590" max="3598" width="14" style="61" customWidth="1"/>
    <col min="3599" max="3599" width="13" style="61" bestFit="1" customWidth="1"/>
    <col min="3600" max="3600" width="14.5703125" style="61" bestFit="1" customWidth="1"/>
    <col min="3601" max="3601" width="12.140625" style="61" bestFit="1" customWidth="1"/>
    <col min="3602" max="3612" width="14" style="61" customWidth="1"/>
    <col min="3613" max="3616" width="13.28515625" style="61" customWidth="1"/>
    <col min="3617" max="3841" width="9.140625" style="61"/>
    <col min="3842" max="3842" width="31" style="61" customWidth="1"/>
    <col min="3843" max="3843" width="18.5703125" style="61" customWidth="1"/>
    <col min="3844" max="3844" width="3.85546875" style="61" customWidth="1"/>
    <col min="3845" max="3845" width="18.7109375" style="61" customWidth="1"/>
    <col min="3846" max="3854" width="14" style="61" customWidth="1"/>
    <col min="3855" max="3855" width="13" style="61" bestFit="1" customWidth="1"/>
    <col min="3856" max="3856" width="14.5703125" style="61" bestFit="1" customWidth="1"/>
    <col min="3857" max="3857" width="12.140625" style="61" bestFit="1" customWidth="1"/>
    <col min="3858" max="3868" width="14" style="61" customWidth="1"/>
    <col min="3869" max="3872" width="13.28515625" style="61" customWidth="1"/>
    <col min="3873" max="4097" width="9.140625" style="61"/>
    <col min="4098" max="4098" width="31" style="61" customWidth="1"/>
    <col min="4099" max="4099" width="18.5703125" style="61" customWidth="1"/>
    <col min="4100" max="4100" width="3.85546875" style="61" customWidth="1"/>
    <col min="4101" max="4101" width="18.7109375" style="61" customWidth="1"/>
    <col min="4102" max="4110" width="14" style="61" customWidth="1"/>
    <col min="4111" max="4111" width="13" style="61" bestFit="1" customWidth="1"/>
    <col min="4112" max="4112" width="14.5703125" style="61" bestFit="1" customWidth="1"/>
    <col min="4113" max="4113" width="12.140625" style="61" bestFit="1" customWidth="1"/>
    <col min="4114" max="4124" width="14" style="61" customWidth="1"/>
    <col min="4125" max="4128" width="13.28515625" style="61" customWidth="1"/>
    <col min="4129" max="4353" width="9.140625" style="61"/>
    <col min="4354" max="4354" width="31" style="61" customWidth="1"/>
    <col min="4355" max="4355" width="18.5703125" style="61" customWidth="1"/>
    <col min="4356" max="4356" width="3.85546875" style="61" customWidth="1"/>
    <col min="4357" max="4357" width="18.7109375" style="61" customWidth="1"/>
    <col min="4358" max="4366" width="14" style="61" customWidth="1"/>
    <col min="4367" max="4367" width="13" style="61" bestFit="1" customWidth="1"/>
    <col min="4368" max="4368" width="14.5703125" style="61" bestFit="1" customWidth="1"/>
    <col min="4369" max="4369" width="12.140625" style="61" bestFit="1" customWidth="1"/>
    <col min="4370" max="4380" width="14" style="61" customWidth="1"/>
    <col min="4381" max="4384" width="13.28515625" style="61" customWidth="1"/>
    <col min="4385" max="4609" width="9.140625" style="61"/>
    <col min="4610" max="4610" width="31" style="61" customWidth="1"/>
    <col min="4611" max="4611" width="18.5703125" style="61" customWidth="1"/>
    <col min="4612" max="4612" width="3.85546875" style="61" customWidth="1"/>
    <col min="4613" max="4613" width="18.7109375" style="61" customWidth="1"/>
    <col min="4614" max="4622" width="14" style="61" customWidth="1"/>
    <col min="4623" max="4623" width="13" style="61" bestFit="1" customWidth="1"/>
    <col min="4624" max="4624" width="14.5703125" style="61" bestFit="1" customWidth="1"/>
    <col min="4625" max="4625" width="12.140625" style="61" bestFit="1" customWidth="1"/>
    <col min="4626" max="4636" width="14" style="61" customWidth="1"/>
    <col min="4637" max="4640" width="13.28515625" style="61" customWidth="1"/>
    <col min="4641" max="4865" width="9.140625" style="61"/>
    <col min="4866" max="4866" width="31" style="61" customWidth="1"/>
    <col min="4867" max="4867" width="18.5703125" style="61" customWidth="1"/>
    <col min="4868" max="4868" width="3.85546875" style="61" customWidth="1"/>
    <col min="4869" max="4869" width="18.7109375" style="61" customWidth="1"/>
    <col min="4870" max="4878" width="14" style="61" customWidth="1"/>
    <col min="4879" max="4879" width="13" style="61" bestFit="1" customWidth="1"/>
    <col min="4880" max="4880" width="14.5703125" style="61" bestFit="1" customWidth="1"/>
    <col min="4881" max="4881" width="12.140625" style="61" bestFit="1" customWidth="1"/>
    <col min="4882" max="4892" width="14" style="61" customWidth="1"/>
    <col min="4893" max="4896" width="13.28515625" style="61" customWidth="1"/>
    <col min="4897" max="5121" width="9.140625" style="61"/>
    <col min="5122" max="5122" width="31" style="61" customWidth="1"/>
    <col min="5123" max="5123" width="18.5703125" style="61" customWidth="1"/>
    <col min="5124" max="5124" width="3.85546875" style="61" customWidth="1"/>
    <col min="5125" max="5125" width="18.7109375" style="61" customWidth="1"/>
    <col min="5126" max="5134" width="14" style="61" customWidth="1"/>
    <col min="5135" max="5135" width="13" style="61" bestFit="1" customWidth="1"/>
    <col min="5136" max="5136" width="14.5703125" style="61" bestFit="1" customWidth="1"/>
    <col min="5137" max="5137" width="12.140625" style="61" bestFit="1" customWidth="1"/>
    <col min="5138" max="5148" width="14" style="61" customWidth="1"/>
    <col min="5149" max="5152" width="13.28515625" style="61" customWidth="1"/>
    <col min="5153" max="5377" width="9.140625" style="61"/>
    <col min="5378" max="5378" width="31" style="61" customWidth="1"/>
    <col min="5379" max="5379" width="18.5703125" style="61" customWidth="1"/>
    <col min="5380" max="5380" width="3.85546875" style="61" customWidth="1"/>
    <col min="5381" max="5381" width="18.7109375" style="61" customWidth="1"/>
    <col min="5382" max="5390" width="14" style="61" customWidth="1"/>
    <col min="5391" max="5391" width="13" style="61" bestFit="1" customWidth="1"/>
    <col min="5392" max="5392" width="14.5703125" style="61" bestFit="1" customWidth="1"/>
    <col min="5393" max="5393" width="12.140625" style="61" bestFit="1" customWidth="1"/>
    <col min="5394" max="5404" width="14" style="61" customWidth="1"/>
    <col min="5405" max="5408" width="13.28515625" style="61" customWidth="1"/>
    <col min="5409" max="5633" width="9.140625" style="61"/>
    <col min="5634" max="5634" width="31" style="61" customWidth="1"/>
    <col min="5635" max="5635" width="18.5703125" style="61" customWidth="1"/>
    <col min="5636" max="5636" width="3.85546875" style="61" customWidth="1"/>
    <col min="5637" max="5637" width="18.7109375" style="61" customWidth="1"/>
    <col min="5638" max="5646" width="14" style="61" customWidth="1"/>
    <col min="5647" max="5647" width="13" style="61" bestFit="1" customWidth="1"/>
    <col min="5648" max="5648" width="14.5703125" style="61" bestFit="1" customWidth="1"/>
    <col min="5649" max="5649" width="12.140625" style="61" bestFit="1" customWidth="1"/>
    <col min="5650" max="5660" width="14" style="61" customWidth="1"/>
    <col min="5661" max="5664" width="13.28515625" style="61" customWidth="1"/>
    <col min="5665" max="5889" width="9.140625" style="61"/>
    <col min="5890" max="5890" width="31" style="61" customWidth="1"/>
    <col min="5891" max="5891" width="18.5703125" style="61" customWidth="1"/>
    <col min="5892" max="5892" width="3.85546875" style="61" customWidth="1"/>
    <col min="5893" max="5893" width="18.7109375" style="61" customWidth="1"/>
    <col min="5894" max="5902" width="14" style="61" customWidth="1"/>
    <col min="5903" max="5903" width="13" style="61" bestFit="1" customWidth="1"/>
    <col min="5904" max="5904" width="14.5703125" style="61" bestFit="1" customWidth="1"/>
    <col min="5905" max="5905" width="12.140625" style="61" bestFit="1" customWidth="1"/>
    <col min="5906" max="5916" width="14" style="61" customWidth="1"/>
    <col min="5917" max="5920" width="13.28515625" style="61" customWidth="1"/>
    <col min="5921" max="6145" width="9.140625" style="61"/>
    <col min="6146" max="6146" width="31" style="61" customWidth="1"/>
    <col min="6147" max="6147" width="18.5703125" style="61" customWidth="1"/>
    <col min="6148" max="6148" width="3.85546875" style="61" customWidth="1"/>
    <col min="6149" max="6149" width="18.7109375" style="61" customWidth="1"/>
    <col min="6150" max="6158" width="14" style="61" customWidth="1"/>
    <col min="6159" max="6159" width="13" style="61" bestFit="1" customWidth="1"/>
    <col min="6160" max="6160" width="14.5703125" style="61" bestFit="1" customWidth="1"/>
    <col min="6161" max="6161" width="12.140625" style="61" bestFit="1" customWidth="1"/>
    <col min="6162" max="6172" width="14" style="61" customWidth="1"/>
    <col min="6173" max="6176" width="13.28515625" style="61" customWidth="1"/>
    <col min="6177" max="6401" width="9.140625" style="61"/>
    <col min="6402" max="6402" width="31" style="61" customWidth="1"/>
    <col min="6403" max="6403" width="18.5703125" style="61" customWidth="1"/>
    <col min="6404" max="6404" width="3.85546875" style="61" customWidth="1"/>
    <col min="6405" max="6405" width="18.7109375" style="61" customWidth="1"/>
    <col min="6406" max="6414" width="14" style="61" customWidth="1"/>
    <col min="6415" max="6415" width="13" style="61" bestFit="1" customWidth="1"/>
    <col min="6416" max="6416" width="14.5703125" style="61" bestFit="1" customWidth="1"/>
    <col min="6417" max="6417" width="12.140625" style="61" bestFit="1" customWidth="1"/>
    <col min="6418" max="6428" width="14" style="61" customWidth="1"/>
    <col min="6429" max="6432" width="13.28515625" style="61" customWidth="1"/>
    <col min="6433" max="6657" width="9.140625" style="61"/>
    <col min="6658" max="6658" width="31" style="61" customWidth="1"/>
    <col min="6659" max="6659" width="18.5703125" style="61" customWidth="1"/>
    <col min="6660" max="6660" width="3.85546875" style="61" customWidth="1"/>
    <col min="6661" max="6661" width="18.7109375" style="61" customWidth="1"/>
    <col min="6662" max="6670" width="14" style="61" customWidth="1"/>
    <col min="6671" max="6671" width="13" style="61" bestFit="1" customWidth="1"/>
    <col min="6672" max="6672" width="14.5703125" style="61" bestFit="1" customWidth="1"/>
    <col min="6673" max="6673" width="12.140625" style="61" bestFit="1" customWidth="1"/>
    <col min="6674" max="6684" width="14" style="61" customWidth="1"/>
    <col min="6685" max="6688" width="13.28515625" style="61" customWidth="1"/>
    <col min="6689" max="6913" width="9.140625" style="61"/>
    <col min="6914" max="6914" width="31" style="61" customWidth="1"/>
    <col min="6915" max="6915" width="18.5703125" style="61" customWidth="1"/>
    <col min="6916" max="6916" width="3.85546875" style="61" customWidth="1"/>
    <col min="6917" max="6917" width="18.7109375" style="61" customWidth="1"/>
    <col min="6918" max="6926" width="14" style="61" customWidth="1"/>
    <col min="6927" max="6927" width="13" style="61" bestFit="1" customWidth="1"/>
    <col min="6928" max="6928" width="14.5703125" style="61" bestFit="1" customWidth="1"/>
    <col min="6929" max="6929" width="12.140625" style="61" bestFit="1" customWidth="1"/>
    <col min="6930" max="6940" width="14" style="61" customWidth="1"/>
    <col min="6941" max="6944" width="13.28515625" style="61" customWidth="1"/>
    <col min="6945" max="7169" width="9.140625" style="61"/>
    <col min="7170" max="7170" width="31" style="61" customWidth="1"/>
    <col min="7171" max="7171" width="18.5703125" style="61" customWidth="1"/>
    <col min="7172" max="7172" width="3.85546875" style="61" customWidth="1"/>
    <col min="7173" max="7173" width="18.7109375" style="61" customWidth="1"/>
    <col min="7174" max="7182" width="14" style="61" customWidth="1"/>
    <col min="7183" max="7183" width="13" style="61" bestFit="1" customWidth="1"/>
    <col min="7184" max="7184" width="14.5703125" style="61" bestFit="1" customWidth="1"/>
    <col min="7185" max="7185" width="12.140625" style="61" bestFit="1" customWidth="1"/>
    <col min="7186" max="7196" width="14" style="61" customWidth="1"/>
    <col min="7197" max="7200" width="13.28515625" style="61" customWidth="1"/>
    <col min="7201" max="7425" width="9.140625" style="61"/>
    <col min="7426" max="7426" width="31" style="61" customWidth="1"/>
    <col min="7427" max="7427" width="18.5703125" style="61" customWidth="1"/>
    <col min="7428" max="7428" width="3.85546875" style="61" customWidth="1"/>
    <col min="7429" max="7429" width="18.7109375" style="61" customWidth="1"/>
    <col min="7430" max="7438" width="14" style="61" customWidth="1"/>
    <col min="7439" max="7439" width="13" style="61" bestFit="1" customWidth="1"/>
    <col min="7440" max="7440" width="14.5703125" style="61" bestFit="1" customWidth="1"/>
    <col min="7441" max="7441" width="12.140625" style="61" bestFit="1" customWidth="1"/>
    <col min="7442" max="7452" width="14" style="61" customWidth="1"/>
    <col min="7453" max="7456" width="13.28515625" style="61" customWidth="1"/>
    <col min="7457" max="7681" width="9.140625" style="61"/>
    <col min="7682" max="7682" width="31" style="61" customWidth="1"/>
    <col min="7683" max="7683" width="18.5703125" style="61" customWidth="1"/>
    <col min="7684" max="7684" width="3.85546875" style="61" customWidth="1"/>
    <col min="7685" max="7685" width="18.7109375" style="61" customWidth="1"/>
    <col min="7686" max="7694" width="14" style="61" customWidth="1"/>
    <col min="7695" max="7695" width="13" style="61" bestFit="1" customWidth="1"/>
    <col min="7696" max="7696" width="14.5703125" style="61" bestFit="1" customWidth="1"/>
    <col min="7697" max="7697" width="12.140625" style="61" bestFit="1" customWidth="1"/>
    <col min="7698" max="7708" width="14" style="61" customWidth="1"/>
    <col min="7709" max="7712" width="13.28515625" style="61" customWidth="1"/>
    <col min="7713" max="7937" width="9.140625" style="61"/>
    <col min="7938" max="7938" width="31" style="61" customWidth="1"/>
    <col min="7939" max="7939" width="18.5703125" style="61" customWidth="1"/>
    <col min="7940" max="7940" width="3.85546875" style="61" customWidth="1"/>
    <col min="7941" max="7941" width="18.7109375" style="61" customWidth="1"/>
    <col min="7942" max="7950" width="14" style="61" customWidth="1"/>
    <col min="7951" max="7951" width="13" style="61" bestFit="1" customWidth="1"/>
    <col min="7952" max="7952" width="14.5703125" style="61" bestFit="1" customWidth="1"/>
    <col min="7953" max="7953" width="12.140625" style="61" bestFit="1" customWidth="1"/>
    <col min="7954" max="7964" width="14" style="61" customWidth="1"/>
    <col min="7965" max="7968" width="13.28515625" style="61" customWidth="1"/>
    <col min="7969" max="8193" width="9.140625" style="61"/>
    <col min="8194" max="8194" width="31" style="61" customWidth="1"/>
    <col min="8195" max="8195" width="18.5703125" style="61" customWidth="1"/>
    <col min="8196" max="8196" width="3.85546875" style="61" customWidth="1"/>
    <col min="8197" max="8197" width="18.7109375" style="61" customWidth="1"/>
    <col min="8198" max="8206" width="14" style="61" customWidth="1"/>
    <col min="8207" max="8207" width="13" style="61" bestFit="1" customWidth="1"/>
    <col min="8208" max="8208" width="14.5703125" style="61" bestFit="1" customWidth="1"/>
    <col min="8209" max="8209" width="12.140625" style="61" bestFit="1" customWidth="1"/>
    <col min="8210" max="8220" width="14" style="61" customWidth="1"/>
    <col min="8221" max="8224" width="13.28515625" style="61" customWidth="1"/>
    <col min="8225" max="8449" width="9.140625" style="61"/>
    <col min="8450" max="8450" width="31" style="61" customWidth="1"/>
    <col min="8451" max="8451" width="18.5703125" style="61" customWidth="1"/>
    <col min="8452" max="8452" width="3.85546875" style="61" customWidth="1"/>
    <col min="8453" max="8453" width="18.7109375" style="61" customWidth="1"/>
    <col min="8454" max="8462" width="14" style="61" customWidth="1"/>
    <col min="8463" max="8463" width="13" style="61" bestFit="1" customWidth="1"/>
    <col min="8464" max="8464" width="14.5703125" style="61" bestFit="1" customWidth="1"/>
    <col min="8465" max="8465" width="12.140625" style="61" bestFit="1" customWidth="1"/>
    <col min="8466" max="8476" width="14" style="61" customWidth="1"/>
    <col min="8477" max="8480" width="13.28515625" style="61" customWidth="1"/>
    <col min="8481" max="8705" width="9.140625" style="61"/>
    <col min="8706" max="8706" width="31" style="61" customWidth="1"/>
    <col min="8707" max="8707" width="18.5703125" style="61" customWidth="1"/>
    <col min="8708" max="8708" width="3.85546875" style="61" customWidth="1"/>
    <col min="8709" max="8709" width="18.7109375" style="61" customWidth="1"/>
    <col min="8710" max="8718" width="14" style="61" customWidth="1"/>
    <col min="8719" max="8719" width="13" style="61" bestFit="1" customWidth="1"/>
    <col min="8720" max="8720" width="14.5703125" style="61" bestFit="1" customWidth="1"/>
    <col min="8721" max="8721" width="12.140625" style="61" bestFit="1" customWidth="1"/>
    <col min="8722" max="8732" width="14" style="61" customWidth="1"/>
    <col min="8733" max="8736" width="13.28515625" style="61" customWidth="1"/>
    <col min="8737" max="8961" width="9.140625" style="61"/>
    <col min="8962" max="8962" width="31" style="61" customWidth="1"/>
    <col min="8963" max="8963" width="18.5703125" style="61" customWidth="1"/>
    <col min="8964" max="8964" width="3.85546875" style="61" customWidth="1"/>
    <col min="8965" max="8965" width="18.7109375" style="61" customWidth="1"/>
    <col min="8966" max="8974" width="14" style="61" customWidth="1"/>
    <col min="8975" max="8975" width="13" style="61" bestFit="1" customWidth="1"/>
    <col min="8976" max="8976" width="14.5703125" style="61" bestFit="1" customWidth="1"/>
    <col min="8977" max="8977" width="12.140625" style="61" bestFit="1" customWidth="1"/>
    <col min="8978" max="8988" width="14" style="61" customWidth="1"/>
    <col min="8989" max="8992" width="13.28515625" style="61" customWidth="1"/>
    <col min="8993" max="9217" width="9.140625" style="61"/>
    <col min="9218" max="9218" width="31" style="61" customWidth="1"/>
    <col min="9219" max="9219" width="18.5703125" style="61" customWidth="1"/>
    <col min="9220" max="9220" width="3.85546875" style="61" customWidth="1"/>
    <col min="9221" max="9221" width="18.7109375" style="61" customWidth="1"/>
    <col min="9222" max="9230" width="14" style="61" customWidth="1"/>
    <col min="9231" max="9231" width="13" style="61" bestFit="1" customWidth="1"/>
    <col min="9232" max="9232" width="14.5703125" style="61" bestFit="1" customWidth="1"/>
    <col min="9233" max="9233" width="12.140625" style="61" bestFit="1" customWidth="1"/>
    <col min="9234" max="9244" width="14" style="61" customWidth="1"/>
    <col min="9245" max="9248" width="13.28515625" style="61" customWidth="1"/>
    <col min="9249" max="9473" width="9.140625" style="61"/>
    <col min="9474" max="9474" width="31" style="61" customWidth="1"/>
    <col min="9475" max="9475" width="18.5703125" style="61" customWidth="1"/>
    <col min="9476" max="9476" width="3.85546875" style="61" customWidth="1"/>
    <col min="9477" max="9477" width="18.7109375" style="61" customWidth="1"/>
    <col min="9478" max="9486" width="14" style="61" customWidth="1"/>
    <col min="9487" max="9487" width="13" style="61" bestFit="1" customWidth="1"/>
    <col min="9488" max="9488" width="14.5703125" style="61" bestFit="1" customWidth="1"/>
    <col min="9489" max="9489" width="12.140625" style="61" bestFit="1" customWidth="1"/>
    <col min="9490" max="9500" width="14" style="61" customWidth="1"/>
    <col min="9501" max="9504" width="13.28515625" style="61" customWidth="1"/>
    <col min="9505" max="9729" width="9.140625" style="61"/>
    <col min="9730" max="9730" width="31" style="61" customWidth="1"/>
    <col min="9731" max="9731" width="18.5703125" style="61" customWidth="1"/>
    <col min="9732" max="9732" width="3.85546875" style="61" customWidth="1"/>
    <col min="9733" max="9733" width="18.7109375" style="61" customWidth="1"/>
    <col min="9734" max="9742" width="14" style="61" customWidth="1"/>
    <col min="9743" max="9743" width="13" style="61" bestFit="1" customWidth="1"/>
    <col min="9744" max="9744" width="14.5703125" style="61" bestFit="1" customWidth="1"/>
    <col min="9745" max="9745" width="12.140625" style="61" bestFit="1" customWidth="1"/>
    <col min="9746" max="9756" width="14" style="61" customWidth="1"/>
    <col min="9757" max="9760" width="13.28515625" style="61" customWidth="1"/>
    <col min="9761" max="9985" width="9.140625" style="61"/>
    <col min="9986" max="9986" width="31" style="61" customWidth="1"/>
    <col min="9987" max="9987" width="18.5703125" style="61" customWidth="1"/>
    <col min="9988" max="9988" width="3.85546875" style="61" customWidth="1"/>
    <col min="9989" max="9989" width="18.7109375" style="61" customWidth="1"/>
    <col min="9990" max="9998" width="14" style="61" customWidth="1"/>
    <col min="9999" max="9999" width="13" style="61" bestFit="1" customWidth="1"/>
    <col min="10000" max="10000" width="14.5703125" style="61" bestFit="1" customWidth="1"/>
    <col min="10001" max="10001" width="12.140625" style="61" bestFit="1" customWidth="1"/>
    <col min="10002" max="10012" width="14" style="61" customWidth="1"/>
    <col min="10013" max="10016" width="13.28515625" style="61" customWidth="1"/>
    <col min="10017" max="10241" width="9.140625" style="61"/>
    <col min="10242" max="10242" width="31" style="61" customWidth="1"/>
    <col min="10243" max="10243" width="18.5703125" style="61" customWidth="1"/>
    <col min="10244" max="10244" width="3.85546875" style="61" customWidth="1"/>
    <col min="10245" max="10245" width="18.7109375" style="61" customWidth="1"/>
    <col min="10246" max="10254" width="14" style="61" customWidth="1"/>
    <col min="10255" max="10255" width="13" style="61" bestFit="1" customWidth="1"/>
    <col min="10256" max="10256" width="14.5703125" style="61" bestFit="1" customWidth="1"/>
    <col min="10257" max="10257" width="12.140625" style="61" bestFit="1" customWidth="1"/>
    <col min="10258" max="10268" width="14" style="61" customWidth="1"/>
    <col min="10269" max="10272" width="13.28515625" style="61" customWidth="1"/>
    <col min="10273" max="10497" width="9.140625" style="61"/>
    <col min="10498" max="10498" width="31" style="61" customWidth="1"/>
    <col min="10499" max="10499" width="18.5703125" style="61" customWidth="1"/>
    <col min="10500" max="10500" width="3.85546875" style="61" customWidth="1"/>
    <col min="10501" max="10501" width="18.7109375" style="61" customWidth="1"/>
    <col min="10502" max="10510" width="14" style="61" customWidth="1"/>
    <col min="10511" max="10511" width="13" style="61" bestFit="1" customWidth="1"/>
    <col min="10512" max="10512" width="14.5703125" style="61" bestFit="1" customWidth="1"/>
    <col min="10513" max="10513" width="12.140625" style="61" bestFit="1" customWidth="1"/>
    <col min="10514" max="10524" width="14" style="61" customWidth="1"/>
    <col min="10525" max="10528" width="13.28515625" style="61" customWidth="1"/>
    <col min="10529" max="10753" width="9.140625" style="61"/>
    <col min="10754" max="10754" width="31" style="61" customWidth="1"/>
    <col min="10755" max="10755" width="18.5703125" style="61" customWidth="1"/>
    <col min="10756" max="10756" width="3.85546875" style="61" customWidth="1"/>
    <col min="10757" max="10757" width="18.7109375" style="61" customWidth="1"/>
    <col min="10758" max="10766" width="14" style="61" customWidth="1"/>
    <col min="10767" max="10767" width="13" style="61" bestFit="1" customWidth="1"/>
    <col min="10768" max="10768" width="14.5703125" style="61" bestFit="1" customWidth="1"/>
    <col min="10769" max="10769" width="12.140625" style="61" bestFit="1" customWidth="1"/>
    <col min="10770" max="10780" width="14" style="61" customWidth="1"/>
    <col min="10781" max="10784" width="13.28515625" style="61" customWidth="1"/>
    <col min="10785" max="11009" width="9.140625" style="61"/>
    <col min="11010" max="11010" width="31" style="61" customWidth="1"/>
    <col min="11011" max="11011" width="18.5703125" style="61" customWidth="1"/>
    <col min="11012" max="11012" width="3.85546875" style="61" customWidth="1"/>
    <col min="11013" max="11013" width="18.7109375" style="61" customWidth="1"/>
    <col min="11014" max="11022" width="14" style="61" customWidth="1"/>
    <col min="11023" max="11023" width="13" style="61" bestFit="1" customWidth="1"/>
    <col min="11024" max="11024" width="14.5703125" style="61" bestFit="1" customWidth="1"/>
    <col min="11025" max="11025" width="12.140625" style="61" bestFit="1" customWidth="1"/>
    <col min="11026" max="11036" width="14" style="61" customWidth="1"/>
    <col min="11037" max="11040" width="13.28515625" style="61" customWidth="1"/>
    <col min="11041" max="11265" width="9.140625" style="61"/>
    <col min="11266" max="11266" width="31" style="61" customWidth="1"/>
    <col min="11267" max="11267" width="18.5703125" style="61" customWidth="1"/>
    <col min="11268" max="11268" width="3.85546875" style="61" customWidth="1"/>
    <col min="11269" max="11269" width="18.7109375" style="61" customWidth="1"/>
    <col min="11270" max="11278" width="14" style="61" customWidth="1"/>
    <col min="11279" max="11279" width="13" style="61" bestFit="1" customWidth="1"/>
    <col min="11280" max="11280" width="14.5703125" style="61" bestFit="1" customWidth="1"/>
    <col min="11281" max="11281" width="12.140625" style="61" bestFit="1" customWidth="1"/>
    <col min="11282" max="11292" width="14" style="61" customWidth="1"/>
    <col min="11293" max="11296" width="13.28515625" style="61" customWidth="1"/>
    <col min="11297" max="11521" width="9.140625" style="61"/>
    <col min="11522" max="11522" width="31" style="61" customWidth="1"/>
    <col min="11523" max="11523" width="18.5703125" style="61" customWidth="1"/>
    <col min="11524" max="11524" width="3.85546875" style="61" customWidth="1"/>
    <col min="11525" max="11525" width="18.7109375" style="61" customWidth="1"/>
    <col min="11526" max="11534" width="14" style="61" customWidth="1"/>
    <col min="11535" max="11535" width="13" style="61" bestFit="1" customWidth="1"/>
    <col min="11536" max="11536" width="14.5703125" style="61" bestFit="1" customWidth="1"/>
    <col min="11537" max="11537" width="12.140625" style="61" bestFit="1" customWidth="1"/>
    <col min="11538" max="11548" width="14" style="61" customWidth="1"/>
    <col min="11549" max="11552" width="13.28515625" style="61" customWidth="1"/>
    <col min="11553" max="11777" width="9.140625" style="61"/>
    <col min="11778" max="11778" width="31" style="61" customWidth="1"/>
    <col min="11779" max="11779" width="18.5703125" style="61" customWidth="1"/>
    <col min="11780" max="11780" width="3.85546875" style="61" customWidth="1"/>
    <col min="11781" max="11781" width="18.7109375" style="61" customWidth="1"/>
    <col min="11782" max="11790" width="14" style="61" customWidth="1"/>
    <col min="11791" max="11791" width="13" style="61" bestFit="1" customWidth="1"/>
    <col min="11792" max="11792" width="14.5703125" style="61" bestFit="1" customWidth="1"/>
    <col min="11793" max="11793" width="12.140625" style="61" bestFit="1" customWidth="1"/>
    <col min="11794" max="11804" width="14" style="61" customWidth="1"/>
    <col min="11805" max="11808" width="13.28515625" style="61" customWidth="1"/>
    <col min="11809" max="12033" width="9.140625" style="61"/>
    <col min="12034" max="12034" width="31" style="61" customWidth="1"/>
    <col min="12035" max="12035" width="18.5703125" style="61" customWidth="1"/>
    <col min="12036" max="12036" width="3.85546875" style="61" customWidth="1"/>
    <col min="12037" max="12037" width="18.7109375" style="61" customWidth="1"/>
    <col min="12038" max="12046" width="14" style="61" customWidth="1"/>
    <col min="12047" max="12047" width="13" style="61" bestFit="1" customWidth="1"/>
    <col min="12048" max="12048" width="14.5703125" style="61" bestFit="1" customWidth="1"/>
    <col min="12049" max="12049" width="12.140625" style="61" bestFit="1" customWidth="1"/>
    <col min="12050" max="12060" width="14" style="61" customWidth="1"/>
    <col min="12061" max="12064" width="13.28515625" style="61" customWidth="1"/>
    <col min="12065" max="12289" width="9.140625" style="61"/>
    <col min="12290" max="12290" width="31" style="61" customWidth="1"/>
    <col min="12291" max="12291" width="18.5703125" style="61" customWidth="1"/>
    <col min="12292" max="12292" width="3.85546875" style="61" customWidth="1"/>
    <col min="12293" max="12293" width="18.7109375" style="61" customWidth="1"/>
    <col min="12294" max="12302" width="14" style="61" customWidth="1"/>
    <col min="12303" max="12303" width="13" style="61" bestFit="1" customWidth="1"/>
    <col min="12304" max="12304" width="14.5703125" style="61" bestFit="1" customWidth="1"/>
    <col min="12305" max="12305" width="12.140625" style="61" bestFit="1" customWidth="1"/>
    <col min="12306" max="12316" width="14" style="61" customWidth="1"/>
    <col min="12317" max="12320" width="13.28515625" style="61" customWidth="1"/>
    <col min="12321" max="12545" width="9.140625" style="61"/>
    <col min="12546" max="12546" width="31" style="61" customWidth="1"/>
    <col min="12547" max="12547" width="18.5703125" style="61" customWidth="1"/>
    <col min="12548" max="12548" width="3.85546875" style="61" customWidth="1"/>
    <col min="12549" max="12549" width="18.7109375" style="61" customWidth="1"/>
    <col min="12550" max="12558" width="14" style="61" customWidth="1"/>
    <col min="12559" max="12559" width="13" style="61" bestFit="1" customWidth="1"/>
    <col min="12560" max="12560" width="14.5703125" style="61" bestFit="1" customWidth="1"/>
    <col min="12561" max="12561" width="12.140625" style="61" bestFit="1" customWidth="1"/>
    <col min="12562" max="12572" width="14" style="61" customWidth="1"/>
    <col min="12573" max="12576" width="13.28515625" style="61" customWidth="1"/>
    <col min="12577" max="12801" width="9.140625" style="61"/>
    <col min="12802" max="12802" width="31" style="61" customWidth="1"/>
    <col min="12803" max="12803" width="18.5703125" style="61" customWidth="1"/>
    <col min="12804" max="12804" width="3.85546875" style="61" customWidth="1"/>
    <col min="12805" max="12805" width="18.7109375" style="61" customWidth="1"/>
    <col min="12806" max="12814" width="14" style="61" customWidth="1"/>
    <col min="12815" max="12815" width="13" style="61" bestFit="1" customWidth="1"/>
    <col min="12816" max="12816" width="14.5703125" style="61" bestFit="1" customWidth="1"/>
    <col min="12817" max="12817" width="12.140625" style="61" bestFit="1" customWidth="1"/>
    <col min="12818" max="12828" width="14" style="61" customWidth="1"/>
    <col min="12829" max="12832" width="13.28515625" style="61" customWidth="1"/>
    <col min="12833" max="13057" width="9.140625" style="61"/>
    <col min="13058" max="13058" width="31" style="61" customWidth="1"/>
    <col min="13059" max="13059" width="18.5703125" style="61" customWidth="1"/>
    <col min="13060" max="13060" width="3.85546875" style="61" customWidth="1"/>
    <col min="13061" max="13061" width="18.7109375" style="61" customWidth="1"/>
    <col min="13062" max="13070" width="14" style="61" customWidth="1"/>
    <col min="13071" max="13071" width="13" style="61" bestFit="1" customWidth="1"/>
    <col min="13072" max="13072" width="14.5703125" style="61" bestFit="1" customWidth="1"/>
    <col min="13073" max="13073" width="12.140625" style="61" bestFit="1" customWidth="1"/>
    <col min="13074" max="13084" width="14" style="61" customWidth="1"/>
    <col min="13085" max="13088" width="13.28515625" style="61" customWidth="1"/>
    <col min="13089" max="13313" width="9.140625" style="61"/>
    <col min="13314" max="13314" width="31" style="61" customWidth="1"/>
    <col min="13315" max="13315" width="18.5703125" style="61" customWidth="1"/>
    <col min="13316" max="13316" width="3.85546875" style="61" customWidth="1"/>
    <col min="13317" max="13317" width="18.7109375" style="61" customWidth="1"/>
    <col min="13318" max="13326" width="14" style="61" customWidth="1"/>
    <col min="13327" max="13327" width="13" style="61" bestFit="1" customWidth="1"/>
    <col min="13328" max="13328" width="14.5703125" style="61" bestFit="1" customWidth="1"/>
    <col min="13329" max="13329" width="12.140625" style="61" bestFit="1" customWidth="1"/>
    <col min="13330" max="13340" width="14" style="61" customWidth="1"/>
    <col min="13341" max="13344" width="13.28515625" style="61" customWidth="1"/>
    <col min="13345" max="13569" width="9.140625" style="61"/>
    <col min="13570" max="13570" width="31" style="61" customWidth="1"/>
    <col min="13571" max="13571" width="18.5703125" style="61" customWidth="1"/>
    <col min="13572" max="13572" width="3.85546875" style="61" customWidth="1"/>
    <col min="13573" max="13573" width="18.7109375" style="61" customWidth="1"/>
    <col min="13574" max="13582" width="14" style="61" customWidth="1"/>
    <col min="13583" max="13583" width="13" style="61" bestFit="1" customWidth="1"/>
    <col min="13584" max="13584" width="14.5703125" style="61" bestFit="1" customWidth="1"/>
    <col min="13585" max="13585" width="12.140625" style="61" bestFit="1" customWidth="1"/>
    <col min="13586" max="13596" width="14" style="61" customWidth="1"/>
    <col min="13597" max="13600" width="13.28515625" style="61" customWidth="1"/>
    <col min="13601" max="13825" width="9.140625" style="61"/>
    <col min="13826" max="13826" width="31" style="61" customWidth="1"/>
    <col min="13827" max="13827" width="18.5703125" style="61" customWidth="1"/>
    <col min="13828" max="13828" width="3.85546875" style="61" customWidth="1"/>
    <col min="13829" max="13829" width="18.7109375" style="61" customWidth="1"/>
    <col min="13830" max="13838" width="14" style="61" customWidth="1"/>
    <col min="13839" max="13839" width="13" style="61" bestFit="1" customWidth="1"/>
    <col min="13840" max="13840" width="14.5703125" style="61" bestFit="1" customWidth="1"/>
    <col min="13841" max="13841" width="12.140625" style="61" bestFit="1" customWidth="1"/>
    <col min="13842" max="13852" width="14" style="61" customWidth="1"/>
    <col min="13853" max="13856" width="13.28515625" style="61" customWidth="1"/>
    <col min="13857" max="14081" width="9.140625" style="61"/>
    <col min="14082" max="14082" width="31" style="61" customWidth="1"/>
    <col min="14083" max="14083" width="18.5703125" style="61" customWidth="1"/>
    <col min="14084" max="14084" width="3.85546875" style="61" customWidth="1"/>
    <col min="14085" max="14085" width="18.7109375" style="61" customWidth="1"/>
    <col min="14086" max="14094" width="14" style="61" customWidth="1"/>
    <col min="14095" max="14095" width="13" style="61" bestFit="1" customWidth="1"/>
    <col min="14096" max="14096" width="14.5703125" style="61" bestFit="1" customWidth="1"/>
    <col min="14097" max="14097" width="12.140625" style="61" bestFit="1" customWidth="1"/>
    <col min="14098" max="14108" width="14" style="61" customWidth="1"/>
    <col min="14109" max="14112" width="13.28515625" style="61" customWidth="1"/>
    <col min="14113" max="14337" width="9.140625" style="61"/>
    <col min="14338" max="14338" width="31" style="61" customWidth="1"/>
    <col min="14339" max="14339" width="18.5703125" style="61" customWidth="1"/>
    <col min="14340" max="14340" width="3.85546875" style="61" customWidth="1"/>
    <col min="14341" max="14341" width="18.7109375" style="61" customWidth="1"/>
    <col min="14342" max="14350" width="14" style="61" customWidth="1"/>
    <col min="14351" max="14351" width="13" style="61" bestFit="1" customWidth="1"/>
    <col min="14352" max="14352" width="14.5703125" style="61" bestFit="1" customWidth="1"/>
    <col min="14353" max="14353" width="12.140625" style="61" bestFit="1" customWidth="1"/>
    <col min="14354" max="14364" width="14" style="61" customWidth="1"/>
    <col min="14365" max="14368" width="13.28515625" style="61" customWidth="1"/>
    <col min="14369" max="14593" width="9.140625" style="61"/>
    <col min="14594" max="14594" width="31" style="61" customWidth="1"/>
    <col min="14595" max="14595" width="18.5703125" style="61" customWidth="1"/>
    <col min="14596" max="14596" width="3.85546875" style="61" customWidth="1"/>
    <col min="14597" max="14597" width="18.7109375" style="61" customWidth="1"/>
    <col min="14598" max="14606" width="14" style="61" customWidth="1"/>
    <col min="14607" max="14607" width="13" style="61" bestFit="1" customWidth="1"/>
    <col min="14608" max="14608" width="14.5703125" style="61" bestFit="1" customWidth="1"/>
    <col min="14609" max="14609" width="12.140625" style="61" bestFit="1" customWidth="1"/>
    <col min="14610" max="14620" width="14" style="61" customWidth="1"/>
    <col min="14621" max="14624" width="13.28515625" style="61" customWidth="1"/>
    <col min="14625" max="14849" width="9.140625" style="61"/>
    <col min="14850" max="14850" width="31" style="61" customWidth="1"/>
    <col min="14851" max="14851" width="18.5703125" style="61" customWidth="1"/>
    <col min="14852" max="14852" width="3.85546875" style="61" customWidth="1"/>
    <col min="14853" max="14853" width="18.7109375" style="61" customWidth="1"/>
    <col min="14854" max="14862" width="14" style="61" customWidth="1"/>
    <col min="14863" max="14863" width="13" style="61" bestFit="1" customWidth="1"/>
    <col min="14864" max="14864" width="14.5703125" style="61" bestFit="1" customWidth="1"/>
    <col min="14865" max="14865" width="12.140625" style="61" bestFit="1" customWidth="1"/>
    <col min="14866" max="14876" width="14" style="61" customWidth="1"/>
    <col min="14877" max="14880" width="13.28515625" style="61" customWidth="1"/>
    <col min="14881" max="15105" width="9.140625" style="61"/>
    <col min="15106" max="15106" width="31" style="61" customWidth="1"/>
    <col min="15107" max="15107" width="18.5703125" style="61" customWidth="1"/>
    <col min="15108" max="15108" width="3.85546875" style="61" customWidth="1"/>
    <col min="15109" max="15109" width="18.7109375" style="61" customWidth="1"/>
    <col min="15110" max="15118" width="14" style="61" customWidth="1"/>
    <col min="15119" max="15119" width="13" style="61" bestFit="1" customWidth="1"/>
    <col min="15120" max="15120" width="14.5703125" style="61" bestFit="1" customWidth="1"/>
    <col min="15121" max="15121" width="12.140625" style="61" bestFit="1" customWidth="1"/>
    <col min="15122" max="15132" width="14" style="61" customWidth="1"/>
    <col min="15133" max="15136" width="13.28515625" style="61" customWidth="1"/>
    <col min="15137" max="15361" width="9.140625" style="61"/>
    <col min="15362" max="15362" width="31" style="61" customWidth="1"/>
    <col min="15363" max="15363" width="18.5703125" style="61" customWidth="1"/>
    <col min="15364" max="15364" width="3.85546875" style="61" customWidth="1"/>
    <col min="15365" max="15365" width="18.7109375" style="61" customWidth="1"/>
    <col min="15366" max="15374" width="14" style="61" customWidth="1"/>
    <col min="15375" max="15375" width="13" style="61" bestFit="1" customWidth="1"/>
    <col min="15376" max="15376" width="14.5703125" style="61" bestFit="1" customWidth="1"/>
    <col min="15377" max="15377" width="12.140625" style="61" bestFit="1" customWidth="1"/>
    <col min="15378" max="15388" width="14" style="61" customWidth="1"/>
    <col min="15389" max="15392" width="13.28515625" style="61" customWidth="1"/>
    <col min="15393" max="15617" width="9.140625" style="61"/>
    <col min="15618" max="15618" width="31" style="61" customWidth="1"/>
    <col min="15619" max="15619" width="18.5703125" style="61" customWidth="1"/>
    <col min="15620" max="15620" width="3.85546875" style="61" customWidth="1"/>
    <col min="15621" max="15621" width="18.7109375" style="61" customWidth="1"/>
    <col min="15622" max="15630" width="14" style="61" customWidth="1"/>
    <col min="15631" max="15631" width="13" style="61" bestFit="1" customWidth="1"/>
    <col min="15632" max="15632" width="14.5703125" style="61" bestFit="1" customWidth="1"/>
    <col min="15633" max="15633" width="12.140625" style="61" bestFit="1" customWidth="1"/>
    <col min="15634" max="15644" width="14" style="61" customWidth="1"/>
    <col min="15645" max="15648" width="13.28515625" style="61" customWidth="1"/>
    <col min="15649" max="15873" width="9.140625" style="61"/>
    <col min="15874" max="15874" width="31" style="61" customWidth="1"/>
    <col min="15875" max="15875" width="18.5703125" style="61" customWidth="1"/>
    <col min="15876" max="15876" width="3.85546875" style="61" customWidth="1"/>
    <col min="15877" max="15877" width="18.7109375" style="61" customWidth="1"/>
    <col min="15878" max="15886" width="14" style="61" customWidth="1"/>
    <col min="15887" max="15887" width="13" style="61" bestFit="1" customWidth="1"/>
    <col min="15888" max="15888" width="14.5703125" style="61" bestFit="1" customWidth="1"/>
    <col min="15889" max="15889" width="12.140625" style="61" bestFit="1" customWidth="1"/>
    <col min="15890" max="15900" width="14" style="61" customWidth="1"/>
    <col min="15901" max="15904" width="13.28515625" style="61" customWidth="1"/>
    <col min="15905" max="16129" width="9.140625" style="61"/>
    <col min="16130" max="16130" width="31" style="61" customWidth="1"/>
    <col min="16131" max="16131" width="18.5703125" style="61" customWidth="1"/>
    <col min="16132" max="16132" width="3.85546875" style="61" customWidth="1"/>
    <col min="16133" max="16133" width="18.7109375" style="61" customWidth="1"/>
    <col min="16134" max="16142" width="14" style="61" customWidth="1"/>
    <col min="16143" max="16143" width="13" style="61" bestFit="1" customWidth="1"/>
    <col min="16144" max="16144" width="14.5703125" style="61" bestFit="1" customWidth="1"/>
    <col min="16145" max="16145" width="12.140625" style="61" bestFit="1" customWidth="1"/>
    <col min="16146" max="16156" width="14" style="61" customWidth="1"/>
    <col min="16157" max="16160" width="13.28515625" style="61" customWidth="1"/>
    <col min="16161" max="16384" width="9.140625" style="61"/>
  </cols>
  <sheetData>
    <row r="1" spans="1:33" x14ac:dyDescent="0.2">
      <c r="D1" s="61"/>
      <c r="E1" s="61"/>
      <c r="F1" s="61"/>
    </row>
    <row r="2" spans="1:33" x14ac:dyDescent="0.2">
      <c r="D2" s="61"/>
      <c r="E2" s="61"/>
      <c r="F2" s="61"/>
      <c r="W2"/>
      <c r="X2"/>
      <c r="Y2"/>
      <c r="Z2"/>
      <c r="AA2"/>
    </row>
    <row r="3" spans="1:33" s="63" customFormat="1" ht="15.75" customHeight="1" x14ac:dyDescent="0.2">
      <c r="A3" s="165" t="s">
        <v>102</v>
      </c>
      <c r="B3" s="166"/>
      <c r="C3" s="166"/>
      <c r="D3" s="166"/>
      <c r="E3" s="166"/>
      <c r="F3" s="166"/>
      <c r="G3" s="166"/>
      <c r="H3" s="166"/>
      <c r="I3" s="166"/>
      <c r="J3"/>
      <c r="K3"/>
      <c r="L3"/>
      <c r="M3"/>
      <c r="N3"/>
      <c r="O3"/>
      <c r="P3"/>
      <c r="Q3"/>
      <c r="R3"/>
      <c r="AE3"/>
      <c r="AF3"/>
      <c r="AG3"/>
    </row>
    <row r="4" spans="1:33" ht="44.25" customHeight="1" x14ac:dyDescent="0.2">
      <c r="A4" s="115" t="s">
        <v>69</v>
      </c>
      <c r="B4" s="115" t="s">
        <v>62</v>
      </c>
      <c r="C4" s="115" t="s">
        <v>70</v>
      </c>
      <c r="D4" s="115" t="s">
        <v>108</v>
      </c>
      <c r="E4" s="115" t="s">
        <v>109</v>
      </c>
      <c r="F4" s="115" t="s">
        <v>110</v>
      </c>
      <c r="G4" s="115" t="s">
        <v>111</v>
      </c>
      <c r="H4" s="115" t="s">
        <v>112</v>
      </c>
      <c r="I4" s="115" t="s">
        <v>71</v>
      </c>
      <c r="J4"/>
      <c r="K4"/>
      <c r="L4"/>
      <c r="M4"/>
      <c r="N4"/>
      <c r="O4"/>
      <c r="P4"/>
      <c r="Q4"/>
      <c r="R4"/>
      <c r="S4"/>
      <c r="T4"/>
      <c r="AE4"/>
      <c r="AF4"/>
      <c r="AG4"/>
    </row>
    <row r="5" spans="1:33" x14ac:dyDescent="0.2">
      <c r="A5" s="118">
        <v>2013</v>
      </c>
      <c r="B5" s="116">
        <f>AVERAGE($G$24:$G$35)</f>
        <v>6072.166666666667</v>
      </c>
      <c r="C5" s="116">
        <f>AVERAGE($I$24:$I$35)</f>
        <v>629</v>
      </c>
      <c r="D5" s="116">
        <f>AVERAGE($L$24:$L$35)</f>
        <v>78.666666666666671</v>
      </c>
      <c r="E5" s="116">
        <f>AVERAGE($O$24:$O$35)</f>
        <v>9.3333333333333339</v>
      </c>
      <c r="F5" s="116">
        <f>AVERAGE($R$24:$R$35)</f>
        <v>2.6666666666666665</v>
      </c>
      <c r="G5" s="117">
        <f>AVERAGE($U$24:$U$35)</f>
        <v>60.416666666666664</v>
      </c>
      <c r="H5" s="116">
        <f>AVERAGE($X$24:$X$35)</f>
        <v>125.08333333333333</v>
      </c>
      <c r="I5" s="116">
        <f>AVERAGE($AA$24:$AA$35)</f>
        <v>1</v>
      </c>
      <c r="J5"/>
      <c r="K5"/>
      <c r="L5"/>
      <c r="M5"/>
      <c r="N5"/>
      <c r="O5"/>
      <c r="P5"/>
      <c r="Q5"/>
      <c r="R5"/>
      <c r="S5"/>
      <c r="T5"/>
      <c r="AE5"/>
      <c r="AF5"/>
      <c r="AG5"/>
    </row>
    <row r="6" spans="1:33" x14ac:dyDescent="0.2">
      <c r="A6" s="118">
        <v>2014</v>
      </c>
      <c r="B6" s="116">
        <f>AVERAGE($G$36:$G$47)</f>
        <v>6145.083333333333</v>
      </c>
      <c r="C6" s="116">
        <f>AVERAGE($I$36:$I$47)</f>
        <v>630.16666666666663</v>
      </c>
      <c r="D6" s="116">
        <f>AVERAGE($L$36:$L$47)</f>
        <v>79.25</v>
      </c>
      <c r="E6" s="116">
        <f>AVERAGE($O$36:$O$47)</f>
        <v>10.333333333333334</v>
      </c>
      <c r="F6" s="116">
        <f>AVERAGE($R$36:$R$47)</f>
        <v>2</v>
      </c>
      <c r="G6" s="116">
        <f>AVERAGE($U$36:$U$47)</f>
        <v>59</v>
      </c>
      <c r="H6" s="116">
        <f>AVERAGE($X$36:$X$47)</f>
        <v>124.16666666666667</v>
      </c>
      <c r="I6" s="116">
        <f>AVERAGE($AA$36:$AA$47)</f>
        <v>1</v>
      </c>
      <c r="J6"/>
      <c r="K6"/>
      <c r="L6"/>
      <c r="M6"/>
      <c r="N6"/>
      <c r="O6"/>
      <c r="P6"/>
      <c r="Q6"/>
      <c r="R6"/>
      <c r="S6"/>
      <c r="T6"/>
      <c r="AE6"/>
      <c r="AF6"/>
      <c r="AG6"/>
    </row>
    <row r="7" spans="1:33" x14ac:dyDescent="0.2">
      <c r="A7" s="118">
        <v>2015</v>
      </c>
      <c r="B7" s="116">
        <f>AVERAGE($G$48:$G$59)</f>
        <v>6204.5</v>
      </c>
      <c r="C7" s="116">
        <f>AVERAGE($I$48:$I$59)</f>
        <v>633.75</v>
      </c>
      <c r="D7" s="116">
        <f>AVERAGE($L$48:$L$59)</f>
        <v>79.416666666666671</v>
      </c>
      <c r="E7" s="116">
        <f>AVERAGE($O$48:$O$59)</f>
        <v>10</v>
      </c>
      <c r="F7" s="116">
        <f>AVERAGE($R$48:$R$59)</f>
        <v>2</v>
      </c>
      <c r="G7" s="116">
        <f>AVERAGE($U$48:$U$59)</f>
        <v>59.75</v>
      </c>
      <c r="H7" s="116">
        <f>AVERAGE($X$48:$X$59)</f>
        <v>124.08333333333333</v>
      </c>
      <c r="I7" s="116">
        <f>AVERAGE($AA$48:$AA$59)</f>
        <v>1</v>
      </c>
      <c r="J7"/>
      <c r="K7"/>
      <c r="L7"/>
      <c r="M7"/>
      <c r="N7"/>
      <c r="O7"/>
      <c r="P7"/>
      <c r="Q7"/>
      <c r="R7"/>
      <c r="S7"/>
      <c r="T7"/>
      <c r="AE7"/>
      <c r="AF7"/>
      <c r="AG7"/>
    </row>
    <row r="8" spans="1:33" x14ac:dyDescent="0.2">
      <c r="A8" s="118">
        <v>2016</v>
      </c>
      <c r="B8" s="116">
        <f>AVERAGE($G$60:$G$71)</f>
        <v>6293.916666666667</v>
      </c>
      <c r="C8" s="116">
        <f>AVERAGE($I$60:$I$71)</f>
        <v>637.25</v>
      </c>
      <c r="D8" s="116">
        <f>AVERAGE($L$60:$L$71)</f>
        <v>79.916666666666671</v>
      </c>
      <c r="E8" s="116">
        <f>AVERAGE($O$60:$O$71)</f>
        <v>10</v>
      </c>
      <c r="F8" s="116">
        <f>AVERAGE($R$60:$R$71)</f>
        <v>2</v>
      </c>
      <c r="G8" s="116">
        <f>AVERAGE($U$60:$U$71)</f>
        <v>59.583333333333336</v>
      </c>
      <c r="H8" s="116">
        <f>AVERAGE($X$60:$X$71)</f>
        <v>118.5</v>
      </c>
      <c r="I8" s="116">
        <f>AVERAGE($AA$60:$AA$71)</f>
        <v>1</v>
      </c>
      <c r="J8"/>
      <c r="K8"/>
      <c r="L8"/>
      <c r="M8"/>
      <c r="N8"/>
      <c r="O8"/>
      <c r="P8"/>
      <c r="Q8"/>
      <c r="R8"/>
      <c r="S8"/>
      <c r="T8"/>
      <c r="AE8"/>
      <c r="AF8"/>
      <c r="AG8"/>
    </row>
    <row r="9" spans="1:33" x14ac:dyDescent="0.2">
      <c r="A9" s="118">
        <v>2017</v>
      </c>
      <c r="B9" s="116">
        <f>AVERAGE($G$72:$G$83)</f>
        <v>6408.583333333333</v>
      </c>
      <c r="C9" s="116">
        <f>AVERAGE($I$72:$I$83)</f>
        <v>642.08333333333337</v>
      </c>
      <c r="D9" s="116">
        <f>AVERAGE($L$72:$L$83)</f>
        <v>80.083333333333329</v>
      </c>
      <c r="E9" s="116">
        <f>AVERAGE($O$72:$O$83)</f>
        <v>10.416666666666666</v>
      </c>
      <c r="F9" s="116">
        <f>AVERAGE($R$72:$R$83)</f>
        <v>2</v>
      </c>
      <c r="G9" s="116">
        <f>AVERAGE($U$72:$U$83)</f>
        <v>58.5</v>
      </c>
      <c r="H9" s="116">
        <f>AVERAGE($X$72:$X$83)</f>
        <v>113</v>
      </c>
      <c r="I9" s="116">
        <f>AVERAGE($AA$72:$AA$83)</f>
        <v>1</v>
      </c>
      <c r="J9"/>
      <c r="K9"/>
      <c r="L9"/>
      <c r="M9"/>
      <c r="N9"/>
      <c r="O9"/>
      <c r="P9"/>
      <c r="Q9"/>
      <c r="R9"/>
      <c r="S9"/>
      <c r="T9"/>
      <c r="AE9"/>
      <c r="AF9"/>
      <c r="AG9"/>
    </row>
    <row r="10" spans="1:33" x14ac:dyDescent="0.2">
      <c r="A10" s="118">
        <v>2018</v>
      </c>
      <c r="B10" s="116">
        <f>AVERAGE($G$84:$G$95)</f>
        <v>6516.333333333333</v>
      </c>
      <c r="C10" s="116">
        <f>AVERAGE($I$84:$I$95)</f>
        <v>648</v>
      </c>
      <c r="D10" s="116">
        <f>AVERAGE($L$84:$L$95)</f>
        <v>79.75</v>
      </c>
      <c r="E10" s="116">
        <f>AVERAGE($O$84:$O$95)</f>
        <v>12.333333333333334</v>
      </c>
      <c r="F10" s="116">
        <f>AVERAGE($R$84:$R$95)</f>
        <v>2</v>
      </c>
      <c r="G10" s="116">
        <f>AVERAGE($U$84:$U$95)</f>
        <v>59.25</v>
      </c>
      <c r="H10" s="116">
        <f>AVERAGE($X$84:$X$95)</f>
        <v>112</v>
      </c>
      <c r="I10" s="116">
        <f>AVERAGE($AA$84:$AA$95)</f>
        <v>1</v>
      </c>
      <c r="J10"/>
      <c r="K10"/>
      <c r="L10"/>
      <c r="M10"/>
      <c r="N10"/>
      <c r="O10"/>
      <c r="P10"/>
      <c r="Q10"/>
      <c r="R10"/>
      <c r="S10"/>
      <c r="T10"/>
      <c r="AE10"/>
      <c r="AF10"/>
      <c r="AG10"/>
    </row>
    <row r="11" spans="1:33" x14ac:dyDescent="0.2">
      <c r="A11" s="118">
        <v>2019</v>
      </c>
      <c r="B11" s="116">
        <f>AVERAGE($G$96:$G$107)</f>
        <v>6652</v>
      </c>
      <c r="C11" s="116">
        <f>AVERAGE($I$96:$I$107)</f>
        <v>654.83333333333337</v>
      </c>
      <c r="D11" s="116">
        <f>AVERAGE($L$96:$L$107)</f>
        <v>78.083333333333329</v>
      </c>
      <c r="E11" s="116">
        <f>AVERAGE($O$96:$O$107)</f>
        <v>11.583333333333334</v>
      </c>
      <c r="F11" s="116">
        <f>AVERAGE($R$96:$R$107)</f>
        <v>2</v>
      </c>
      <c r="G11" s="116">
        <f>AVERAGE($U$96:$U$107)</f>
        <v>56.666666666666664</v>
      </c>
      <c r="H11" s="116">
        <f>AVERAGE($X$96:$X$107)</f>
        <v>112</v>
      </c>
      <c r="I11" s="116">
        <f>AVERAGE($AA$96:$AA$107)</f>
        <v>1</v>
      </c>
      <c r="J11"/>
      <c r="K11"/>
      <c r="L11"/>
      <c r="M11"/>
      <c r="N11"/>
      <c r="O11"/>
      <c r="P11"/>
      <c r="Q11"/>
      <c r="R11"/>
      <c r="S11"/>
      <c r="T11"/>
      <c r="AE11"/>
      <c r="AF11"/>
      <c r="AG11"/>
    </row>
    <row r="12" spans="1:33" x14ac:dyDescent="0.2">
      <c r="A12" s="118">
        <v>2020</v>
      </c>
      <c r="B12" s="116">
        <f>AVERAGE($G$108:$G$119)</f>
        <v>6823.416666666667</v>
      </c>
      <c r="C12" s="116">
        <f>AVERAGE($I$108:$I$119)</f>
        <v>664.91666666666663</v>
      </c>
      <c r="D12" s="116">
        <f>AVERAGE($L$108:$L$119)</f>
        <v>81</v>
      </c>
      <c r="E12" s="116">
        <f>AVERAGE($O$108:$O$119)</f>
        <v>8</v>
      </c>
      <c r="F12" s="116">
        <f>AVERAGE($R$108:$R$119)</f>
        <v>2</v>
      </c>
      <c r="G12" s="116">
        <f>AVERAGE($U$108:$U$119)</f>
        <v>56.833333333333336</v>
      </c>
      <c r="H12" s="116">
        <f>AVERAGE($X$108:$X$119)</f>
        <v>112.08333333333333</v>
      </c>
      <c r="I12" s="116">
        <f>AVERAGE($AA$108:$AA$119)</f>
        <v>1</v>
      </c>
      <c r="J12"/>
      <c r="K12"/>
      <c r="L12"/>
      <c r="M12"/>
      <c r="N12"/>
      <c r="O12"/>
      <c r="P12"/>
      <c r="Q12"/>
      <c r="R12"/>
      <c r="S12"/>
      <c r="T12"/>
      <c r="AE12"/>
      <c r="AF12"/>
      <c r="AG12"/>
    </row>
    <row r="13" spans="1:33" x14ac:dyDescent="0.2">
      <c r="A13" s="118">
        <v>2021</v>
      </c>
      <c r="B13" s="116">
        <f>AVERAGE($G$120:$G$131)</f>
        <v>7107.416666666667</v>
      </c>
      <c r="C13" s="116">
        <f>AVERAGE($I$120:$I$131)</f>
        <v>672.33333333333337</v>
      </c>
      <c r="D13" s="116">
        <f>AVERAGE($L$120:$L$131)</f>
        <v>77.333333333333329</v>
      </c>
      <c r="E13" s="116">
        <f>AVERAGE($O$120:$O$131)</f>
        <v>8.5</v>
      </c>
      <c r="F13" s="116">
        <f>AVERAGE($R$120:$R$131)</f>
        <v>2</v>
      </c>
      <c r="G13" s="116">
        <f>AVERAGE($U$120:$U$131)</f>
        <v>56.833333333333336</v>
      </c>
      <c r="H13" s="116">
        <f>AVERAGE($X$120:$X$131)</f>
        <v>112</v>
      </c>
      <c r="I13" s="116">
        <f>AVERAGE($AA$120:$AA$131)</f>
        <v>1</v>
      </c>
      <c r="J13"/>
      <c r="K13"/>
      <c r="L13"/>
      <c r="M13"/>
      <c r="N13"/>
      <c r="O13"/>
      <c r="P13"/>
      <c r="Q13"/>
      <c r="R13"/>
      <c r="S13"/>
      <c r="T13"/>
      <c r="AE13"/>
      <c r="AF13"/>
      <c r="AG13"/>
    </row>
    <row r="14" spans="1:33" x14ac:dyDescent="0.2">
      <c r="A14" s="118">
        <v>2022</v>
      </c>
      <c r="B14" s="116">
        <f>AVERAGE($G$132:$G$143)</f>
        <v>7417.333333333333</v>
      </c>
      <c r="C14" s="116">
        <f>AVERAGE($I$132:$I$143)</f>
        <v>682.25</v>
      </c>
      <c r="D14" s="116">
        <f>AVERAGE($L$132:$L$143)</f>
        <v>74.166666666666671</v>
      </c>
      <c r="E14" s="116">
        <f>AVERAGE($O$132:$O$143)</f>
        <v>6</v>
      </c>
      <c r="F14" s="116">
        <f>AVERAGE($R$132:$R$143)</f>
        <v>2</v>
      </c>
      <c r="G14" s="116">
        <f>AVERAGE($U$132:$U$143)</f>
        <v>55.916666666666664</v>
      </c>
      <c r="H14" s="116">
        <f>AVERAGE($X$132:$X$143)</f>
        <v>116</v>
      </c>
      <c r="I14" s="116">
        <f>AVERAGE($AA$132:$AA$143)</f>
        <v>1</v>
      </c>
      <c r="J14"/>
      <c r="K14"/>
      <c r="L14"/>
      <c r="M14"/>
      <c r="N14"/>
      <c r="O14"/>
      <c r="P14"/>
      <c r="Q14"/>
      <c r="R14"/>
      <c r="S14"/>
      <c r="T14"/>
      <c r="AE14"/>
      <c r="AF14"/>
      <c r="AG14"/>
    </row>
    <row r="15" spans="1:33" x14ac:dyDescent="0.2">
      <c r="A15"/>
      <c r="B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E15"/>
      <c r="AF15"/>
      <c r="AG15"/>
    </row>
    <row r="16" spans="1:33" x14ac:dyDescent="0.2">
      <c r="A16"/>
      <c r="B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E16"/>
      <c r="AF16"/>
      <c r="AG16"/>
    </row>
    <row r="17" spans="1:33" x14ac:dyDescent="0.2">
      <c r="A17"/>
      <c r="B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E17"/>
      <c r="AF17"/>
      <c r="AG17"/>
    </row>
    <row r="18" spans="1:33" x14ac:dyDescent="0.2">
      <c r="A18"/>
      <c r="B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E18"/>
      <c r="AF18"/>
      <c r="AG18"/>
    </row>
    <row r="20" spans="1:33" ht="15" customHeight="1" x14ac:dyDescent="0.2">
      <c r="A20" s="170" t="s">
        <v>72</v>
      </c>
      <c r="B20" s="170"/>
      <c r="C20" s="65"/>
      <c r="D20" s="170" t="s">
        <v>73</v>
      </c>
      <c r="E20" s="170"/>
      <c r="F20" s="167" t="s">
        <v>74</v>
      </c>
      <c r="G20" s="168"/>
      <c r="H20" s="168"/>
      <c r="I20" s="168"/>
      <c r="J20" s="168"/>
      <c r="K20" s="168"/>
      <c r="L20" s="168"/>
      <c r="M20" s="168"/>
      <c r="N20" s="168"/>
      <c r="O20" s="168"/>
      <c r="P20" s="168"/>
      <c r="Q20" s="168"/>
      <c r="R20" s="168"/>
      <c r="S20" s="168"/>
      <c r="T20" s="168"/>
      <c r="U20" s="168"/>
      <c r="V20" s="168"/>
      <c r="W20" s="168"/>
      <c r="X20" s="168"/>
      <c r="Y20" s="168"/>
      <c r="Z20" s="168"/>
      <c r="AA20" s="169"/>
      <c r="AB20"/>
      <c r="AC20"/>
      <c r="AD20"/>
    </row>
    <row r="21" spans="1:33" ht="22.5" x14ac:dyDescent="0.2">
      <c r="A21" s="119"/>
      <c r="B21" s="119"/>
      <c r="C21" s="67"/>
      <c r="D21" s="120" t="s">
        <v>75</v>
      </c>
      <c r="E21" s="121" t="s">
        <v>107</v>
      </c>
      <c r="F21" s="163" t="str">
        <f>B4</f>
        <v>Residential</v>
      </c>
      <c r="G21" s="164"/>
      <c r="H21" s="162" t="str">
        <f>C4</f>
        <v>General Service &lt; 50 kW</v>
      </c>
      <c r="I21" s="164"/>
      <c r="J21" s="162" t="str">
        <f>D4</f>
        <v>General Service 50 to 499 kW</v>
      </c>
      <c r="K21" s="163"/>
      <c r="L21" s="164"/>
      <c r="M21" s="162" t="str">
        <f>E4</f>
        <v>General Service 500 to 1499 kW</v>
      </c>
      <c r="N21" s="163"/>
      <c r="O21" s="164"/>
      <c r="P21" s="162" t="str">
        <f>F4</f>
        <v>General Service 1500-4999 kW</v>
      </c>
      <c r="Q21" s="163"/>
      <c r="R21" s="164"/>
      <c r="S21" s="162" t="str">
        <f>G4</f>
        <v>Unmetered Scattered Load</v>
      </c>
      <c r="T21" s="163"/>
      <c r="U21" s="164"/>
      <c r="V21" s="162" t="str">
        <f>H4</f>
        <v>Sentinel Lighting</v>
      </c>
      <c r="W21" s="163"/>
      <c r="X21" s="164"/>
      <c r="Y21" s="162" t="str">
        <f>I4</f>
        <v xml:space="preserve">Street Lighting </v>
      </c>
      <c r="Z21" s="163"/>
      <c r="AA21" s="164"/>
      <c r="AB21"/>
      <c r="AC21"/>
      <c r="AD21"/>
      <c r="AE21" s="162" t="s">
        <v>142</v>
      </c>
      <c r="AF21" s="163"/>
      <c r="AG21" s="164"/>
    </row>
    <row r="22" spans="1:33" ht="34.5" thickBot="1" x14ac:dyDescent="0.25">
      <c r="A22" s="66"/>
      <c r="B22" s="66"/>
      <c r="C22" s="68"/>
      <c r="D22" s="122"/>
      <c r="E22" s="123"/>
      <c r="F22" s="124" t="s">
        <v>53</v>
      </c>
      <c r="G22" s="125" t="s">
        <v>76</v>
      </c>
      <c r="H22" s="122" t="s">
        <v>53</v>
      </c>
      <c r="I22" s="125" t="s">
        <v>76</v>
      </c>
      <c r="J22" s="122" t="s">
        <v>53</v>
      </c>
      <c r="K22" s="126" t="s">
        <v>54</v>
      </c>
      <c r="L22" s="125" t="s">
        <v>76</v>
      </c>
      <c r="M22" s="122" t="s">
        <v>53</v>
      </c>
      <c r="N22" s="126" t="s">
        <v>54</v>
      </c>
      <c r="O22" s="125" t="s">
        <v>76</v>
      </c>
      <c r="P22" s="122" t="s">
        <v>53</v>
      </c>
      <c r="Q22" s="126" t="s">
        <v>54</v>
      </c>
      <c r="R22" s="125" t="s">
        <v>76</v>
      </c>
      <c r="S22" s="122" t="s">
        <v>53</v>
      </c>
      <c r="T22" s="126" t="s">
        <v>54</v>
      </c>
      <c r="U22" s="125" t="s">
        <v>77</v>
      </c>
      <c r="V22" s="122" t="s">
        <v>53</v>
      </c>
      <c r="W22" s="126" t="s">
        <v>54</v>
      </c>
      <c r="X22" s="125" t="s">
        <v>76</v>
      </c>
      <c r="Y22" s="122" t="s">
        <v>53</v>
      </c>
      <c r="Z22" s="126" t="s">
        <v>54</v>
      </c>
      <c r="AA22" s="125" t="s">
        <v>76</v>
      </c>
      <c r="AB22"/>
      <c r="AC22"/>
      <c r="AD22"/>
      <c r="AE22" s="122" t="s">
        <v>53</v>
      </c>
      <c r="AF22" s="126" t="s">
        <v>54</v>
      </c>
      <c r="AG22" s="125" t="s">
        <v>76</v>
      </c>
    </row>
    <row r="23" spans="1:33" x14ac:dyDescent="0.2">
      <c r="A23" s="69" t="s">
        <v>63</v>
      </c>
      <c r="B23" s="69" t="s">
        <v>103</v>
      </c>
      <c r="C23" s="68"/>
      <c r="D23" s="70"/>
      <c r="E23" s="71"/>
      <c r="F23" s="72"/>
      <c r="G23" s="73"/>
      <c r="H23" s="74"/>
      <c r="I23" s="73"/>
      <c r="J23" s="74"/>
      <c r="K23" s="75"/>
      <c r="L23" s="76"/>
      <c r="M23" s="74"/>
      <c r="N23" s="75"/>
      <c r="O23" s="76"/>
      <c r="P23" s="74"/>
      <c r="Q23" s="75"/>
      <c r="R23" s="76"/>
      <c r="S23" s="78"/>
      <c r="T23" s="79"/>
      <c r="U23" s="77"/>
      <c r="V23" s="78"/>
      <c r="W23" s="80"/>
      <c r="X23" s="81"/>
      <c r="Y23" s="78"/>
      <c r="Z23" s="79"/>
      <c r="AA23" s="73"/>
      <c r="AB23"/>
      <c r="AC23"/>
      <c r="AD23"/>
      <c r="AE23" s="74"/>
      <c r="AF23" s="75"/>
      <c r="AG23" s="76"/>
    </row>
    <row r="24" spans="1:33" x14ac:dyDescent="0.2">
      <c r="A24" s="82">
        <v>2013</v>
      </c>
      <c r="B24" s="83" t="s">
        <v>78</v>
      </c>
      <c r="C24" s="84"/>
      <c r="D24" s="127">
        <v>17076832.253063001</v>
      </c>
      <c r="E24" s="127">
        <v>10780.48</v>
      </c>
      <c r="F24" s="127">
        <v>4575673.3500000034</v>
      </c>
      <c r="G24" s="127">
        <v>6048</v>
      </c>
      <c r="H24" s="127">
        <v>1987643.4799999995</v>
      </c>
      <c r="I24" s="127">
        <v>628</v>
      </c>
      <c r="J24" s="127">
        <v>3701441.1100000003</v>
      </c>
      <c r="K24" s="127">
        <v>10429.050000000003</v>
      </c>
      <c r="L24" s="127">
        <v>79</v>
      </c>
      <c r="M24" s="127">
        <v>3068236.34</v>
      </c>
      <c r="N24" s="127">
        <v>7339.39</v>
      </c>
      <c r="O24" s="127">
        <v>9</v>
      </c>
      <c r="P24" s="127">
        <v>2985095.64</v>
      </c>
      <c r="Q24" s="127">
        <v>5545.1799999999994</v>
      </c>
      <c r="R24" s="127">
        <v>3</v>
      </c>
      <c r="S24" s="127">
        <v>30174</v>
      </c>
      <c r="T24" s="127"/>
      <c r="U24" s="127">
        <v>62</v>
      </c>
      <c r="V24" s="127">
        <v>9342.56</v>
      </c>
      <c r="W24" s="127">
        <v>25.319999999999997</v>
      </c>
      <c r="X24" s="127">
        <v>127</v>
      </c>
      <c r="Y24" s="127">
        <v>148460.54999999999</v>
      </c>
      <c r="Z24" s="127">
        <v>319.27</v>
      </c>
      <c r="AA24" s="127">
        <v>1</v>
      </c>
      <c r="AB24"/>
      <c r="AC24" s="130">
        <f>G24+I24+L24+O24+R24+AA24</f>
        <v>6768</v>
      </c>
      <c r="AD24"/>
      <c r="AE24" s="127"/>
      <c r="AF24" s="127"/>
      <c r="AG24" s="127"/>
    </row>
    <row r="25" spans="1:33" x14ac:dyDescent="0.2">
      <c r="A25" s="82">
        <v>2013</v>
      </c>
      <c r="B25" s="83" t="s">
        <v>79</v>
      </c>
      <c r="C25" s="86"/>
      <c r="D25" s="128">
        <v>15658524.621893801</v>
      </c>
      <c r="E25" s="128">
        <v>13557.21</v>
      </c>
      <c r="F25" s="128">
        <v>4170487.8100000066</v>
      </c>
      <c r="G25" s="128">
        <v>6051</v>
      </c>
      <c r="H25" s="128">
        <v>1834093.5499999993</v>
      </c>
      <c r="I25" s="128">
        <v>627</v>
      </c>
      <c r="J25" s="128">
        <v>3422384.03</v>
      </c>
      <c r="K25" s="128">
        <v>10599.599999999999</v>
      </c>
      <c r="L25" s="128">
        <v>79</v>
      </c>
      <c r="M25" s="128">
        <v>2878937.57</v>
      </c>
      <c r="N25" s="128">
        <v>7266.94</v>
      </c>
      <c r="O25" s="128">
        <v>9</v>
      </c>
      <c r="P25" s="128">
        <v>2731725.64</v>
      </c>
      <c r="Q25" s="128">
        <v>5538.2999999999993</v>
      </c>
      <c r="R25" s="128">
        <v>3</v>
      </c>
      <c r="S25" s="128">
        <v>30241</v>
      </c>
      <c r="T25" s="87"/>
      <c r="U25" s="128">
        <v>62</v>
      </c>
      <c r="V25" s="128">
        <v>8247.94</v>
      </c>
      <c r="W25" s="128">
        <v>23.019999999999996</v>
      </c>
      <c r="X25" s="128">
        <v>125</v>
      </c>
      <c r="Y25" s="128">
        <v>134093.4</v>
      </c>
      <c r="Z25" s="128">
        <v>319.27</v>
      </c>
      <c r="AA25" s="128">
        <v>1</v>
      </c>
      <c r="AB25"/>
      <c r="AC25" s="130">
        <f t="shared" ref="AC25:AC88" si="0">G25+I25+L25+O25+R25+AA25</f>
        <v>6770</v>
      </c>
      <c r="AD25"/>
      <c r="AE25" s="128"/>
      <c r="AF25" s="128"/>
      <c r="AG25" s="128"/>
    </row>
    <row r="26" spans="1:33" x14ac:dyDescent="0.2">
      <c r="A26" s="82">
        <v>2013</v>
      </c>
      <c r="B26" s="83" t="s">
        <v>80</v>
      </c>
      <c r="C26" s="86"/>
      <c r="D26" s="128">
        <v>16216012.966664599</v>
      </c>
      <c r="E26" s="128">
        <v>20286.849999999999</v>
      </c>
      <c r="F26" s="128">
        <v>4040513.5000000028</v>
      </c>
      <c r="G26" s="128">
        <v>6056</v>
      </c>
      <c r="H26" s="128">
        <v>1909696.4100000006</v>
      </c>
      <c r="I26" s="128">
        <v>628</v>
      </c>
      <c r="J26" s="128">
        <v>3612606.6199999996</v>
      </c>
      <c r="K26" s="128">
        <v>10864.269999999997</v>
      </c>
      <c r="L26" s="128">
        <v>78</v>
      </c>
      <c r="M26" s="128">
        <v>2959078.8499999996</v>
      </c>
      <c r="N26" s="128">
        <v>7140.7599999999993</v>
      </c>
      <c r="O26" s="128">
        <v>9</v>
      </c>
      <c r="P26" s="128">
        <v>2918433.08</v>
      </c>
      <c r="Q26" s="128">
        <v>5485.37</v>
      </c>
      <c r="R26" s="128">
        <v>3</v>
      </c>
      <c r="S26" s="128">
        <v>35256</v>
      </c>
      <c r="T26" s="87"/>
      <c r="U26" s="128">
        <v>61</v>
      </c>
      <c r="V26" s="128">
        <v>9078.41</v>
      </c>
      <c r="W26" s="128">
        <v>26.129999999999992</v>
      </c>
      <c r="X26" s="128">
        <v>125</v>
      </c>
      <c r="Y26" s="128">
        <v>124116</v>
      </c>
      <c r="Z26" s="128">
        <v>319.27</v>
      </c>
      <c r="AA26" s="128">
        <v>1</v>
      </c>
      <c r="AB26"/>
      <c r="AC26" s="130">
        <f t="shared" si="0"/>
        <v>6775</v>
      </c>
      <c r="AD26"/>
      <c r="AE26" s="128"/>
      <c r="AF26" s="128"/>
      <c r="AG26" s="128"/>
    </row>
    <row r="27" spans="1:33" x14ac:dyDescent="0.2">
      <c r="A27" s="82">
        <v>2013</v>
      </c>
      <c r="B27" s="83" t="s">
        <v>81</v>
      </c>
      <c r="C27" s="86"/>
      <c r="D27" s="128">
        <v>15232077.751890199</v>
      </c>
      <c r="E27" s="128">
        <v>27560.44</v>
      </c>
      <c r="F27" s="128">
        <v>3631054.3899999973</v>
      </c>
      <c r="G27" s="128">
        <v>6059</v>
      </c>
      <c r="H27" s="128">
        <v>1706896.5500000005</v>
      </c>
      <c r="I27" s="128">
        <v>632</v>
      </c>
      <c r="J27" s="128">
        <v>3486015.9799999995</v>
      </c>
      <c r="K27" s="128">
        <v>10371.779999999999</v>
      </c>
      <c r="L27" s="128">
        <v>78</v>
      </c>
      <c r="M27" s="128">
        <v>2807468.62</v>
      </c>
      <c r="N27" s="128">
        <v>7249.8399999999992</v>
      </c>
      <c r="O27" s="128">
        <v>9</v>
      </c>
      <c r="P27" s="128">
        <v>2996605.6799999997</v>
      </c>
      <c r="Q27" s="128">
        <v>5728.67</v>
      </c>
      <c r="R27" s="128">
        <v>3</v>
      </c>
      <c r="S27" s="128">
        <v>31677</v>
      </c>
      <c r="T27" s="87"/>
      <c r="U27" s="128">
        <v>61</v>
      </c>
      <c r="V27" s="128">
        <v>8811.5299999999988</v>
      </c>
      <c r="W27" s="128">
        <v>23.720000000000002</v>
      </c>
      <c r="X27" s="128">
        <v>125</v>
      </c>
      <c r="Y27" s="128">
        <v>105838.37</v>
      </c>
      <c r="Z27" s="128">
        <v>319.27</v>
      </c>
      <c r="AA27" s="128">
        <v>1</v>
      </c>
      <c r="AB27"/>
      <c r="AC27" s="130">
        <f t="shared" si="0"/>
        <v>6782</v>
      </c>
      <c r="AD27"/>
      <c r="AE27" s="128"/>
      <c r="AF27" s="128"/>
      <c r="AG27" s="128"/>
    </row>
    <row r="28" spans="1:33" x14ac:dyDescent="0.2">
      <c r="A28" s="82">
        <v>2013</v>
      </c>
      <c r="B28" s="83" t="s">
        <v>52</v>
      </c>
      <c r="C28" s="86"/>
      <c r="D28" s="128">
        <v>15553380.452143</v>
      </c>
      <c r="E28" s="128">
        <v>35979.17</v>
      </c>
      <c r="F28" s="128">
        <v>3575488.3800000022</v>
      </c>
      <c r="G28" s="128">
        <v>6054</v>
      </c>
      <c r="H28" s="128">
        <v>1705319.2199999997</v>
      </c>
      <c r="I28" s="128">
        <v>631</v>
      </c>
      <c r="J28" s="128">
        <v>3559422.3399999994</v>
      </c>
      <c r="K28" s="128">
        <v>10657.119999999999</v>
      </c>
      <c r="L28" s="128">
        <v>78</v>
      </c>
      <c r="M28" s="128">
        <v>2948236.96</v>
      </c>
      <c r="N28" s="128">
        <v>7715.2499999999991</v>
      </c>
      <c r="O28" s="128">
        <v>9</v>
      </c>
      <c r="P28" s="128">
        <v>3139990</v>
      </c>
      <c r="Q28" s="128">
        <v>5840.1</v>
      </c>
      <c r="R28" s="128">
        <v>3</v>
      </c>
      <c r="S28" s="128">
        <v>33646</v>
      </c>
      <c r="T28" s="87"/>
      <c r="U28" s="128">
        <v>61</v>
      </c>
      <c r="V28" s="128">
        <v>9112.17</v>
      </c>
      <c r="W28" s="128">
        <v>23.83</v>
      </c>
      <c r="X28" s="128">
        <v>125</v>
      </c>
      <c r="Y28" s="128">
        <v>96898.01</v>
      </c>
      <c r="Z28" s="128">
        <v>319.27</v>
      </c>
      <c r="AA28" s="128">
        <v>1</v>
      </c>
      <c r="AB28"/>
      <c r="AC28" s="130">
        <f t="shared" si="0"/>
        <v>6776</v>
      </c>
      <c r="AD28"/>
      <c r="AE28" s="128"/>
      <c r="AF28" s="128"/>
      <c r="AG28" s="128"/>
    </row>
    <row r="29" spans="1:33" x14ac:dyDescent="0.2">
      <c r="A29" s="82">
        <v>2013</v>
      </c>
      <c r="B29" s="83" t="s">
        <v>82</v>
      </c>
      <c r="C29" s="86"/>
      <c r="D29" s="128">
        <v>16186549.925957</v>
      </c>
      <c r="E29" s="128">
        <v>31537.31</v>
      </c>
      <c r="F29" s="128">
        <v>4132859.1599999894</v>
      </c>
      <c r="G29" s="128">
        <v>6065</v>
      </c>
      <c r="H29" s="128">
        <v>1805117.5999999987</v>
      </c>
      <c r="I29" s="128">
        <v>625</v>
      </c>
      <c r="J29" s="128">
        <v>3600427.370000001</v>
      </c>
      <c r="K29" s="128">
        <v>11171.63</v>
      </c>
      <c r="L29" s="128">
        <v>79</v>
      </c>
      <c r="M29" s="128">
        <v>3018081.4299999997</v>
      </c>
      <c r="N29" s="128">
        <v>7802.04</v>
      </c>
      <c r="O29" s="128">
        <v>9</v>
      </c>
      <c r="P29" s="128">
        <v>3132924.8000000003</v>
      </c>
      <c r="Q29" s="128">
        <v>6195.28</v>
      </c>
      <c r="R29" s="128">
        <v>3</v>
      </c>
      <c r="S29" s="128">
        <v>31344</v>
      </c>
      <c r="T29" s="87"/>
      <c r="U29" s="128">
        <v>60</v>
      </c>
      <c r="V29" s="128">
        <v>8823.7999999999993</v>
      </c>
      <c r="W29" s="128">
        <v>24.059999999999995</v>
      </c>
      <c r="X29" s="128">
        <v>125</v>
      </c>
      <c r="Y29" s="128">
        <v>86442.37</v>
      </c>
      <c r="Z29" s="128">
        <v>319.27</v>
      </c>
      <c r="AA29" s="128">
        <v>1</v>
      </c>
      <c r="AB29"/>
      <c r="AC29" s="130">
        <f t="shared" si="0"/>
        <v>6782</v>
      </c>
      <c r="AD29"/>
      <c r="AE29" s="128"/>
      <c r="AF29" s="128"/>
      <c r="AG29" s="128"/>
    </row>
    <row r="30" spans="1:33" x14ac:dyDescent="0.2">
      <c r="A30" s="82">
        <v>2013</v>
      </c>
      <c r="B30" s="83" t="s">
        <v>83</v>
      </c>
      <c r="C30" s="86"/>
      <c r="D30" s="128">
        <v>17945915.653628498</v>
      </c>
      <c r="E30" s="128">
        <v>32177.5</v>
      </c>
      <c r="F30" s="128">
        <v>5032704.3899999978</v>
      </c>
      <c r="G30" s="128">
        <v>6071</v>
      </c>
      <c r="H30" s="128">
        <v>2008282.4000000004</v>
      </c>
      <c r="I30" s="128">
        <v>625</v>
      </c>
      <c r="J30" s="128">
        <v>3757069.4</v>
      </c>
      <c r="K30" s="128">
        <v>10951.679999999995</v>
      </c>
      <c r="L30" s="128">
        <v>79</v>
      </c>
      <c r="M30" s="128">
        <v>3171459.66</v>
      </c>
      <c r="N30" s="128">
        <v>8007.49</v>
      </c>
      <c r="O30" s="128">
        <v>9</v>
      </c>
      <c r="P30" s="128">
        <v>2922192.8</v>
      </c>
      <c r="Q30" s="128">
        <v>6042.57</v>
      </c>
      <c r="R30" s="128">
        <v>3</v>
      </c>
      <c r="S30" s="128">
        <v>32333</v>
      </c>
      <c r="T30" s="87"/>
      <c r="U30" s="128">
        <v>61</v>
      </c>
      <c r="V30" s="128">
        <v>9116.77</v>
      </c>
      <c r="W30" s="128">
        <v>24.580000000000005</v>
      </c>
      <c r="X30" s="128">
        <v>125</v>
      </c>
      <c r="Y30" s="128">
        <v>91471.28</v>
      </c>
      <c r="Z30" s="128">
        <v>319.27</v>
      </c>
      <c r="AA30" s="128">
        <v>1</v>
      </c>
      <c r="AB30"/>
      <c r="AC30" s="130">
        <f t="shared" si="0"/>
        <v>6788</v>
      </c>
      <c r="AD30"/>
      <c r="AE30" s="128"/>
      <c r="AF30" s="128"/>
      <c r="AG30" s="128"/>
    </row>
    <row r="31" spans="1:33" x14ac:dyDescent="0.2">
      <c r="A31" s="82">
        <v>2013</v>
      </c>
      <c r="B31" s="83" t="s">
        <v>84</v>
      </c>
      <c r="C31" s="86"/>
      <c r="D31" s="128">
        <v>17797077.923535999</v>
      </c>
      <c r="E31" s="128">
        <v>34799.1</v>
      </c>
      <c r="F31" s="128">
        <v>4416036.1600000048</v>
      </c>
      <c r="G31" s="128">
        <v>6076</v>
      </c>
      <c r="H31" s="128">
        <v>1905121.7000000002</v>
      </c>
      <c r="I31" s="128">
        <v>628</v>
      </c>
      <c r="J31" s="128">
        <v>3798030.8200000003</v>
      </c>
      <c r="K31" s="128">
        <v>11241.179999999998</v>
      </c>
      <c r="L31" s="128">
        <v>79</v>
      </c>
      <c r="M31" s="128">
        <v>3490890.6500000004</v>
      </c>
      <c r="N31" s="128">
        <v>7981.5</v>
      </c>
      <c r="O31" s="128">
        <v>9</v>
      </c>
      <c r="P31" s="128">
        <v>3445203.3200000003</v>
      </c>
      <c r="Q31" s="128">
        <v>6280.04</v>
      </c>
      <c r="R31" s="128">
        <v>3</v>
      </c>
      <c r="S31" s="128">
        <v>31813</v>
      </c>
      <c r="T31" s="87"/>
      <c r="U31" s="128">
        <v>61</v>
      </c>
      <c r="V31" s="128">
        <v>9114.66</v>
      </c>
      <c r="W31" s="128">
        <v>23.489999999999995</v>
      </c>
      <c r="X31" s="128">
        <v>125</v>
      </c>
      <c r="Y31" s="128">
        <v>103523</v>
      </c>
      <c r="Z31" s="128">
        <v>319.27</v>
      </c>
      <c r="AA31" s="128">
        <v>1</v>
      </c>
      <c r="AB31"/>
      <c r="AC31" s="130">
        <f t="shared" si="0"/>
        <v>6796</v>
      </c>
      <c r="AD31"/>
      <c r="AE31" s="128"/>
      <c r="AF31" s="128"/>
      <c r="AG31" s="128"/>
    </row>
    <row r="32" spans="1:33" x14ac:dyDescent="0.2">
      <c r="A32" s="82">
        <v>2013</v>
      </c>
      <c r="B32" s="83" t="s">
        <v>85</v>
      </c>
      <c r="C32" s="86"/>
      <c r="D32" s="128">
        <v>15969199.9223201</v>
      </c>
      <c r="E32" s="128">
        <v>26269.68</v>
      </c>
      <c r="F32" s="128">
        <v>3790233.0899999947</v>
      </c>
      <c r="G32" s="128">
        <v>6086</v>
      </c>
      <c r="H32" s="128">
        <v>1706282.7700000007</v>
      </c>
      <c r="I32" s="128">
        <v>631</v>
      </c>
      <c r="J32" s="128">
        <v>3622319.6200000006</v>
      </c>
      <c r="K32" s="128">
        <v>10845.889999999998</v>
      </c>
      <c r="L32" s="128">
        <v>79</v>
      </c>
      <c r="M32" s="128">
        <v>3259451.94</v>
      </c>
      <c r="N32" s="128">
        <v>8405.2100000000009</v>
      </c>
      <c r="O32" s="128">
        <v>10</v>
      </c>
      <c r="P32" s="128">
        <v>3200628.7600000002</v>
      </c>
      <c r="Q32" s="128">
        <v>5669.4400000000005</v>
      </c>
      <c r="R32" s="128">
        <v>2</v>
      </c>
      <c r="S32" s="128">
        <v>32098</v>
      </c>
      <c r="T32" s="87"/>
      <c r="U32" s="128">
        <v>61</v>
      </c>
      <c r="V32" s="128">
        <v>8817.3700000000008</v>
      </c>
      <c r="W32" s="128">
        <v>24.189999999999998</v>
      </c>
      <c r="X32" s="128">
        <v>125</v>
      </c>
      <c r="Y32" s="128">
        <v>112143.97</v>
      </c>
      <c r="Z32" s="128">
        <v>319.27</v>
      </c>
      <c r="AA32" s="128">
        <v>1</v>
      </c>
      <c r="AB32"/>
      <c r="AC32" s="130">
        <f t="shared" si="0"/>
        <v>6809</v>
      </c>
      <c r="AD32"/>
      <c r="AE32" s="128"/>
      <c r="AF32" s="128"/>
      <c r="AG32" s="128"/>
    </row>
    <row r="33" spans="1:33" x14ac:dyDescent="0.2">
      <c r="A33" s="82">
        <v>2013</v>
      </c>
      <c r="B33" s="83" t="s">
        <v>86</v>
      </c>
      <c r="C33" s="86"/>
      <c r="D33" s="128">
        <v>16546569.8756111</v>
      </c>
      <c r="E33" s="128">
        <v>18717.009999999998</v>
      </c>
      <c r="F33" s="128">
        <v>3593451.0199999767</v>
      </c>
      <c r="G33" s="128">
        <v>6091</v>
      </c>
      <c r="H33" s="128">
        <v>1661346.9499999995</v>
      </c>
      <c r="I33" s="128">
        <v>632</v>
      </c>
      <c r="J33" s="128">
        <v>3812498.2000000007</v>
      </c>
      <c r="K33" s="128">
        <v>10787.059999999998</v>
      </c>
      <c r="L33" s="128">
        <v>79</v>
      </c>
      <c r="M33" s="128">
        <v>3377135.0400000005</v>
      </c>
      <c r="N33" s="128">
        <v>8117.2900000000018</v>
      </c>
      <c r="O33" s="128">
        <v>10</v>
      </c>
      <c r="P33" s="128">
        <v>3414392.12</v>
      </c>
      <c r="Q33" s="128">
        <v>5780.32</v>
      </c>
      <c r="R33" s="128">
        <v>2</v>
      </c>
      <c r="S33" s="128">
        <v>34369</v>
      </c>
      <c r="T33" s="87"/>
      <c r="U33" s="128">
        <v>61</v>
      </c>
      <c r="V33" s="128">
        <v>9099.44</v>
      </c>
      <c r="W33" s="128">
        <v>24.349999999999994</v>
      </c>
      <c r="X33" s="128">
        <v>125</v>
      </c>
      <c r="Y33" s="128">
        <v>130661</v>
      </c>
      <c r="Z33" s="128">
        <v>319.27</v>
      </c>
      <c r="AA33" s="128">
        <v>1</v>
      </c>
      <c r="AB33"/>
      <c r="AC33" s="130">
        <f t="shared" si="0"/>
        <v>6815</v>
      </c>
      <c r="AD33"/>
      <c r="AE33" s="128"/>
      <c r="AF33" s="128"/>
      <c r="AG33" s="128"/>
    </row>
    <row r="34" spans="1:33" x14ac:dyDescent="0.2">
      <c r="A34" s="82">
        <v>2013</v>
      </c>
      <c r="B34" s="83" t="s">
        <v>87</v>
      </c>
      <c r="C34" s="86"/>
      <c r="D34" s="128">
        <v>16546580.2343011</v>
      </c>
      <c r="E34" s="128">
        <v>11195.41</v>
      </c>
      <c r="F34" s="128">
        <v>4015119.3700000141</v>
      </c>
      <c r="G34" s="128">
        <v>6102</v>
      </c>
      <c r="H34" s="128">
        <v>1750420.1899999988</v>
      </c>
      <c r="I34" s="128">
        <v>632</v>
      </c>
      <c r="J34" s="128">
        <v>3826971.8699999996</v>
      </c>
      <c r="K34" s="128">
        <v>10508.039999999999</v>
      </c>
      <c r="L34" s="128">
        <v>79</v>
      </c>
      <c r="M34" s="128">
        <v>3097236.1</v>
      </c>
      <c r="N34" s="128">
        <v>7609.5600000000013</v>
      </c>
      <c r="O34" s="128">
        <v>10</v>
      </c>
      <c r="P34" s="128">
        <v>3259899.68</v>
      </c>
      <c r="Q34" s="128">
        <v>5617.6</v>
      </c>
      <c r="R34" s="128">
        <v>2</v>
      </c>
      <c r="S34" s="128">
        <v>30826</v>
      </c>
      <c r="T34" s="87"/>
      <c r="U34" s="128">
        <v>52</v>
      </c>
      <c r="V34" s="128">
        <v>9318.6500000000015</v>
      </c>
      <c r="W34" s="128">
        <v>26.130000000000003</v>
      </c>
      <c r="X34" s="128">
        <v>125</v>
      </c>
      <c r="Y34" s="128">
        <v>138483.83000000002</v>
      </c>
      <c r="Z34" s="128">
        <v>319.27</v>
      </c>
      <c r="AA34" s="128">
        <v>1</v>
      </c>
      <c r="AB34"/>
      <c r="AC34" s="130">
        <f t="shared" si="0"/>
        <v>6826</v>
      </c>
      <c r="AD34"/>
      <c r="AE34" s="128"/>
      <c r="AF34" s="128"/>
      <c r="AG34" s="128"/>
    </row>
    <row r="35" spans="1:33" x14ac:dyDescent="0.2">
      <c r="A35" s="82">
        <v>2013</v>
      </c>
      <c r="B35" s="83" t="s">
        <v>88</v>
      </c>
      <c r="C35" s="86"/>
      <c r="D35" s="128">
        <v>16673730.4556378</v>
      </c>
      <c r="E35" s="128">
        <v>6160.73</v>
      </c>
      <c r="F35" s="128">
        <v>4733214.2499999972</v>
      </c>
      <c r="G35" s="128">
        <v>6107</v>
      </c>
      <c r="H35" s="128">
        <v>1963769.6200000013</v>
      </c>
      <c r="I35" s="128">
        <v>629</v>
      </c>
      <c r="J35" s="128">
        <v>3817066.3399999994</v>
      </c>
      <c r="K35" s="128">
        <v>10928.169999999995</v>
      </c>
      <c r="L35" s="128">
        <v>78</v>
      </c>
      <c r="M35" s="128">
        <v>2787126.9599999995</v>
      </c>
      <c r="N35" s="128">
        <v>7589.4900000000007</v>
      </c>
      <c r="O35" s="128">
        <v>10</v>
      </c>
      <c r="P35" s="128">
        <v>2691530.7199999997</v>
      </c>
      <c r="Q35" s="128">
        <v>5738.5599999999995</v>
      </c>
      <c r="R35" s="128">
        <v>2</v>
      </c>
      <c r="S35" s="128">
        <v>33248</v>
      </c>
      <c r="T35" s="87"/>
      <c r="U35" s="128">
        <v>62</v>
      </c>
      <c r="V35" s="128">
        <v>10140.98</v>
      </c>
      <c r="W35" s="128">
        <v>28.919999999999995</v>
      </c>
      <c r="X35" s="128">
        <v>124</v>
      </c>
      <c r="Y35" s="128">
        <v>150695.51999999999</v>
      </c>
      <c r="Z35" s="128">
        <v>319.27</v>
      </c>
      <c r="AA35" s="128">
        <v>1</v>
      </c>
      <c r="AB35"/>
      <c r="AC35" s="130">
        <f t="shared" si="0"/>
        <v>6827</v>
      </c>
      <c r="AD35"/>
      <c r="AE35" s="128"/>
      <c r="AF35" s="128"/>
      <c r="AG35" s="128"/>
    </row>
    <row r="36" spans="1:33" x14ac:dyDescent="0.2">
      <c r="A36" s="82">
        <v>2014</v>
      </c>
      <c r="B36" s="83" t="s">
        <v>78</v>
      </c>
      <c r="C36" s="86"/>
      <c r="D36" s="127">
        <v>18474800.579061899</v>
      </c>
      <c r="E36" s="127">
        <v>8538.07</v>
      </c>
      <c r="F36" s="127">
        <v>4870979.7900000056</v>
      </c>
      <c r="G36" s="127">
        <v>6106</v>
      </c>
      <c r="H36" s="127">
        <v>2079737.4599999995</v>
      </c>
      <c r="I36" s="127">
        <v>629</v>
      </c>
      <c r="J36" s="127">
        <v>4283830.0299999993</v>
      </c>
      <c r="K36" s="127">
        <v>11350.089999999997</v>
      </c>
      <c r="L36" s="127">
        <v>78</v>
      </c>
      <c r="M36" s="127">
        <v>3131849.04</v>
      </c>
      <c r="N36" s="127">
        <v>7487.41</v>
      </c>
      <c r="O36" s="127">
        <v>10</v>
      </c>
      <c r="P36" s="127">
        <v>3209998.24</v>
      </c>
      <c r="Q36" s="127">
        <v>5569.17</v>
      </c>
      <c r="R36" s="127">
        <v>2</v>
      </c>
      <c r="S36" s="127">
        <v>29733.86</v>
      </c>
      <c r="T36" s="85"/>
      <c r="U36" s="127">
        <v>59</v>
      </c>
      <c r="V36" s="127">
        <v>9108.09</v>
      </c>
      <c r="W36" s="127">
        <v>23.829999999999995</v>
      </c>
      <c r="X36" s="127">
        <v>124</v>
      </c>
      <c r="Y36" s="127">
        <v>148460.54999999999</v>
      </c>
      <c r="Z36" s="127">
        <v>319.27</v>
      </c>
      <c r="AA36" s="127">
        <v>1</v>
      </c>
      <c r="AB36"/>
      <c r="AC36" s="130">
        <f t="shared" si="0"/>
        <v>6826</v>
      </c>
      <c r="AD36"/>
      <c r="AE36" s="127"/>
      <c r="AF36" s="127"/>
      <c r="AG36" s="127"/>
    </row>
    <row r="37" spans="1:33" x14ac:dyDescent="0.2">
      <c r="A37" s="82">
        <v>2014</v>
      </c>
      <c r="B37" s="83" t="s">
        <v>79</v>
      </c>
      <c r="C37" s="86"/>
      <c r="D37" s="128">
        <v>16627641.0667389</v>
      </c>
      <c r="E37" s="128">
        <v>12721.86</v>
      </c>
      <c r="F37" s="128">
        <v>4282879.730000007</v>
      </c>
      <c r="G37" s="128">
        <v>6116</v>
      </c>
      <c r="H37" s="128">
        <v>1886824.34</v>
      </c>
      <c r="I37" s="128">
        <v>630</v>
      </c>
      <c r="J37" s="128">
        <v>3917690.2199999993</v>
      </c>
      <c r="K37" s="128">
        <v>10976.75</v>
      </c>
      <c r="L37" s="128">
        <v>78</v>
      </c>
      <c r="M37" s="128">
        <v>2917663.5200000005</v>
      </c>
      <c r="N37" s="128">
        <v>7582.7300000000005</v>
      </c>
      <c r="O37" s="128">
        <v>10</v>
      </c>
      <c r="P37" s="128">
        <v>2990229.5600000005</v>
      </c>
      <c r="Q37" s="128">
        <v>5532.16</v>
      </c>
      <c r="R37" s="128">
        <v>2</v>
      </c>
      <c r="S37" s="128">
        <v>31852.91</v>
      </c>
      <c r="T37" s="87"/>
      <c r="U37" s="128">
        <v>59</v>
      </c>
      <c r="V37" s="128">
        <v>8161.41</v>
      </c>
      <c r="W37" s="128">
        <v>23.660000000000004</v>
      </c>
      <c r="X37" s="128">
        <v>124</v>
      </c>
      <c r="Y37" s="128">
        <v>134093</v>
      </c>
      <c r="Z37" s="128">
        <v>319.27</v>
      </c>
      <c r="AA37" s="128">
        <v>1</v>
      </c>
      <c r="AB37"/>
      <c r="AC37" s="130">
        <f t="shared" si="0"/>
        <v>6837</v>
      </c>
      <c r="AD37"/>
      <c r="AE37" s="128"/>
      <c r="AF37" s="128"/>
      <c r="AG37" s="128"/>
    </row>
    <row r="38" spans="1:33" x14ac:dyDescent="0.2">
      <c r="A38" s="82">
        <v>2014</v>
      </c>
      <c r="B38" s="83" t="s">
        <v>80</v>
      </c>
      <c r="C38" s="86"/>
      <c r="D38" s="128">
        <v>17703765.753800001</v>
      </c>
      <c r="E38" s="128">
        <v>25883.119999999999</v>
      </c>
      <c r="F38" s="128">
        <v>4305122.0499999877</v>
      </c>
      <c r="G38" s="128">
        <v>6124</v>
      </c>
      <c r="H38" s="128">
        <v>1962382.76</v>
      </c>
      <c r="I38" s="128">
        <v>631</v>
      </c>
      <c r="J38" s="128">
        <v>4249950.1500000004</v>
      </c>
      <c r="K38" s="128">
        <v>11789.170000000004</v>
      </c>
      <c r="L38" s="128">
        <v>79</v>
      </c>
      <c r="M38" s="128">
        <v>3273206.92</v>
      </c>
      <c r="N38" s="128">
        <v>7791.13</v>
      </c>
      <c r="O38" s="128">
        <v>10</v>
      </c>
      <c r="P38" s="128">
        <v>3169745</v>
      </c>
      <c r="Q38" s="128">
        <v>5533.2800000000007</v>
      </c>
      <c r="R38" s="128">
        <v>2</v>
      </c>
      <c r="S38" s="128">
        <v>35843.94</v>
      </c>
      <c r="T38" s="87"/>
      <c r="U38" s="128">
        <v>59</v>
      </c>
      <c r="V38" s="128">
        <v>9037.57</v>
      </c>
      <c r="W38" s="128">
        <v>26.490000000000009</v>
      </c>
      <c r="X38" s="128">
        <v>124</v>
      </c>
      <c r="Y38" s="128">
        <v>124116.4</v>
      </c>
      <c r="Z38" s="128">
        <v>319.27</v>
      </c>
      <c r="AA38" s="128">
        <v>1</v>
      </c>
      <c r="AB38"/>
      <c r="AC38" s="130">
        <f t="shared" si="0"/>
        <v>6847</v>
      </c>
      <c r="AD38"/>
      <c r="AE38" s="128"/>
      <c r="AF38" s="128"/>
      <c r="AG38" s="128"/>
    </row>
    <row r="39" spans="1:33" x14ac:dyDescent="0.2">
      <c r="A39" s="82">
        <v>2014</v>
      </c>
      <c r="B39" s="83" t="s">
        <v>81</v>
      </c>
      <c r="C39" s="86"/>
      <c r="D39" s="128">
        <v>15585905.142968001</v>
      </c>
      <c r="E39" s="128">
        <v>29655.1</v>
      </c>
      <c r="F39" s="128">
        <v>3631743.8699999843</v>
      </c>
      <c r="G39" s="128">
        <v>6126</v>
      </c>
      <c r="H39" s="128">
        <v>1666312.9000000001</v>
      </c>
      <c r="I39" s="128">
        <v>635</v>
      </c>
      <c r="J39" s="128">
        <v>3804996.29</v>
      </c>
      <c r="K39" s="128">
        <v>10729.079999999998</v>
      </c>
      <c r="L39" s="128">
        <v>80</v>
      </c>
      <c r="M39" s="128">
        <v>3032701.2900000005</v>
      </c>
      <c r="N39" s="128">
        <v>7794.13</v>
      </c>
      <c r="O39" s="128">
        <v>10</v>
      </c>
      <c r="P39" s="128">
        <v>2955904.84</v>
      </c>
      <c r="Q39" s="128">
        <v>5493.2800000000007</v>
      </c>
      <c r="R39" s="128">
        <v>2</v>
      </c>
      <c r="S39" s="128">
        <v>31225.390000000003</v>
      </c>
      <c r="T39" s="87"/>
      <c r="U39" s="128">
        <v>59</v>
      </c>
      <c r="V39" s="128">
        <v>8743.25</v>
      </c>
      <c r="W39" s="128">
        <v>23.209999999999994</v>
      </c>
      <c r="X39" s="128">
        <v>124</v>
      </c>
      <c r="Y39" s="128">
        <v>102326.37</v>
      </c>
      <c r="Z39" s="128">
        <v>319.27</v>
      </c>
      <c r="AA39" s="128">
        <v>1</v>
      </c>
      <c r="AB39"/>
      <c r="AC39" s="130">
        <f t="shared" si="0"/>
        <v>6854</v>
      </c>
      <c r="AD39"/>
      <c r="AE39" s="128"/>
      <c r="AF39" s="128"/>
      <c r="AG39" s="128"/>
    </row>
    <row r="40" spans="1:33" x14ac:dyDescent="0.2">
      <c r="A40" s="82">
        <v>2014</v>
      </c>
      <c r="B40" s="83" t="s">
        <v>52</v>
      </c>
      <c r="C40" s="86"/>
      <c r="D40" s="128">
        <v>15699359.7465881</v>
      </c>
      <c r="E40" s="128">
        <v>33479.81</v>
      </c>
      <c r="F40" s="128">
        <v>3518702.3499999894</v>
      </c>
      <c r="G40" s="128">
        <v>6134</v>
      </c>
      <c r="H40" s="128">
        <v>1682666.6300000001</v>
      </c>
      <c r="I40" s="128">
        <v>629</v>
      </c>
      <c r="J40" s="128">
        <v>3222350.649999999</v>
      </c>
      <c r="K40" s="128">
        <v>10400.400000000001</v>
      </c>
      <c r="L40" s="128">
        <v>80</v>
      </c>
      <c r="M40" s="128">
        <v>3575264.5199999996</v>
      </c>
      <c r="N40" s="128">
        <v>9243.380000000001</v>
      </c>
      <c r="O40" s="128">
        <v>11</v>
      </c>
      <c r="P40" s="128">
        <v>3187772.5999999996</v>
      </c>
      <c r="Q40" s="128">
        <v>5690.08</v>
      </c>
      <c r="R40" s="128">
        <v>2</v>
      </c>
      <c r="S40" s="128">
        <v>34241.229999999996</v>
      </c>
      <c r="T40" s="87"/>
      <c r="U40" s="128">
        <v>59</v>
      </c>
      <c r="V40" s="128">
        <v>9039.73</v>
      </c>
      <c r="W40" s="128">
        <v>24.869999999999997</v>
      </c>
      <c r="X40" s="128">
        <v>124</v>
      </c>
      <c r="Y40" s="128">
        <v>96268.999999999985</v>
      </c>
      <c r="Z40" s="128">
        <v>346.64</v>
      </c>
      <c r="AA40" s="128">
        <v>1</v>
      </c>
      <c r="AB40"/>
      <c r="AC40" s="130">
        <f t="shared" si="0"/>
        <v>6857</v>
      </c>
      <c r="AD40"/>
      <c r="AE40" s="128"/>
      <c r="AF40" s="128"/>
      <c r="AG40" s="128"/>
    </row>
    <row r="41" spans="1:33" x14ac:dyDescent="0.2">
      <c r="A41" s="82">
        <v>2014</v>
      </c>
      <c r="B41" s="83" t="s">
        <v>82</v>
      </c>
      <c r="C41" s="86"/>
      <c r="D41" s="128">
        <v>17137936.4018654</v>
      </c>
      <c r="E41" s="128">
        <v>36363.160000000003</v>
      </c>
      <c r="F41" s="128">
        <v>4127003.2700000163</v>
      </c>
      <c r="G41" s="128">
        <v>6144</v>
      </c>
      <c r="H41" s="128">
        <v>1835389.8100000003</v>
      </c>
      <c r="I41" s="128">
        <v>627</v>
      </c>
      <c r="J41" s="128">
        <v>3472185.680000002</v>
      </c>
      <c r="K41" s="128">
        <v>10293.02</v>
      </c>
      <c r="L41" s="128">
        <v>79</v>
      </c>
      <c r="M41" s="128">
        <v>3787814.85</v>
      </c>
      <c r="N41" s="128">
        <v>9425.93</v>
      </c>
      <c r="O41" s="128">
        <v>11</v>
      </c>
      <c r="P41" s="128">
        <v>3104946.7600000002</v>
      </c>
      <c r="Q41" s="128">
        <v>5866.08</v>
      </c>
      <c r="R41" s="128">
        <v>2</v>
      </c>
      <c r="S41" s="128">
        <v>28927.989999999998</v>
      </c>
      <c r="T41" s="87"/>
      <c r="U41" s="128">
        <v>59</v>
      </c>
      <c r="V41" s="128">
        <v>8738.16</v>
      </c>
      <c r="W41" s="128">
        <v>22.67</v>
      </c>
      <c r="X41" s="128">
        <v>126</v>
      </c>
      <c r="Y41" s="128">
        <v>87092.29</v>
      </c>
      <c r="Z41" s="128">
        <v>273.66000000000003</v>
      </c>
      <c r="AA41" s="128">
        <v>1</v>
      </c>
      <c r="AB41"/>
      <c r="AC41" s="130">
        <f t="shared" si="0"/>
        <v>6864</v>
      </c>
      <c r="AD41"/>
      <c r="AE41" s="128"/>
      <c r="AF41" s="128"/>
      <c r="AG41" s="128"/>
    </row>
    <row r="42" spans="1:33" x14ac:dyDescent="0.2">
      <c r="A42" s="82">
        <v>2014</v>
      </c>
      <c r="B42" s="83" t="s">
        <v>83</v>
      </c>
      <c r="C42" s="86"/>
      <c r="D42" s="128">
        <v>17172508.619147401</v>
      </c>
      <c r="E42" s="128">
        <v>35017.25</v>
      </c>
      <c r="F42" s="128">
        <v>4441328.9800000032</v>
      </c>
      <c r="G42" s="128">
        <v>6149</v>
      </c>
      <c r="H42" s="128">
        <v>1890335.900000002</v>
      </c>
      <c r="I42" s="128">
        <v>628</v>
      </c>
      <c r="J42" s="128">
        <v>3471940.1900000004</v>
      </c>
      <c r="K42" s="128">
        <v>10349.509999999997</v>
      </c>
      <c r="L42" s="128">
        <v>79</v>
      </c>
      <c r="M42" s="128">
        <v>3929445.6400000006</v>
      </c>
      <c r="N42" s="128">
        <v>9743.26</v>
      </c>
      <c r="O42" s="128">
        <v>11</v>
      </c>
      <c r="P42" s="128">
        <v>2943110.2</v>
      </c>
      <c r="Q42" s="128">
        <v>5543.2</v>
      </c>
      <c r="R42" s="128">
        <v>2</v>
      </c>
      <c r="S42" s="128">
        <v>32498.650000000005</v>
      </c>
      <c r="T42" s="87"/>
      <c r="U42" s="128">
        <v>59</v>
      </c>
      <c r="V42" s="128">
        <v>9037.3700000000008</v>
      </c>
      <c r="W42" s="128">
        <v>24.670000000000009</v>
      </c>
      <c r="X42" s="128">
        <v>124</v>
      </c>
      <c r="Y42" s="128">
        <v>91821.97</v>
      </c>
      <c r="Z42" s="128">
        <v>348.52</v>
      </c>
      <c r="AA42" s="128">
        <v>1</v>
      </c>
      <c r="AB42"/>
      <c r="AC42" s="130">
        <f t="shared" si="0"/>
        <v>6870</v>
      </c>
      <c r="AD42"/>
      <c r="AE42" s="128"/>
      <c r="AF42" s="128"/>
      <c r="AG42" s="128"/>
    </row>
    <row r="43" spans="1:33" x14ac:dyDescent="0.2">
      <c r="A43" s="82">
        <v>2014</v>
      </c>
      <c r="B43" s="83" t="s">
        <v>84</v>
      </c>
      <c r="C43" s="86"/>
      <c r="D43" s="128">
        <v>17464591.131454099</v>
      </c>
      <c r="E43" s="128">
        <v>92196.03</v>
      </c>
      <c r="F43" s="128">
        <v>4265749.3300000038</v>
      </c>
      <c r="G43" s="128">
        <v>6153</v>
      </c>
      <c r="H43" s="128">
        <v>1831405.369999998</v>
      </c>
      <c r="I43" s="128">
        <v>632</v>
      </c>
      <c r="J43" s="128">
        <v>3429223.1899999995</v>
      </c>
      <c r="K43" s="128">
        <v>10833.789999999997</v>
      </c>
      <c r="L43" s="128">
        <v>79</v>
      </c>
      <c r="M43" s="128">
        <v>4177143.89</v>
      </c>
      <c r="N43" s="128">
        <v>9799.7500000000018</v>
      </c>
      <c r="O43" s="128">
        <v>11</v>
      </c>
      <c r="P43" s="128">
        <v>3102925.6</v>
      </c>
      <c r="Q43" s="128">
        <v>5672.32</v>
      </c>
      <c r="R43" s="128">
        <v>2</v>
      </c>
      <c r="S43" s="128">
        <v>34599.18</v>
      </c>
      <c r="T43" s="87"/>
      <c r="U43" s="128">
        <v>59</v>
      </c>
      <c r="V43" s="128">
        <v>9037.369999999999</v>
      </c>
      <c r="W43" s="128">
        <v>25.770000000000003</v>
      </c>
      <c r="X43" s="128">
        <v>124</v>
      </c>
      <c r="Y43" s="128">
        <v>104194.64</v>
      </c>
      <c r="Z43" s="128">
        <v>339.15999999999997</v>
      </c>
      <c r="AA43" s="128">
        <v>1</v>
      </c>
      <c r="AB43"/>
      <c r="AC43" s="130">
        <f t="shared" si="0"/>
        <v>6878</v>
      </c>
      <c r="AD43"/>
      <c r="AE43" s="128"/>
      <c r="AF43" s="128"/>
      <c r="AG43" s="128"/>
    </row>
    <row r="44" spans="1:33" x14ac:dyDescent="0.2">
      <c r="A44" s="82">
        <v>2014</v>
      </c>
      <c r="B44" s="83" t="s">
        <v>85</v>
      </c>
      <c r="C44" s="86"/>
      <c r="D44" s="128">
        <v>16494037.3646926</v>
      </c>
      <c r="E44" s="128">
        <v>132131.48000000001</v>
      </c>
      <c r="F44" s="128">
        <v>3731446.629999978</v>
      </c>
      <c r="G44" s="128">
        <v>6164</v>
      </c>
      <c r="H44" s="128">
        <v>1663735.1399999959</v>
      </c>
      <c r="I44" s="128">
        <v>631</v>
      </c>
      <c r="J44" s="128">
        <v>3472848.830000001</v>
      </c>
      <c r="K44" s="128">
        <v>10813.269999999993</v>
      </c>
      <c r="L44" s="128">
        <v>80</v>
      </c>
      <c r="M44" s="128">
        <v>3970646.96</v>
      </c>
      <c r="N44" s="128">
        <v>9419.06</v>
      </c>
      <c r="O44" s="128">
        <v>10</v>
      </c>
      <c r="P44" s="128">
        <v>3150678.8</v>
      </c>
      <c r="Q44" s="128">
        <v>5621.28</v>
      </c>
      <c r="R44" s="128">
        <v>2</v>
      </c>
      <c r="S44" s="128">
        <v>32668.059999999994</v>
      </c>
      <c r="T44" s="87"/>
      <c r="U44" s="128">
        <v>59</v>
      </c>
      <c r="V44" s="128">
        <v>8745.840000000002</v>
      </c>
      <c r="W44" s="128">
        <v>24.269999999999996</v>
      </c>
      <c r="X44" s="128">
        <v>124</v>
      </c>
      <c r="Y44" s="128">
        <v>111962.8</v>
      </c>
      <c r="Z44" s="128">
        <v>309.64999999999998</v>
      </c>
      <c r="AA44" s="128">
        <v>1</v>
      </c>
      <c r="AB44"/>
      <c r="AC44" s="130">
        <f t="shared" si="0"/>
        <v>6888</v>
      </c>
      <c r="AD44"/>
      <c r="AE44" s="128"/>
      <c r="AF44" s="128"/>
      <c r="AG44" s="128"/>
    </row>
    <row r="45" spans="1:33" x14ac:dyDescent="0.2">
      <c r="A45" s="82">
        <v>2014</v>
      </c>
      <c r="B45" s="83" t="s">
        <v>86</v>
      </c>
      <c r="C45" s="86"/>
      <c r="D45" s="128">
        <v>16323745.332645901</v>
      </c>
      <c r="E45" s="128">
        <v>118902.48</v>
      </c>
      <c r="F45" s="128">
        <v>3546933.130000026</v>
      </c>
      <c r="G45" s="128">
        <v>6169</v>
      </c>
      <c r="H45" s="128">
        <v>1637580.5400000028</v>
      </c>
      <c r="I45" s="128">
        <v>630</v>
      </c>
      <c r="J45" s="128">
        <v>3520495.1900000009</v>
      </c>
      <c r="K45" s="128">
        <v>10539.819999999998</v>
      </c>
      <c r="L45" s="128">
        <v>80</v>
      </c>
      <c r="M45" s="128">
        <v>3777409.91</v>
      </c>
      <c r="N45" s="128">
        <v>8572.2800000000007</v>
      </c>
      <c r="O45" s="128">
        <v>10</v>
      </c>
      <c r="P45" s="128">
        <v>3269695.04</v>
      </c>
      <c r="Q45" s="128">
        <v>5782.88</v>
      </c>
      <c r="R45" s="128">
        <v>2</v>
      </c>
      <c r="S45" s="128">
        <v>33955.69</v>
      </c>
      <c r="T45" s="87"/>
      <c r="U45" s="128">
        <v>59</v>
      </c>
      <c r="V45" s="128">
        <v>9037.369999999999</v>
      </c>
      <c r="W45" s="128">
        <v>25.049999999999997</v>
      </c>
      <c r="X45" s="128">
        <v>124</v>
      </c>
      <c r="Y45" s="128">
        <v>130831.40999999999</v>
      </c>
      <c r="Z45" s="128">
        <v>331.02</v>
      </c>
      <c r="AA45" s="128">
        <v>1</v>
      </c>
      <c r="AB45"/>
      <c r="AC45" s="130">
        <f t="shared" si="0"/>
        <v>6892</v>
      </c>
      <c r="AD45"/>
      <c r="AE45" s="128"/>
      <c r="AF45" s="128"/>
      <c r="AG45" s="128"/>
    </row>
    <row r="46" spans="1:33" x14ac:dyDescent="0.2">
      <c r="A46" s="82">
        <v>2014</v>
      </c>
      <c r="B46" s="83" t="s">
        <v>87</v>
      </c>
      <c r="C46" s="86"/>
      <c r="D46" s="128">
        <v>16439064.630017299</v>
      </c>
      <c r="E46" s="128">
        <v>111854.87</v>
      </c>
      <c r="F46" s="128">
        <v>4012620.699999989</v>
      </c>
      <c r="G46" s="128">
        <v>6173</v>
      </c>
      <c r="H46" s="128">
        <v>1773162.1100000003</v>
      </c>
      <c r="I46" s="128">
        <v>631</v>
      </c>
      <c r="J46" s="128">
        <v>3502006.669999999</v>
      </c>
      <c r="K46" s="128">
        <v>10714.550000000001</v>
      </c>
      <c r="L46" s="128">
        <v>80</v>
      </c>
      <c r="M46" s="128">
        <v>3475559.3299999996</v>
      </c>
      <c r="N46" s="128">
        <v>8299.67</v>
      </c>
      <c r="O46" s="128">
        <v>10</v>
      </c>
      <c r="P46" s="128">
        <v>3063106.7600000002</v>
      </c>
      <c r="Q46" s="128">
        <v>5627.2</v>
      </c>
      <c r="R46" s="128">
        <v>2</v>
      </c>
      <c r="S46" s="128">
        <v>34194.93</v>
      </c>
      <c r="T46" s="87"/>
      <c r="U46" s="128">
        <v>59</v>
      </c>
      <c r="V46" s="128">
        <v>9347.380000000001</v>
      </c>
      <c r="W46" s="128">
        <v>27.490000000000002</v>
      </c>
      <c r="X46" s="128">
        <v>124</v>
      </c>
      <c r="Y46" s="128">
        <v>138259.51999999999</v>
      </c>
      <c r="Z46" s="128">
        <v>326.14999999999998</v>
      </c>
      <c r="AA46" s="128">
        <v>1</v>
      </c>
      <c r="AB46"/>
      <c r="AC46" s="130">
        <f t="shared" si="0"/>
        <v>6897</v>
      </c>
      <c r="AD46"/>
      <c r="AE46" s="128"/>
      <c r="AF46" s="128"/>
      <c r="AG46" s="128"/>
    </row>
    <row r="47" spans="1:33" x14ac:dyDescent="0.2">
      <c r="A47" s="82">
        <v>2014</v>
      </c>
      <c r="B47" s="83" t="s">
        <v>88</v>
      </c>
      <c r="C47" s="86"/>
      <c r="D47" s="128">
        <v>16217636.362502901</v>
      </c>
      <c r="E47" s="128">
        <v>48311.07</v>
      </c>
      <c r="F47" s="128">
        <v>4535463.2099999981</v>
      </c>
      <c r="G47" s="128">
        <v>6183</v>
      </c>
      <c r="H47" s="128">
        <v>1943512.549999998</v>
      </c>
      <c r="I47" s="128">
        <v>629</v>
      </c>
      <c r="J47" s="128">
        <v>3544833.2899999986</v>
      </c>
      <c r="K47" s="128">
        <v>10544.059999999996</v>
      </c>
      <c r="L47" s="128">
        <v>79</v>
      </c>
      <c r="M47" s="128">
        <v>3233263.6900000004</v>
      </c>
      <c r="N47" s="128">
        <v>8184.63</v>
      </c>
      <c r="O47" s="128">
        <v>10</v>
      </c>
      <c r="P47" s="128">
        <v>2482484.2000000002</v>
      </c>
      <c r="Q47" s="128">
        <v>5655.68</v>
      </c>
      <c r="R47" s="128">
        <v>2</v>
      </c>
      <c r="S47" s="128">
        <v>32465.480000000003</v>
      </c>
      <c r="T47" s="87"/>
      <c r="U47" s="128">
        <v>59</v>
      </c>
      <c r="V47" s="128">
        <v>10134.290000000001</v>
      </c>
      <c r="W47" s="128">
        <v>28.010000000000005</v>
      </c>
      <c r="X47" s="128">
        <v>124</v>
      </c>
      <c r="Y47" s="128">
        <v>149671.87</v>
      </c>
      <c r="Z47" s="128">
        <v>311.29000000000002</v>
      </c>
      <c r="AA47" s="128">
        <v>1</v>
      </c>
      <c r="AB47"/>
      <c r="AC47" s="130">
        <f t="shared" si="0"/>
        <v>6904</v>
      </c>
      <c r="AD47"/>
      <c r="AE47" s="128"/>
      <c r="AF47" s="128"/>
      <c r="AG47" s="128"/>
    </row>
    <row r="48" spans="1:33" x14ac:dyDescent="0.2">
      <c r="A48" s="82">
        <v>2015</v>
      </c>
      <c r="B48" s="83" t="s">
        <v>78</v>
      </c>
      <c r="C48" s="86"/>
      <c r="D48" s="127">
        <v>17723115.783311199</v>
      </c>
      <c r="E48" s="127">
        <v>50373.66</v>
      </c>
      <c r="F48" s="127">
        <v>4695139.8099999661</v>
      </c>
      <c r="G48" s="127">
        <v>6182</v>
      </c>
      <c r="H48" s="127">
        <v>2037897.9599999983</v>
      </c>
      <c r="I48" s="127">
        <v>633</v>
      </c>
      <c r="J48" s="127">
        <v>3819072.810000001</v>
      </c>
      <c r="K48" s="127">
        <v>10588.13</v>
      </c>
      <c r="L48" s="127">
        <v>79</v>
      </c>
      <c r="M48" s="127">
        <v>3551711.27</v>
      </c>
      <c r="N48" s="127">
        <v>8233.4600000000009</v>
      </c>
      <c r="O48" s="127">
        <v>10</v>
      </c>
      <c r="P48" s="127">
        <v>2775397.6399999997</v>
      </c>
      <c r="Q48" s="127">
        <v>5612</v>
      </c>
      <c r="R48" s="127">
        <v>2</v>
      </c>
      <c r="S48" s="127">
        <v>30681.91</v>
      </c>
      <c r="T48" s="85"/>
      <c r="U48" s="127">
        <v>59</v>
      </c>
      <c r="V48" s="127">
        <v>9178.91</v>
      </c>
      <c r="W48" s="127">
        <v>24.699999999999996</v>
      </c>
      <c r="X48" s="127">
        <v>124</v>
      </c>
      <c r="Y48" s="127">
        <v>148676.06</v>
      </c>
      <c r="Z48" s="127">
        <v>329.90999999999997</v>
      </c>
      <c r="AA48" s="127">
        <v>1</v>
      </c>
      <c r="AB48"/>
      <c r="AC48" s="130">
        <f t="shared" si="0"/>
        <v>6907</v>
      </c>
      <c r="AD48"/>
      <c r="AE48" s="127"/>
      <c r="AF48" s="127"/>
      <c r="AG48" s="127"/>
    </row>
    <row r="49" spans="1:33" x14ac:dyDescent="0.2">
      <c r="A49" s="82">
        <v>2015</v>
      </c>
      <c r="B49" s="83" t="s">
        <v>79</v>
      </c>
      <c r="C49" s="86"/>
      <c r="D49" s="128">
        <v>16726909.162339199</v>
      </c>
      <c r="E49" s="128">
        <v>23402.92</v>
      </c>
      <c r="F49" s="128">
        <v>4274784.3600000171</v>
      </c>
      <c r="G49" s="128">
        <v>6185</v>
      </c>
      <c r="H49" s="128">
        <v>1924391.1200000027</v>
      </c>
      <c r="I49" s="128">
        <v>630</v>
      </c>
      <c r="J49" s="128">
        <v>3620665.6799999992</v>
      </c>
      <c r="K49" s="128">
        <v>10826.78</v>
      </c>
      <c r="L49" s="128">
        <v>79</v>
      </c>
      <c r="M49" s="128">
        <v>3240281.38</v>
      </c>
      <c r="N49" s="128">
        <v>8319.630000000001</v>
      </c>
      <c r="O49" s="128">
        <v>10</v>
      </c>
      <c r="P49" s="128">
        <v>2837396.48</v>
      </c>
      <c r="Q49" s="128">
        <v>5629.12</v>
      </c>
      <c r="R49" s="128">
        <v>2</v>
      </c>
      <c r="S49" s="128">
        <v>29243.62</v>
      </c>
      <c r="T49" s="87"/>
      <c r="U49" s="128">
        <v>59</v>
      </c>
      <c r="V49" s="128">
        <v>8160.5400000000009</v>
      </c>
      <c r="W49" s="128">
        <v>23.060000000000002</v>
      </c>
      <c r="X49" s="128">
        <v>125</v>
      </c>
      <c r="Y49" s="128">
        <v>132644.87</v>
      </c>
      <c r="Z49" s="128">
        <v>300.34999999999997</v>
      </c>
      <c r="AA49" s="128">
        <v>1</v>
      </c>
      <c r="AB49"/>
      <c r="AC49" s="130">
        <f t="shared" si="0"/>
        <v>6907</v>
      </c>
      <c r="AD49"/>
      <c r="AE49" s="128"/>
      <c r="AF49" s="128"/>
      <c r="AG49" s="128"/>
    </row>
    <row r="50" spans="1:33" x14ac:dyDescent="0.2">
      <c r="A50" s="82">
        <v>2015</v>
      </c>
      <c r="B50" s="83" t="s">
        <v>80</v>
      </c>
      <c r="C50" s="86"/>
      <c r="D50" s="128">
        <v>17336606.376991</v>
      </c>
      <c r="E50" s="128">
        <v>131340</v>
      </c>
      <c r="F50" s="128">
        <v>4123564.6899999985</v>
      </c>
      <c r="G50" s="128">
        <v>6190</v>
      </c>
      <c r="H50" s="128">
        <v>1925951.4100000001</v>
      </c>
      <c r="I50" s="128">
        <v>635</v>
      </c>
      <c r="J50" s="128">
        <v>3798796.98</v>
      </c>
      <c r="K50" s="128">
        <v>10779.610000000002</v>
      </c>
      <c r="L50" s="128">
        <v>79</v>
      </c>
      <c r="M50" s="128">
        <v>3716589.4899999998</v>
      </c>
      <c r="N50" s="128">
        <v>8528.2300000000014</v>
      </c>
      <c r="O50" s="128">
        <v>10</v>
      </c>
      <c r="P50" s="128">
        <v>3256216.5200000005</v>
      </c>
      <c r="Q50" s="128">
        <v>5737.4400000000005</v>
      </c>
      <c r="R50" s="128">
        <v>2</v>
      </c>
      <c r="S50" s="128">
        <v>36533.78</v>
      </c>
      <c r="T50" s="87"/>
      <c r="U50" s="128">
        <v>59</v>
      </c>
      <c r="V50" s="128">
        <v>9030.73</v>
      </c>
      <c r="W50" s="128">
        <v>25.939999999999998</v>
      </c>
      <c r="X50" s="128">
        <v>124</v>
      </c>
      <c r="Y50" s="128">
        <v>123300.95999999999</v>
      </c>
      <c r="Z50" s="128">
        <v>353.67</v>
      </c>
      <c r="AA50" s="128">
        <v>1</v>
      </c>
      <c r="AB50"/>
      <c r="AC50" s="130">
        <f t="shared" si="0"/>
        <v>6917</v>
      </c>
      <c r="AD50"/>
      <c r="AE50" s="128"/>
      <c r="AF50" s="128"/>
      <c r="AG50" s="128"/>
    </row>
    <row r="51" spans="1:33" x14ac:dyDescent="0.2">
      <c r="A51" s="82">
        <v>2015</v>
      </c>
      <c r="B51" s="83" t="s">
        <v>81</v>
      </c>
      <c r="C51" s="86"/>
      <c r="D51" s="128">
        <v>15431602.3445752</v>
      </c>
      <c r="E51" s="128">
        <v>188838.86</v>
      </c>
      <c r="F51" s="128">
        <v>3537708.0300000045</v>
      </c>
      <c r="G51" s="128">
        <v>6194</v>
      </c>
      <c r="H51" s="128">
        <v>1686666.4800000007</v>
      </c>
      <c r="I51" s="128">
        <v>631</v>
      </c>
      <c r="J51" s="128">
        <v>3384965.1000000006</v>
      </c>
      <c r="K51" s="128">
        <v>10577.369999999999</v>
      </c>
      <c r="L51" s="128">
        <v>79</v>
      </c>
      <c r="M51" s="128">
        <v>3527505.4499999997</v>
      </c>
      <c r="N51" s="128">
        <v>8348.1299999999992</v>
      </c>
      <c r="O51" s="128">
        <v>10</v>
      </c>
      <c r="P51" s="128">
        <v>2983757.04</v>
      </c>
      <c r="Q51" s="128">
        <v>5737.15</v>
      </c>
      <c r="R51" s="128">
        <v>2</v>
      </c>
      <c r="S51" s="128">
        <v>31811.719999999998</v>
      </c>
      <c r="T51" s="87"/>
      <c r="U51" s="128">
        <v>60</v>
      </c>
      <c r="V51" s="128">
        <v>8998.5600000000013</v>
      </c>
      <c r="W51" s="128">
        <v>23.97</v>
      </c>
      <c r="X51" s="128">
        <v>124</v>
      </c>
      <c r="Y51" s="128">
        <v>107069.81999999999</v>
      </c>
      <c r="Z51" s="128">
        <v>294.25000000000006</v>
      </c>
      <c r="AA51" s="128">
        <v>1</v>
      </c>
      <c r="AB51"/>
      <c r="AC51" s="130">
        <f t="shared" si="0"/>
        <v>6917</v>
      </c>
      <c r="AD51"/>
      <c r="AE51" s="128"/>
      <c r="AF51" s="128"/>
      <c r="AG51" s="128"/>
    </row>
    <row r="52" spans="1:33" x14ac:dyDescent="0.2">
      <c r="A52" s="82">
        <v>2015</v>
      </c>
      <c r="B52" s="83" t="s">
        <v>52</v>
      </c>
      <c r="C52" s="86"/>
      <c r="D52" s="128">
        <v>15714580.900030101</v>
      </c>
      <c r="E52" s="128">
        <v>234490.39</v>
      </c>
      <c r="F52" s="128">
        <v>3656146.6399999973</v>
      </c>
      <c r="G52" s="128">
        <v>6200</v>
      </c>
      <c r="H52" s="128">
        <v>1712420.3199999998</v>
      </c>
      <c r="I52" s="128">
        <v>634</v>
      </c>
      <c r="J52" s="128">
        <v>3463271.2499999991</v>
      </c>
      <c r="K52" s="128">
        <v>11495.159999999998</v>
      </c>
      <c r="L52" s="128">
        <v>79</v>
      </c>
      <c r="M52" s="128">
        <v>3624782.2500000005</v>
      </c>
      <c r="N52" s="128">
        <v>8754.2799999999988</v>
      </c>
      <c r="O52" s="128">
        <v>10</v>
      </c>
      <c r="P52" s="128">
        <v>3158199.88</v>
      </c>
      <c r="Q52" s="128">
        <v>5727.4699999999993</v>
      </c>
      <c r="R52" s="128">
        <v>2</v>
      </c>
      <c r="S52" s="128">
        <v>37784.219999999994</v>
      </c>
      <c r="T52" s="87"/>
      <c r="U52" s="128">
        <v>60</v>
      </c>
      <c r="V52" s="128">
        <v>11282.570000000003</v>
      </c>
      <c r="W52" s="128">
        <v>28.130000000000003</v>
      </c>
      <c r="X52" s="128">
        <v>124</v>
      </c>
      <c r="Y52" s="128">
        <v>96938.49</v>
      </c>
      <c r="Z52" s="128">
        <v>331.85</v>
      </c>
      <c r="AA52" s="128">
        <v>1</v>
      </c>
      <c r="AB52"/>
      <c r="AC52" s="130">
        <f t="shared" si="0"/>
        <v>6926</v>
      </c>
      <c r="AD52"/>
      <c r="AE52" s="128"/>
      <c r="AF52" s="128"/>
      <c r="AG52" s="128"/>
    </row>
    <row r="53" spans="1:33" x14ac:dyDescent="0.2">
      <c r="A53" s="82">
        <v>2015</v>
      </c>
      <c r="B53" s="83" t="s">
        <v>82</v>
      </c>
      <c r="C53" s="86"/>
      <c r="D53" s="128">
        <v>16466478.565145399</v>
      </c>
      <c r="E53" s="128">
        <v>216211.88</v>
      </c>
      <c r="F53" s="128">
        <v>3935900.3399999961</v>
      </c>
      <c r="G53" s="128">
        <v>6202</v>
      </c>
      <c r="H53" s="128">
        <v>1762963.579999998</v>
      </c>
      <c r="I53" s="128">
        <v>636</v>
      </c>
      <c r="J53" s="128">
        <v>3546221.68</v>
      </c>
      <c r="K53" s="128">
        <v>11402.939999999999</v>
      </c>
      <c r="L53" s="128">
        <v>79</v>
      </c>
      <c r="M53" s="128">
        <v>3799701.67</v>
      </c>
      <c r="N53" s="128">
        <v>8919.57</v>
      </c>
      <c r="O53" s="128">
        <v>10</v>
      </c>
      <c r="P53" s="128">
        <v>3005670.84</v>
      </c>
      <c r="Q53" s="128">
        <v>5822.57</v>
      </c>
      <c r="R53" s="128">
        <v>2</v>
      </c>
      <c r="S53" s="128">
        <v>26689.610000000004</v>
      </c>
      <c r="T53" s="87"/>
      <c r="U53" s="128">
        <v>60</v>
      </c>
      <c r="V53" s="128">
        <v>8738.64</v>
      </c>
      <c r="W53" s="128">
        <v>21.340000000000003</v>
      </c>
      <c r="X53" s="128">
        <v>124</v>
      </c>
      <c r="Y53" s="128">
        <v>87434.36</v>
      </c>
      <c r="Z53" s="128">
        <v>273.66000000000003</v>
      </c>
      <c r="AA53" s="128">
        <v>1</v>
      </c>
      <c r="AB53"/>
      <c r="AC53" s="130">
        <f t="shared" si="0"/>
        <v>6930</v>
      </c>
      <c r="AD53"/>
      <c r="AE53" s="128"/>
      <c r="AF53" s="128"/>
      <c r="AG53" s="128"/>
    </row>
    <row r="54" spans="1:33" x14ac:dyDescent="0.2">
      <c r="A54" s="82">
        <v>2015</v>
      </c>
      <c r="B54" s="83" t="s">
        <v>83</v>
      </c>
      <c r="C54" s="86"/>
      <c r="D54" s="128">
        <v>17832468.7705051</v>
      </c>
      <c r="E54" s="128">
        <v>236496.12</v>
      </c>
      <c r="F54" s="128">
        <v>4680090.2299999828</v>
      </c>
      <c r="G54" s="128">
        <v>6202</v>
      </c>
      <c r="H54" s="128">
        <v>1907170.04</v>
      </c>
      <c r="I54" s="128">
        <v>635</v>
      </c>
      <c r="J54" s="128">
        <v>3600214.8199999984</v>
      </c>
      <c r="K54" s="128">
        <v>11132.81</v>
      </c>
      <c r="L54" s="128">
        <v>80</v>
      </c>
      <c r="M54" s="128">
        <v>3690877.3899999997</v>
      </c>
      <c r="N54" s="128">
        <v>9369</v>
      </c>
      <c r="O54" s="128">
        <v>10</v>
      </c>
      <c r="P54" s="128">
        <v>3166679.56</v>
      </c>
      <c r="Q54" s="128">
        <v>6191.52</v>
      </c>
      <c r="R54" s="128">
        <v>2</v>
      </c>
      <c r="S54" s="128">
        <v>31727.78</v>
      </c>
      <c r="T54" s="87"/>
      <c r="U54" s="128">
        <v>60</v>
      </c>
      <c r="V54" s="128">
        <v>9029.93</v>
      </c>
      <c r="W54" s="128">
        <v>23.559999999999995</v>
      </c>
      <c r="X54" s="128">
        <v>124</v>
      </c>
      <c r="Y54" s="128">
        <v>91470.93</v>
      </c>
      <c r="Z54" s="128">
        <v>319.27</v>
      </c>
      <c r="AA54" s="128">
        <v>1</v>
      </c>
      <c r="AB54"/>
      <c r="AC54" s="130">
        <f t="shared" si="0"/>
        <v>6930</v>
      </c>
      <c r="AD54"/>
      <c r="AE54" s="128"/>
      <c r="AF54" s="128"/>
      <c r="AG54" s="128"/>
    </row>
    <row r="55" spans="1:33" x14ac:dyDescent="0.2">
      <c r="A55" s="82">
        <v>2015</v>
      </c>
      <c r="B55" s="83" t="s">
        <v>84</v>
      </c>
      <c r="C55" s="86"/>
      <c r="D55" s="128">
        <v>17689334.808662601</v>
      </c>
      <c r="E55" s="128">
        <v>224002.43</v>
      </c>
      <c r="F55" s="128">
        <v>4797702.5799999861</v>
      </c>
      <c r="G55" s="128">
        <v>6204</v>
      </c>
      <c r="H55" s="128">
        <v>1963632.5699999991</v>
      </c>
      <c r="I55" s="128">
        <v>634</v>
      </c>
      <c r="J55" s="128">
        <v>3708371.2100000014</v>
      </c>
      <c r="K55" s="128">
        <v>11822.209999999995</v>
      </c>
      <c r="L55" s="128">
        <v>80</v>
      </c>
      <c r="M55" s="128">
        <v>3914746.11</v>
      </c>
      <c r="N55" s="128">
        <v>9172.51</v>
      </c>
      <c r="O55" s="128">
        <v>10</v>
      </c>
      <c r="P55" s="128">
        <v>3191882.2399999998</v>
      </c>
      <c r="Q55" s="128">
        <v>6200.1</v>
      </c>
      <c r="R55" s="128">
        <v>2</v>
      </c>
      <c r="S55" s="128">
        <v>32838.099999999991</v>
      </c>
      <c r="T55" s="87"/>
      <c r="U55" s="128">
        <v>60</v>
      </c>
      <c r="V55" s="128">
        <v>9029.92</v>
      </c>
      <c r="W55" s="128">
        <v>25.04999999999999</v>
      </c>
      <c r="X55" s="128">
        <v>124</v>
      </c>
      <c r="Y55" s="128">
        <v>103523.45</v>
      </c>
      <c r="Z55" s="128">
        <v>319.27</v>
      </c>
      <c r="AA55" s="128">
        <v>1</v>
      </c>
      <c r="AB55"/>
      <c r="AC55" s="130">
        <f t="shared" si="0"/>
        <v>6931</v>
      </c>
      <c r="AD55"/>
      <c r="AE55" s="128"/>
      <c r="AF55" s="128"/>
      <c r="AG55" s="128"/>
    </row>
    <row r="56" spans="1:33" x14ac:dyDescent="0.2">
      <c r="A56" s="82">
        <v>2015</v>
      </c>
      <c r="B56" s="83" t="s">
        <v>85</v>
      </c>
      <c r="C56" s="86"/>
      <c r="D56" s="128">
        <v>16970033.974765901</v>
      </c>
      <c r="E56" s="128">
        <v>187769.36</v>
      </c>
      <c r="F56" s="128">
        <v>4028041.5599999945</v>
      </c>
      <c r="G56" s="128">
        <v>6212</v>
      </c>
      <c r="H56" s="128">
        <v>1732582.709999999</v>
      </c>
      <c r="I56" s="128">
        <v>634</v>
      </c>
      <c r="J56" s="128">
        <v>3532410.75</v>
      </c>
      <c r="K56" s="128">
        <v>11894.63</v>
      </c>
      <c r="L56" s="128">
        <v>80</v>
      </c>
      <c r="M56" s="128">
        <v>3823911.58</v>
      </c>
      <c r="N56" s="128">
        <v>9518.1799999999985</v>
      </c>
      <c r="O56" s="128">
        <v>10</v>
      </c>
      <c r="P56" s="128">
        <v>3067332.24</v>
      </c>
      <c r="Q56" s="128">
        <v>5920.34</v>
      </c>
      <c r="R56" s="128">
        <v>2</v>
      </c>
      <c r="S56" s="128">
        <v>32358.910000000003</v>
      </c>
      <c r="T56" s="87"/>
      <c r="U56" s="128">
        <v>60</v>
      </c>
      <c r="V56" s="128">
        <v>8738.6400000000031</v>
      </c>
      <c r="W56" s="128">
        <v>23.829999999999991</v>
      </c>
      <c r="X56" s="128">
        <v>124</v>
      </c>
      <c r="Y56" s="128">
        <v>112143.52</v>
      </c>
      <c r="Z56" s="128">
        <v>319.27</v>
      </c>
      <c r="AA56" s="128">
        <v>1</v>
      </c>
      <c r="AB56"/>
      <c r="AC56" s="130">
        <f t="shared" si="0"/>
        <v>6939</v>
      </c>
      <c r="AD56"/>
      <c r="AE56" s="128"/>
      <c r="AF56" s="128"/>
      <c r="AG56" s="128"/>
    </row>
    <row r="57" spans="1:33" x14ac:dyDescent="0.2">
      <c r="A57" s="82">
        <v>2015</v>
      </c>
      <c r="B57" s="83" t="s">
        <v>86</v>
      </c>
      <c r="C57" s="86"/>
      <c r="D57" s="128">
        <v>15849535.585155601</v>
      </c>
      <c r="E57" s="128">
        <v>130211.77</v>
      </c>
      <c r="F57" s="128">
        <v>3542901.6800000225</v>
      </c>
      <c r="G57" s="128">
        <v>6220</v>
      </c>
      <c r="H57" s="128">
        <v>1631935.7400000012</v>
      </c>
      <c r="I57" s="128">
        <v>635</v>
      </c>
      <c r="J57" s="128">
        <v>3546711.65</v>
      </c>
      <c r="K57" s="128">
        <v>11199.719999999998</v>
      </c>
      <c r="L57" s="128">
        <v>80</v>
      </c>
      <c r="M57" s="128">
        <v>3535831.24</v>
      </c>
      <c r="N57" s="128">
        <v>8372.26</v>
      </c>
      <c r="O57" s="128">
        <v>10</v>
      </c>
      <c r="P57" s="128">
        <v>3116402.4800000004</v>
      </c>
      <c r="Q57" s="128">
        <v>5873.75</v>
      </c>
      <c r="R57" s="128">
        <v>2</v>
      </c>
      <c r="S57" s="128">
        <v>33349.020000000004</v>
      </c>
      <c r="T57" s="87"/>
      <c r="U57" s="128">
        <v>60</v>
      </c>
      <c r="V57" s="128">
        <v>9029.93</v>
      </c>
      <c r="W57" s="128">
        <v>24.770000000000003</v>
      </c>
      <c r="X57" s="128">
        <v>124</v>
      </c>
      <c r="Y57" s="128">
        <v>130661.32</v>
      </c>
      <c r="Z57" s="128">
        <v>319.27</v>
      </c>
      <c r="AA57" s="128">
        <v>1</v>
      </c>
      <c r="AB57"/>
      <c r="AC57" s="130">
        <f t="shared" si="0"/>
        <v>6948</v>
      </c>
      <c r="AD57"/>
      <c r="AE57" s="128"/>
      <c r="AF57" s="128"/>
      <c r="AG57" s="128"/>
    </row>
    <row r="58" spans="1:33" x14ac:dyDescent="0.2">
      <c r="A58" s="82">
        <v>2015</v>
      </c>
      <c r="B58" s="83" t="s">
        <v>87</v>
      </c>
      <c r="C58" s="86"/>
      <c r="D58" s="128">
        <v>15784734.9306246</v>
      </c>
      <c r="E58" s="128">
        <v>103572.1</v>
      </c>
      <c r="F58" s="128">
        <v>3617783.4499999997</v>
      </c>
      <c r="G58" s="128">
        <v>6228</v>
      </c>
      <c r="H58" s="128">
        <v>1625274.3500000006</v>
      </c>
      <c r="I58" s="128">
        <v>630</v>
      </c>
      <c r="J58" s="128">
        <v>3527888.4</v>
      </c>
      <c r="K58" s="128">
        <v>10856.439999999997</v>
      </c>
      <c r="L58" s="128">
        <v>80</v>
      </c>
      <c r="M58" s="128">
        <v>3490400.7700000005</v>
      </c>
      <c r="N58" s="128">
        <v>8181.5499999999993</v>
      </c>
      <c r="O58" s="128">
        <v>10</v>
      </c>
      <c r="P58" s="128">
        <v>2939661.24</v>
      </c>
      <c r="Q58" s="128">
        <v>5722.23</v>
      </c>
      <c r="R58" s="128">
        <v>2</v>
      </c>
      <c r="S58" s="128">
        <v>32492.949999999997</v>
      </c>
      <c r="T58" s="87"/>
      <c r="U58" s="128">
        <v>60</v>
      </c>
      <c r="V58" s="128">
        <v>9199.4499999999989</v>
      </c>
      <c r="W58" s="128">
        <v>26.79</v>
      </c>
      <c r="X58" s="128">
        <v>124</v>
      </c>
      <c r="Y58" s="128">
        <v>138483.51</v>
      </c>
      <c r="Z58" s="128">
        <v>319.27</v>
      </c>
      <c r="AA58" s="128">
        <v>1</v>
      </c>
      <c r="AB58"/>
      <c r="AC58" s="130">
        <f t="shared" si="0"/>
        <v>6951</v>
      </c>
      <c r="AD58"/>
      <c r="AE58" s="128"/>
      <c r="AF58" s="128"/>
      <c r="AG58" s="128"/>
    </row>
    <row r="59" spans="1:33" x14ac:dyDescent="0.2">
      <c r="A59" s="82">
        <v>2015</v>
      </c>
      <c r="B59" s="83" t="s">
        <v>88</v>
      </c>
      <c r="C59" s="86"/>
      <c r="D59" s="128">
        <v>15614760.4172771</v>
      </c>
      <c r="E59" s="128">
        <v>39308.550000000003</v>
      </c>
      <c r="F59" s="128">
        <v>4217729.2200000202</v>
      </c>
      <c r="G59" s="128">
        <v>6235</v>
      </c>
      <c r="H59" s="128">
        <v>1749663.3200000005</v>
      </c>
      <c r="I59" s="128">
        <v>638</v>
      </c>
      <c r="J59" s="128">
        <v>3450080.5900000008</v>
      </c>
      <c r="K59" s="128">
        <v>11523.019999999997</v>
      </c>
      <c r="L59" s="128">
        <v>79</v>
      </c>
      <c r="M59" s="128">
        <v>3168435.9599999995</v>
      </c>
      <c r="N59" s="128">
        <v>8083.1</v>
      </c>
      <c r="O59" s="128">
        <v>10</v>
      </c>
      <c r="P59" s="128">
        <v>2447870.88</v>
      </c>
      <c r="Q59" s="128">
        <v>5780.2</v>
      </c>
      <c r="R59" s="128">
        <v>2</v>
      </c>
      <c r="S59" s="128">
        <v>32152.57</v>
      </c>
      <c r="T59" s="87"/>
      <c r="U59" s="128">
        <v>60</v>
      </c>
      <c r="V59" s="128">
        <v>10128.770000000002</v>
      </c>
      <c r="W59" s="128">
        <v>28.11</v>
      </c>
      <c r="X59" s="128">
        <v>124</v>
      </c>
      <c r="Y59" s="128">
        <v>150695.51999999999</v>
      </c>
      <c r="Z59" s="128">
        <v>319.27</v>
      </c>
      <c r="AA59" s="128">
        <v>1</v>
      </c>
      <c r="AB59"/>
      <c r="AC59" s="130">
        <f t="shared" si="0"/>
        <v>6965</v>
      </c>
      <c r="AD59"/>
      <c r="AE59" s="128"/>
      <c r="AF59" s="128"/>
      <c r="AG59" s="128"/>
    </row>
    <row r="60" spans="1:33" x14ac:dyDescent="0.2">
      <c r="A60" s="82">
        <v>2016</v>
      </c>
      <c r="B60" s="83" t="s">
        <v>78</v>
      </c>
      <c r="C60" s="86"/>
      <c r="D60" s="127">
        <v>17214578.510000002</v>
      </c>
      <c r="E60" s="127">
        <v>62079.97</v>
      </c>
      <c r="F60" s="127">
        <v>4397742.4300000183</v>
      </c>
      <c r="G60" s="127">
        <v>6244</v>
      </c>
      <c r="H60" s="127">
        <v>1888735.4900000005</v>
      </c>
      <c r="I60" s="127">
        <v>637</v>
      </c>
      <c r="J60" s="127">
        <v>3722105.9899999998</v>
      </c>
      <c r="K60" s="127">
        <v>12046.69</v>
      </c>
      <c r="L60" s="127">
        <v>79</v>
      </c>
      <c r="M60" s="127">
        <v>3623683.77</v>
      </c>
      <c r="N60" s="127">
        <v>8753.4599999999991</v>
      </c>
      <c r="O60" s="127">
        <v>10</v>
      </c>
      <c r="P60" s="127">
        <v>2887485.56</v>
      </c>
      <c r="Q60" s="127">
        <v>5844.63</v>
      </c>
      <c r="R60" s="127">
        <v>2</v>
      </c>
      <c r="S60" s="127">
        <v>30721.310000000005</v>
      </c>
      <c r="T60" s="85"/>
      <c r="U60" s="127">
        <v>60</v>
      </c>
      <c r="V60" s="127">
        <v>9136.27</v>
      </c>
      <c r="W60" s="127">
        <v>25.5</v>
      </c>
      <c r="X60" s="127">
        <v>124</v>
      </c>
      <c r="Y60" s="127">
        <v>148460.54999999999</v>
      </c>
      <c r="Z60" s="127">
        <v>319.27</v>
      </c>
      <c r="AA60" s="127">
        <v>1</v>
      </c>
      <c r="AB60"/>
      <c r="AC60" s="130">
        <f t="shared" si="0"/>
        <v>6973</v>
      </c>
      <c r="AD60"/>
      <c r="AE60" s="127">
        <v>1398553.38</v>
      </c>
      <c r="AF60" s="127">
        <v>3419.65</v>
      </c>
      <c r="AG60" s="127">
        <v>5</v>
      </c>
    </row>
    <row r="61" spans="1:33" x14ac:dyDescent="0.2">
      <c r="A61" s="82">
        <v>2016</v>
      </c>
      <c r="B61" s="83" t="s">
        <v>79</v>
      </c>
      <c r="C61" s="86"/>
      <c r="D61" s="128">
        <v>16327741.550000001</v>
      </c>
      <c r="E61" s="128">
        <v>71513.490000000005</v>
      </c>
      <c r="F61" s="128">
        <v>3933873.240000003</v>
      </c>
      <c r="G61" s="128">
        <v>6250</v>
      </c>
      <c r="H61" s="128">
        <v>1703905.6099999999</v>
      </c>
      <c r="I61" s="128">
        <v>634</v>
      </c>
      <c r="J61" s="128">
        <v>3723329.1099999989</v>
      </c>
      <c r="K61" s="128">
        <v>11203.300000000001</v>
      </c>
      <c r="L61" s="128">
        <v>79</v>
      </c>
      <c r="M61" s="128">
        <v>3366180.46</v>
      </c>
      <c r="N61" s="128">
        <v>8109.31</v>
      </c>
      <c r="O61" s="128">
        <v>10</v>
      </c>
      <c r="P61" s="128">
        <v>2979480.16</v>
      </c>
      <c r="Q61" s="128">
        <v>5930.29</v>
      </c>
      <c r="R61" s="128">
        <v>2</v>
      </c>
      <c r="S61" s="128">
        <v>33104.85</v>
      </c>
      <c r="T61" s="87"/>
      <c r="U61" s="128">
        <v>60</v>
      </c>
      <c r="V61" s="128">
        <v>8459.59</v>
      </c>
      <c r="W61" s="128">
        <v>23.97</v>
      </c>
      <c r="X61" s="128">
        <v>124</v>
      </c>
      <c r="Y61" s="128">
        <v>138882.45000000001</v>
      </c>
      <c r="Z61" s="128">
        <v>319.27</v>
      </c>
      <c r="AA61" s="128">
        <v>1</v>
      </c>
      <c r="AB61"/>
      <c r="AC61" s="130">
        <f t="shared" si="0"/>
        <v>6976</v>
      </c>
      <c r="AD61"/>
      <c r="AE61" s="128">
        <v>1222410.74</v>
      </c>
      <c r="AF61" s="128">
        <v>3001.05</v>
      </c>
      <c r="AG61" s="128">
        <f>AG60</f>
        <v>5</v>
      </c>
    </row>
    <row r="62" spans="1:33" x14ac:dyDescent="0.2">
      <c r="A62" s="82">
        <v>2016</v>
      </c>
      <c r="B62" s="83" t="s">
        <v>80</v>
      </c>
      <c r="C62" s="86"/>
      <c r="D62" s="128">
        <v>16387708.84</v>
      </c>
      <c r="E62" s="128">
        <v>128194.3</v>
      </c>
      <c r="F62" s="128">
        <v>3845895.6700000078</v>
      </c>
      <c r="G62" s="128">
        <v>6256</v>
      </c>
      <c r="H62" s="128">
        <v>1726375.2499999988</v>
      </c>
      <c r="I62" s="128">
        <v>635</v>
      </c>
      <c r="J62" s="128">
        <v>3711937.100000001</v>
      </c>
      <c r="K62" s="128">
        <v>11169.310000000003</v>
      </c>
      <c r="L62" s="128">
        <v>80</v>
      </c>
      <c r="M62" s="128">
        <v>3564151.5799999996</v>
      </c>
      <c r="N62" s="128">
        <v>8601.66</v>
      </c>
      <c r="O62" s="128">
        <v>10</v>
      </c>
      <c r="P62" s="128">
        <v>3070518</v>
      </c>
      <c r="Q62" s="128">
        <v>5839.4699999999993</v>
      </c>
      <c r="R62" s="128">
        <v>2</v>
      </c>
      <c r="S62" s="128">
        <v>32186.86</v>
      </c>
      <c r="T62" s="87"/>
      <c r="U62" s="128">
        <v>60</v>
      </c>
      <c r="V62" s="128">
        <v>9017.6899999999987</v>
      </c>
      <c r="W62" s="128">
        <v>23.47</v>
      </c>
      <c r="X62" s="128">
        <v>124</v>
      </c>
      <c r="Y62" s="128">
        <v>124116.37</v>
      </c>
      <c r="Z62" s="128">
        <v>319.27</v>
      </c>
      <c r="AA62" s="128">
        <v>1</v>
      </c>
      <c r="AB62"/>
      <c r="AC62" s="130">
        <f t="shared" si="0"/>
        <v>6984</v>
      </c>
      <c r="AD62"/>
      <c r="AE62" s="128">
        <v>1328244.3800000001</v>
      </c>
      <c r="AF62" s="128">
        <v>3529.17</v>
      </c>
      <c r="AG62" s="128">
        <f t="shared" ref="AG62:AG125" si="1">AG61</f>
        <v>5</v>
      </c>
    </row>
    <row r="63" spans="1:33" x14ac:dyDescent="0.2">
      <c r="A63" s="82">
        <v>2016</v>
      </c>
      <c r="B63" s="83" t="s">
        <v>81</v>
      </c>
      <c r="C63" s="86"/>
      <c r="D63" s="128">
        <v>15295315.789999999</v>
      </c>
      <c r="E63" s="128">
        <v>189041.49</v>
      </c>
      <c r="F63" s="128">
        <v>3501905.9500000034</v>
      </c>
      <c r="G63" s="128">
        <v>6264</v>
      </c>
      <c r="H63" s="128">
        <v>1601602.3099999994</v>
      </c>
      <c r="I63" s="128">
        <v>638</v>
      </c>
      <c r="J63" s="128">
        <v>3534708.46</v>
      </c>
      <c r="K63" s="128">
        <v>11312.249999999996</v>
      </c>
      <c r="L63" s="128">
        <v>80</v>
      </c>
      <c r="M63" s="128">
        <v>3312879.07</v>
      </c>
      <c r="N63" s="128">
        <v>8122.57</v>
      </c>
      <c r="O63" s="128">
        <v>10</v>
      </c>
      <c r="P63" s="128">
        <v>2913184.6</v>
      </c>
      <c r="Q63" s="128">
        <v>5839.25</v>
      </c>
      <c r="R63" s="128">
        <v>2</v>
      </c>
      <c r="S63" s="128">
        <v>31215.839999999997</v>
      </c>
      <c r="T63" s="87"/>
      <c r="U63" s="128">
        <v>60</v>
      </c>
      <c r="V63" s="128">
        <v>8738.64</v>
      </c>
      <c r="W63" s="128">
        <v>24.029999999999994</v>
      </c>
      <c r="X63" s="128">
        <v>124</v>
      </c>
      <c r="Y63" s="128">
        <v>105838.01</v>
      </c>
      <c r="Z63" s="128">
        <v>319.27</v>
      </c>
      <c r="AA63" s="128">
        <v>1</v>
      </c>
      <c r="AB63"/>
      <c r="AC63" s="130">
        <f t="shared" si="0"/>
        <v>6995</v>
      </c>
      <c r="AD63"/>
      <c r="AE63" s="128">
        <v>1253861.8099999998</v>
      </c>
      <c r="AF63" s="128">
        <v>2961.3</v>
      </c>
      <c r="AG63" s="128">
        <f t="shared" si="1"/>
        <v>5</v>
      </c>
    </row>
    <row r="64" spans="1:33" x14ac:dyDescent="0.2">
      <c r="A64" s="82">
        <v>2016</v>
      </c>
      <c r="B64" s="83" t="s">
        <v>52</v>
      </c>
      <c r="C64" s="86"/>
      <c r="D64" s="128">
        <v>15349497.890000001</v>
      </c>
      <c r="E64" s="128">
        <v>239387.64</v>
      </c>
      <c r="F64" s="128">
        <v>3623309.4000000046</v>
      </c>
      <c r="G64" s="128">
        <v>6273</v>
      </c>
      <c r="H64" s="128">
        <v>1672462.5900000024</v>
      </c>
      <c r="I64" s="128">
        <v>637</v>
      </c>
      <c r="J64" s="128">
        <v>3562102.0099999988</v>
      </c>
      <c r="K64" s="128">
        <v>11882.21</v>
      </c>
      <c r="L64" s="128">
        <v>80</v>
      </c>
      <c r="M64" s="128">
        <v>3262764.68</v>
      </c>
      <c r="N64" s="128">
        <v>8731.82</v>
      </c>
      <c r="O64" s="128">
        <v>10</v>
      </c>
      <c r="P64" s="128">
        <v>2921383.6</v>
      </c>
      <c r="Q64" s="128">
        <v>5978.58</v>
      </c>
      <c r="R64" s="128">
        <v>2</v>
      </c>
      <c r="S64" s="128">
        <v>33198.14</v>
      </c>
      <c r="T64" s="87"/>
      <c r="U64" s="128">
        <v>60</v>
      </c>
      <c r="V64" s="128">
        <v>9029.93</v>
      </c>
      <c r="W64" s="128">
        <v>22.96</v>
      </c>
      <c r="X64" s="128">
        <v>124</v>
      </c>
      <c r="Y64" s="128">
        <v>96898.37</v>
      </c>
      <c r="Z64" s="128">
        <v>319.27</v>
      </c>
      <c r="AA64" s="128">
        <v>1</v>
      </c>
      <c r="AB64"/>
      <c r="AC64" s="130">
        <f t="shared" si="0"/>
        <v>7003</v>
      </c>
      <c r="AD64"/>
      <c r="AE64" s="128">
        <v>1195532.79</v>
      </c>
      <c r="AF64" s="128">
        <v>3170.57</v>
      </c>
      <c r="AG64" s="128">
        <f t="shared" si="1"/>
        <v>5</v>
      </c>
    </row>
    <row r="65" spans="1:33" x14ac:dyDescent="0.2">
      <c r="A65" s="82">
        <v>2016</v>
      </c>
      <c r="B65" s="83" t="s">
        <v>82</v>
      </c>
      <c r="C65" s="86"/>
      <c r="D65" s="128">
        <v>16760016.93</v>
      </c>
      <c r="E65" s="128">
        <v>264615.24</v>
      </c>
      <c r="F65" s="128">
        <v>4296970.3100000033</v>
      </c>
      <c r="G65" s="128">
        <v>6281</v>
      </c>
      <c r="H65" s="128">
        <v>1815810.249999996</v>
      </c>
      <c r="I65" s="128">
        <v>641</v>
      </c>
      <c r="J65" s="128">
        <v>3681403.96</v>
      </c>
      <c r="K65" s="128">
        <v>12218.379999999997</v>
      </c>
      <c r="L65" s="128">
        <v>80</v>
      </c>
      <c r="M65" s="128">
        <v>3633908.46</v>
      </c>
      <c r="N65" s="128">
        <v>9026.08</v>
      </c>
      <c r="O65" s="128">
        <v>10</v>
      </c>
      <c r="P65" s="128">
        <v>3020883.92</v>
      </c>
      <c r="Q65" s="128">
        <v>5998.06</v>
      </c>
      <c r="R65" s="128">
        <v>2</v>
      </c>
      <c r="S65" s="128">
        <v>33714.42</v>
      </c>
      <c r="T65" s="87"/>
      <c r="U65" s="128">
        <v>60</v>
      </c>
      <c r="V65" s="128">
        <v>7997.7599999999993</v>
      </c>
      <c r="W65" s="128">
        <v>23.599999999999994</v>
      </c>
      <c r="X65" s="128">
        <v>124</v>
      </c>
      <c r="Y65" s="128">
        <v>86442.35</v>
      </c>
      <c r="Z65" s="128">
        <v>319.27</v>
      </c>
      <c r="AA65" s="128">
        <v>1</v>
      </c>
      <c r="AB65"/>
      <c r="AC65" s="130">
        <f t="shared" si="0"/>
        <v>7015</v>
      </c>
      <c r="AD65"/>
      <c r="AE65" s="128">
        <v>1306218.8199999998</v>
      </c>
      <c r="AF65" s="128">
        <v>3313.71</v>
      </c>
      <c r="AG65" s="128">
        <f t="shared" si="1"/>
        <v>5</v>
      </c>
    </row>
    <row r="66" spans="1:33" x14ac:dyDescent="0.2">
      <c r="A66" s="82">
        <v>2016</v>
      </c>
      <c r="B66" s="83" t="s">
        <v>83</v>
      </c>
      <c r="C66" s="86"/>
      <c r="D66" s="128">
        <v>17584612.699999999</v>
      </c>
      <c r="E66" s="128">
        <v>249446.96</v>
      </c>
      <c r="F66" s="128">
        <v>5416576.4199999822</v>
      </c>
      <c r="G66" s="128">
        <v>6298</v>
      </c>
      <c r="H66" s="128">
        <v>2073749.650000002</v>
      </c>
      <c r="I66" s="128">
        <v>638</v>
      </c>
      <c r="J66" s="128">
        <v>3673170.86</v>
      </c>
      <c r="K66" s="128">
        <v>11995.239999999998</v>
      </c>
      <c r="L66" s="128">
        <v>80</v>
      </c>
      <c r="M66" s="128">
        <v>3494999.31</v>
      </c>
      <c r="N66" s="128">
        <v>9183.7099999999991</v>
      </c>
      <c r="O66" s="128">
        <v>10</v>
      </c>
      <c r="P66" s="128">
        <v>2561864.04</v>
      </c>
      <c r="Q66" s="128">
        <v>5893.38</v>
      </c>
      <c r="R66" s="128">
        <v>2</v>
      </c>
      <c r="S66" s="128">
        <v>30918.379999999997</v>
      </c>
      <c r="T66" s="87"/>
      <c r="U66" s="128">
        <v>60</v>
      </c>
      <c r="V66" s="128">
        <v>8209.6600000000017</v>
      </c>
      <c r="W66" s="128">
        <v>21.47</v>
      </c>
      <c r="X66" s="128">
        <v>113</v>
      </c>
      <c r="Y66" s="128">
        <v>91470.93</v>
      </c>
      <c r="Z66" s="128">
        <v>319.27</v>
      </c>
      <c r="AA66" s="128">
        <v>1</v>
      </c>
      <c r="AB66"/>
      <c r="AC66" s="130">
        <f t="shared" si="0"/>
        <v>7029</v>
      </c>
      <c r="AD66"/>
      <c r="AE66" s="128">
        <v>1366765.55</v>
      </c>
      <c r="AF66" s="128">
        <v>3408.3699999999994</v>
      </c>
      <c r="AG66" s="128">
        <f t="shared" si="1"/>
        <v>5</v>
      </c>
    </row>
    <row r="67" spans="1:33" x14ac:dyDescent="0.2">
      <c r="A67" s="82">
        <v>2016</v>
      </c>
      <c r="B67" s="83" t="s">
        <v>84</v>
      </c>
      <c r="C67" s="86"/>
      <c r="D67" s="128">
        <v>20027554.73</v>
      </c>
      <c r="E67" s="128">
        <v>228668.65</v>
      </c>
      <c r="F67" s="128">
        <v>5556671.6299999896</v>
      </c>
      <c r="G67" s="128">
        <v>6314</v>
      </c>
      <c r="H67" s="128">
        <v>2079463.1900000013</v>
      </c>
      <c r="I67" s="128">
        <v>638</v>
      </c>
      <c r="J67" s="128">
        <v>4128897.6199999996</v>
      </c>
      <c r="K67" s="128">
        <v>12670.659999999996</v>
      </c>
      <c r="L67" s="128">
        <v>80</v>
      </c>
      <c r="M67" s="128">
        <v>4182277.77</v>
      </c>
      <c r="N67" s="128">
        <v>9395.3799999999992</v>
      </c>
      <c r="O67" s="128">
        <v>10</v>
      </c>
      <c r="P67" s="128">
        <v>3271533.7199999997</v>
      </c>
      <c r="Q67" s="128">
        <v>6354.89</v>
      </c>
      <c r="R67" s="128">
        <v>2</v>
      </c>
      <c r="S67" s="128">
        <v>32738.05</v>
      </c>
      <c r="T67" s="87"/>
      <c r="U67" s="128">
        <v>60</v>
      </c>
      <c r="V67" s="128">
        <v>8209.6700000000019</v>
      </c>
      <c r="W67" s="128">
        <v>21.810000000000002</v>
      </c>
      <c r="X67" s="128">
        <v>113</v>
      </c>
      <c r="Y67" s="128">
        <v>103523.45</v>
      </c>
      <c r="Z67" s="128">
        <v>319.27</v>
      </c>
      <c r="AA67" s="128">
        <v>1</v>
      </c>
      <c r="AB67"/>
      <c r="AC67" s="130">
        <f t="shared" si="0"/>
        <v>7045</v>
      </c>
      <c r="AD67"/>
      <c r="AE67" s="128">
        <v>1456378.23</v>
      </c>
      <c r="AF67" s="128">
        <v>3457.0999999999995</v>
      </c>
      <c r="AG67" s="128">
        <f t="shared" si="1"/>
        <v>5</v>
      </c>
    </row>
    <row r="68" spans="1:33" x14ac:dyDescent="0.2">
      <c r="A68" s="82">
        <v>2016</v>
      </c>
      <c r="B68" s="83" t="s">
        <v>85</v>
      </c>
      <c r="C68" s="86"/>
      <c r="D68" s="128">
        <v>17024200.449999999</v>
      </c>
      <c r="E68" s="128">
        <v>191588.72</v>
      </c>
      <c r="F68" s="128">
        <v>4174777.4699999993</v>
      </c>
      <c r="G68" s="128">
        <v>6325</v>
      </c>
      <c r="H68" s="128">
        <v>1772221.5199999954</v>
      </c>
      <c r="I68" s="128">
        <v>635</v>
      </c>
      <c r="J68" s="128">
        <v>3841411.4</v>
      </c>
      <c r="K68" s="128">
        <v>12621.550000000005</v>
      </c>
      <c r="L68" s="128">
        <v>80</v>
      </c>
      <c r="M68" s="128">
        <v>3737242.69</v>
      </c>
      <c r="N68" s="128">
        <v>9159.4600000000009</v>
      </c>
      <c r="O68" s="128">
        <v>10</v>
      </c>
      <c r="P68" s="128">
        <v>3185018.4400000004</v>
      </c>
      <c r="Q68" s="128">
        <v>6312.26</v>
      </c>
      <c r="R68" s="128">
        <v>2</v>
      </c>
      <c r="S68" s="128">
        <v>29396.040000000005</v>
      </c>
      <c r="T68" s="87"/>
      <c r="U68" s="128">
        <v>58</v>
      </c>
      <c r="V68" s="128">
        <v>7944.8399999999992</v>
      </c>
      <c r="W68" s="128">
        <v>21.52</v>
      </c>
      <c r="X68" s="128">
        <v>113</v>
      </c>
      <c r="Y68" s="128">
        <v>112143.52</v>
      </c>
      <c r="Z68" s="128">
        <v>319.27</v>
      </c>
      <c r="AA68" s="128">
        <v>1</v>
      </c>
      <c r="AB68"/>
      <c r="AC68" s="130">
        <f t="shared" si="0"/>
        <v>7053</v>
      </c>
      <c r="AD68"/>
      <c r="AE68" s="128">
        <v>1349320.0799999998</v>
      </c>
      <c r="AF68" s="128">
        <v>3290.2999999999997</v>
      </c>
      <c r="AG68" s="128">
        <f t="shared" si="1"/>
        <v>5</v>
      </c>
    </row>
    <row r="69" spans="1:33" x14ac:dyDescent="0.2">
      <c r="A69" s="82">
        <v>2016</v>
      </c>
      <c r="B69" s="83" t="s">
        <v>86</v>
      </c>
      <c r="C69" s="86"/>
      <c r="D69" s="128">
        <v>15911420.27</v>
      </c>
      <c r="E69" s="128">
        <v>132639.69</v>
      </c>
      <c r="F69" s="128">
        <v>3531378.7600000123</v>
      </c>
      <c r="G69" s="128">
        <v>6333</v>
      </c>
      <c r="H69" s="128">
        <v>1628253.7000000039</v>
      </c>
      <c r="I69" s="128">
        <v>638</v>
      </c>
      <c r="J69" s="128">
        <v>3659081.5800000019</v>
      </c>
      <c r="K69" s="128">
        <v>12296.610000000004</v>
      </c>
      <c r="L69" s="128">
        <v>80</v>
      </c>
      <c r="M69" s="128">
        <v>3484256.5899999994</v>
      </c>
      <c r="N69" s="128">
        <v>8461.18</v>
      </c>
      <c r="O69" s="128">
        <v>10</v>
      </c>
      <c r="P69" s="128">
        <v>3187346.16</v>
      </c>
      <c r="Q69" s="128">
        <v>6099.12</v>
      </c>
      <c r="R69" s="128">
        <v>2</v>
      </c>
      <c r="S69" s="128">
        <v>32154.43</v>
      </c>
      <c r="T69" s="87"/>
      <c r="U69" s="128">
        <v>59</v>
      </c>
      <c r="V69" s="128">
        <v>8209.6700000000019</v>
      </c>
      <c r="W69" s="128">
        <v>22.79</v>
      </c>
      <c r="X69" s="128">
        <v>113</v>
      </c>
      <c r="Y69" s="128">
        <v>130661.32</v>
      </c>
      <c r="Z69" s="128">
        <v>319.27</v>
      </c>
      <c r="AA69" s="128">
        <v>1</v>
      </c>
      <c r="AB69"/>
      <c r="AC69" s="130">
        <f t="shared" si="0"/>
        <v>7064</v>
      </c>
      <c r="AD69"/>
      <c r="AE69" s="128">
        <v>1234720.6599999999</v>
      </c>
      <c r="AF69" s="128">
        <v>2961.15</v>
      </c>
      <c r="AG69" s="128">
        <f t="shared" si="1"/>
        <v>5</v>
      </c>
    </row>
    <row r="70" spans="1:33" x14ac:dyDescent="0.2">
      <c r="A70" s="82">
        <v>2016</v>
      </c>
      <c r="B70" s="83" t="s">
        <v>87</v>
      </c>
      <c r="C70" s="86"/>
      <c r="D70" s="128">
        <v>15908144.58</v>
      </c>
      <c r="E70" s="128">
        <v>91505.37</v>
      </c>
      <c r="F70" s="128">
        <v>3644423.7999999896</v>
      </c>
      <c r="G70" s="128">
        <v>6337</v>
      </c>
      <c r="H70" s="128">
        <v>1614348.1899999997</v>
      </c>
      <c r="I70" s="128">
        <v>637</v>
      </c>
      <c r="J70" s="128">
        <v>3741617.45</v>
      </c>
      <c r="K70" s="128">
        <v>12191.800000000003</v>
      </c>
      <c r="L70" s="128">
        <v>80</v>
      </c>
      <c r="M70" s="128">
        <v>3462572.47</v>
      </c>
      <c r="N70" s="128">
        <v>8016.9999999999991</v>
      </c>
      <c r="O70" s="128">
        <v>10</v>
      </c>
      <c r="P70" s="128">
        <v>3037130</v>
      </c>
      <c r="Q70" s="128">
        <v>5992.49</v>
      </c>
      <c r="R70" s="128">
        <v>2</v>
      </c>
      <c r="S70" s="128">
        <v>35077.42</v>
      </c>
      <c r="T70" s="87"/>
      <c r="U70" s="128">
        <v>59</v>
      </c>
      <c r="V70" s="128">
        <v>8444.6399999999976</v>
      </c>
      <c r="W70" s="128">
        <v>25.270000000000007</v>
      </c>
      <c r="X70" s="128">
        <v>113</v>
      </c>
      <c r="Y70" s="128">
        <v>138483.51</v>
      </c>
      <c r="Z70" s="128">
        <v>319.27</v>
      </c>
      <c r="AA70" s="128">
        <v>1</v>
      </c>
      <c r="AB70"/>
      <c r="AC70" s="130">
        <f t="shared" si="0"/>
        <v>7067</v>
      </c>
      <c r="AD70"/>
      <c r="AE70" s="128">
        <v>1266138.96</v>
      </c>
      <c r="AF70" s="128">
        <v>2913.9000000000005</v>
      </c>
      <c r="AG70" s="128">
        <f t="shared" si="1"/>
        <v>5</v>
      </c>
    </row>
    <row r="71" spans="1:33" x14ac:dyDescent="0.2">
      <c r="A71" s="82">
        <v>2016</v>
      </c>
      <c r="B71" s="83" t="s">
        <v>88</v>
      </c>
      <c r="C71" s="86"/>
      <c r="D71" s="128">
        <v>16116946.359999999</v>
      </c>
      <c r="E71" s="128">
        <v>14828.03</v>
      </c>
      <c r="F71" s="128">
        <v>4382364.5199999977</v>
      </c>
      <c r="G71" s="128">
        <v>6352</v>
      </c>
      <c r="H71" s="128">
        <v>1804478.2900000007</v>
      </c>
      <c r="I71" s="128">
        <v>639</v>
      </c>
      <c r="J71" s="128">
        <v>3689353.2000000011</v>
      </c>
      <c r="K71" s="128">
        <v>11614.890000000005</v>
      </c>
      <c r="L71" s="128">
        <v>81</v>
      </c>
      <c r="M71" s="128">
        <v>2998426.3400000003</v>
      </c>
      <c r="N71" s="128">
        <v>7873.72</v>
      </c>
      <c r="O71" s="128">
        <v>10</v>
      </c>
      <c r="P71" s="128">
        <v>2506220.7199999997</v>
      </c>
      <c r="Q71" s="128">
        <v>6024.26</v>
      </c>
      <c r="R71" s="128">
        <v>2</v>
      </c>
      <c r="S71" s="128">
        <v>31775.13</v>
      </c>
      <c r="T71" s="87"/>
      <c r="U71" s="128">
        <v>59</v>
      </c>
      <c r="V71" s="128">
        <v>9242.59</v>
      </c>
      <c r="W71" s="128">
        <v>25.62</v>
      </c>
      <c r="X71" s="128">
        <v>113</v>
      </c>
      <c r="Y71" s="128">
        <v>150695.51999999999</v>
      </c>
      <c r="Z71" s="128">
        <v>319.27</v>
      </c>
      <c r="AA71" s="128">
        <v>1</v>
      </c>
      <c r="AB71"/>
      <c r="AC71" s="130">
        <f t="shared" si="0"/>
        <v>7085</v>
      </c>
      <c r="AD71"/>
      <c r="AE71" s="128">
        <v>1137069.6299999999</v>
      </c>
      <c r="AF71" s="128">
        <v>2964.59</v>
      </c>
      <c r="AG71" s="128">
        <f t="shared" si="1"/>
        <v>5</v>
      </c>
    </row>
    <row r="72" spans="1:33" x14ac:dyDescent="0.2">
      <c r="A72" s="82">
        <v>2017</v>
      </c>
      <c r="B72" s="83" t="s">
        <v>78</v>
      </c>
      <c r="C72" s="86"/>
      <c r="D72" s="127">
        <v>17123786.129999999</v>
      </c>
      <c r="E72" s="127">
        <v>40918.46</v>
      </c>
      <c r="F72" s="127">
        <v>4376145.9499999937</v>
      </c>
      <c r="G72" s="127">
        <v>6363</v>
      </c>
      <c r="H72" s="127">
        <v>1769149.6400000001</v>
      </c>
      <c r="I72" s="127">
        <v>638</v>
      </c>
      <c r="J72" s="127">
        <v>4066069.5799999991</v>
      </c>
      <c r="K72" s="127">
        <v>12886.109999999999</v>
      </c>
      <c r="L72" s="127">
        <v>81</v>
      </c>
      <c r="M72" s="127">
        <v>3211513</v>
      </c>
      <c r="N72" s="127">
        <v>7384.65</v>
      </c>
      <c r="O72" s="127">
        <v>9</v>
      </c>
      <c r="P72" s="127">
        <v>2979218.44</v>
      </c>
      <c r="Q72" s="127">
        <v>5892.54</v>
      </c>
      <c r="R72" s="127">
        <v>2</v>
      </c>
      <c r="S72" s="127">
        <v>28729.180000000004</v>
      </c>
      <c r="T72" s="85"/>
      <c r="U72" s="127">
        <v>59</v>
      </c>
      <c r="V72" s="127">
        <v>8342.9500000000007</v>
      </c>
      <c r="W72" s="127">
        <v>22.199999999999996</v>
      </c>
      <c r="X72" s="127">
        <v>113</v>
      </c>
      <c r="Y72" s="127">
        <v>148460.54999999999</v>
      </c>
      <c r="Z72" s="127">
        <v>319.27</v>
      </c>
      <c r="AA72" s="127">
        <v>1</v>
      </c>
      <c r="AB72"/>
      <c r="AC72" s="130">
        <f t="shared" si="0"/>
        <v>7094</v>
      </c>
      <c r="AD72"/>
      <c r="AE72" s="127">
        <v>1299339.8</v>
      </c>
      <c r="AF72" s="127">
        <v>2916.61</v>
      </c>
      <c r="AG72" s="127">
        <f t="shared" si="1"/>
        <v>5</v>
      </c>
    </row>
    <row r="73" spans="1:33" x14ac:dyDescent="0.2">
      <c r="A73" s="82">
        <v>2017</v>
      </c>
      <c r="B73" s="83" t="s">
        <v>79</v>
      </c>
      <c r="C73" s="86"/>
      <c r="D73" s="128">
        <v>15034182.73</v>
      </c>
      <c r="E73" s="128">
        <v>98842.77</v>
      </c>
      <c r="F73" s="128">
        <v>3729949.6100000027</v>
      </c>
      <c r="G73" s="128">
        <v>6378</v>
      </c>
      <c r="H73" s="128">
        <v>1575224.0899999987</v>
      </c>
      <c r="I73" s="128">
        <v>638</v>
      </c>
      <c r="J73" s="128">
        <v>3622137.8600000008</v>
      </c>
      <c r="K73" s="128">
        <v>12297.220000000007</v>
      </c>
      <c r="L73" s="128">
        <v>83</v>
      </c>
      <c r="M73" s="128">
        <v>2991324.83</v>
      </c>
      <c r="N73" s="128">
        <v>7619.4499999999989</v>
      </c>
      <c r="O73" s="128">
        <v>9</v>
      </c>
      <c r="P73" s="128">
        <v>2681537.48</v>
      </c>
      <c r="Q73" s="128">
        <v>5861.13</v>
      </c>
      <c r="R73" s="128">
        <v>2</v>
      </c>
      <c r="S73" s="128">
        <v>31406.98</v>
      </c>
      <c r="T73" s="87"/>
      <c r="U73" s="128">
        <v>59</v>
      </c>
      <c r="V73" s="128">
        <v>7415.18</v>
      </c>
      <c r="W73" s="128">
        <v>21.68</v>
      </c>
      <c r="X73" s="128">
        <v>113</v>
      </c>
      <c r="Y73" s="128">
        <v>134093.4</v>
      </c>
      <c r="Z73" s="128">
        <v>319.27</v>
      </c>
      <c r="AA73" s="128">
        <v>1</v>
      </c>
      <c r="AB73"/>
      <c r="AC73" s="130">
        <f t="shared" si="0"/>
        <v>7111</v>
      </c>
      <c r="AD73"/>
      <c r="AE73" s="128">
        <v>1201380.51</v>
      </c>
      <c r="AF73" s="128">
        <v>3037.8399999999997</v>
      </c>
      <c r="AG73" s="128">
        <f t="shared" si="1"/>
        <v>5</v>
      </c>
    </row>
    <row r="74" spans="1:33" x14ac:dyDescent="0.2">
      <c r="A74" s="82">
        <v>2017</v>
      </c>
      <c r="B74" s="83" t="s">
        <v>80</v>
      </c>
      <c r="C74" s="86"/>
      <c r="D74" s="128">
        <v>16518332.300000001</v>
      </c>
      <c r="E74" s="128">
        <v>144381.45000000001</v>
      </c>
      <c r="F74" s="128">
        <v>3913903.030000004</v>
      </c>
      <c r="G74" s="128">
        <v>6382</v>
      </c>
      <c r="H74" s="128">
        <v>1675490.9000000001</v>
      </c>
      <c r="I74" s="128">
        <v>637</v>
      </c>
      <c r="J74" s="128">
        <v>3912988.7199999997</v>
      </c>
      <c r="K74" s="128">
        <v>11887.400000000005</v>
      </c>
      <c r="L74" s="128">
        <v>84</v>
      </c>
      <c r="M74" s="128">
        <v>3377815.4399999995</v>
      </c>
      <c r="N74" s="128">
        <v>7496.5099999999993</v>
      </c>
      <c r="O74" s="128">
        <v>9</v>
      </c>
      <c r="P74" s="128">
        <v>2974539.04</v>
      </c>
      <c r="Q74" s="128">
        <v>5903.63</v>
      </c>
      <c r="R74" s="128">
        <v>2</v>
      </c>
      <c r="S74" s="128">
        <v>32606.12</v>
      </c>
      <c r="T74" s="87"/>
      <c r="U74" s="128">
        <v>59</v>
      </c>
      <c r="V74" s="128">
        <v>8209.6700000000019</v>
      </c>
      <c r="W74" s="128">
        <v>21.800000000000004</v>
      </c>
      <c r="X74" s="128">
        <v>113</v>
      </c>
      <c r="Y74" s="128">
        <v>124116.37</v>
      </c>
      <c r="Z74" s="128">
        <v>319.27</v>
      </c>
      <c r="AA74" s="128">
        <v>1</v>
      </c>
      <c r="AB74"/>
      <c r="AC74" s="130">
        <f t="shared" si="0"/>
        <v>7115</v>
      </c>
      <c r="AD74"/>
      <c r="AE74" s="128">
        <v>1325848.7599999998</v>
      </c>
      <c r="AF74" s="128">
        <v>2943.94</v>
      </c>
      <c r="AG74" s="128">
        <f t="shared" si="1"/>
        <v>5</v>
      </c>
    </row>
    <row r="75" spans="1:33" x14ac:dyDescent="0.2">
      <c r="A75" s="82">
        <v>2017</v>
      </c>
      <c r="B75" s="83" t="s">
        <v>81</v>
      </c>
      <c r="C75" s="86"/>
      <c r="D75" s="128">
        <v>13982812.939999999</v>
      </c>
      <c r="E75" s="128">
        <v>180225.96</v>
      </c>
      <c r="F75" s="128">
        <v>3385568.1200000127</v>
      </c>
      <c r="G75" s="128">
        <v>6385</v>
      </c>
      <c r="H75" s="128">
        <v>1517633.3400000005</v>
      </c>
      <c r="I75" s="128">
        <v>638</v>
      </c>
      <c r="J75" s="128">
        <v>3485274.7399999998</v>
      </c>
      <c r="K75" s="128">
        <v>11992.53</v>
      </c>
      <c r="L75" s="128">
        <v>84</v>
      </c>
      <c r="M75" s="128">
        <v>2985386.66</v>
      </c>
      <c r="N75" s="128">
        <v>7880.28</v>
      </c>
      <c r="O75" s="128">
        <v>9</v>
      </c>
      <c r="P75" s="128">
        <v>2423398.7599999998</v>
      </c>
      <c r="Q75" s="128">
        <v>5741.84</v>
      </c>
      <c r="R75" s="128">
        <v>2</v>
      </c>
      <c r="S75" s="128">
        <v>30517.85</v>
      </c>
      <c r="T75" s="87"/>
      <c r="U75" s="128">
        <v>59</v>
      </c>
      <c r="V75" s="128">
        <v>7944.8399999999992</v>
      </c>
      <c r="W75" s="128">
        <v>18.440000000000001</v>
      </c>
      <c r="X75" s="128">
        <v>113</v>
      </c>
      <c r="Y75" s="128">
        <v>105838.01</v>
      </c>
      <c r="Z75" s="128">
        <v>319.27</v>
      </c>
      <c r="AA75" s="128">
        <v>1</v>
      </c>
      <c r="AB75"/>
      <c r="AC75" s="130">
        <f t="shared" si="0"/>
        <v>7119</v>
      </c>
      <c r="AD75"/>
      <c r="AE75" s="128">
        <v>1205713.79</v>
      </c>
      <c r="AF75" s="128">
        <v>2985.98</v>
      </c>
      <c r="AG75" s="128">
        <f t="shared" si="1"/>
        <v>5</v>
      </c>
    </row>
    <row r="76" spans="1:33" x14ac:dyDescent="0.2">
      <c r="A76" s="82">
        <v>2017</v>
      </c>
      <c r="B76" s="83" t="s">
        <v>52</v>
      </c>
      <c r="C76" s="86"/>
      <c r="D76" s="128">
        <v>15061646.42</v>
      </c>
      <c r="E76" s="128">
        <v>211937.72</v>
      </c>
      <c r="F76" s="128">
        <v>3515790.5399999912</v>
      </c>
      <c r="G76" s="128">
        <v>6390</v>
      </c>
      <c r="H76" s="128">
        <v>1643832.059999997</v>
      </c>
      <c r="I76" s="128">
        <v>643</v>
      </c>
      <c r="J76" s="128">
        <v>3609022.5200000014</v>
      </c>
      <c r="K76" s="128">
        <v>11838.509999999998</v>
      </c>
      <c r="L76" s="128">
        <v>80</v>
      </c>
      <c r="M76" s="128">
        <v>3274293.02</v>
      </c>
      <c r="N76" s="128">
        <v>8059.4900000000007</v>
      </c>
      <c r="O76" s="128">
        <v>9</v>
      </c>
      <c r="P76" s="128">
        <v>2782606.28</v>
      </c>
      <c r="Q76" s="128">
        <v>5709.75</v>
      </c>
      <c r="R76" s="128">
        <v>2</v>
      </c>
      <c r="S76" s="128">
        <v>31603.15</v>
      </c>
      <c r="T76" s="87"/>
      <c r="U76" s="128">
        <v>59</v>
      </c>
      <c r="V76" s="128">
        <v>8209.6699999999983</v>
      </c>
      <c r="W76" s="128">
        <v>19.37</v>
      </c>
      <c r="X76" s="128">
        <v>113</v>
      </c>
      <c r="Y76" s="128">
        <v>96898.37</v>
      </c>
      <c r="Z76" s="128">
        <v>319.27</v>
      </c>
      <c r="AA76" s="128">
        <v>1</v>
      </c>
      <c r="AB76"/>
      <c r="AC76" s="130">
        <f t="shared" si="0"/>
        <v>7125</v>
      </c>
      <c r="AD76"/>
      <c r="AE76" s="128">
        <v>1314156.01</v>
      </c>
      <c r="AF76" s="128">
        <v>3260.38</v>
      </c>
      <c r="AG76" s="128">
        <f t="shared" si="1"/>
        <v>5</v>
      </c>
    </row>
    <row r="77" spans="1:33" x14ac:dyDescent="0.2">
      <c r="A77" s="82">
        <v>2017</v>
      </c>
      <c r="B77" s="83" t="s">
        <v>82</v>
      </c>
      <c r="C77" s="86"/>
      <c r="D77" s="128">
        <v>16237904.83</v>
      </c>
      <c r="E77" s="128">
        <v>236828.58</v>
      </c>
      <c r="F77" s="128">
        <v>4046125.9299999992</v>
      </c>
      <c r="G77" s="128">
        <v>6399</v>
      </c>
      <c r="H77" s="128">
        <v>1769600.6900000034</v>
      </c>
      <c r="I77" s="128">
        <v>644</v>
      </c>
      <c r="J77" s="128">
        <v>3657694.3</v>
      </c>
      <c r="K77" s="128">
        <v>13110.090000000006</v>
      </c>
      <c r="L77" s="128">
        <v>80</v>
      </c>
      <c r="M77" s="128">
        <v>3410905.1300000004</v>
      </c>
      <c r="N77" s="128">
        <v>9080.9100000000017</v>
      </c>
      <c r="O77" s="128">
        <v>10</v>
      </c>
      <c r="P77" s="128">
        <v>2685962.16</v>
      </c>
      <c r="Q77" s="128">
        <v>5834.63</v>
      </c>
      <c r="R77" s="128">
        <v>2</v>
      </c>
      <c r="S77" s="128">
        <v>31332.819999999996</v>
      </c>
      <c r="T77" s="87"/>
      <c r="U77" s="128">
        <v>59</v>
      </c>
      <c r="V77" s="128">
        <v>7944.8399999999992</v>
      </c>
      <c r="W77" s="128">
        <v>22.039999999999992</v>
      </c>
      <c r="X77" s="128">
        <v>113</v>
      </c>
      <c r="Y77" s="128">
        <v>86442.35</v>
      </c>
      <c r="Z77" s="128">
        <v>319.27</v>
      </c>
      <c r="AA77" s="128">
        <v>1</v>
      </c>
      <c r="AB77"/>
      <c r="AC77" s="130">
        <f t="shared" si="0"/>
        <v>7136</v>
      </c>
      <c r="AD77"/>
      <c r="AE77" s="128">
        <v>1376051.22</v>
      </c>
      <c r="AF77" s="128">
        <v>3200.3100000000004</v>
      </c>
      <c r="AG77" s="128">
        <f t="shared" si="1"/>
        <v>5</v>
      </c>
    </row>
    <row r="78" spans="1:33" x14ac:dyDescent="0.2">
      <c r="A78" s="82">
        <v>2017</v>
      </c>
      <c r="B78" s="83" t="s">
        <v>83</v>
      </c>
      <c r="C78" s="86"/>
      <c r="D78" s="128">
        <v>16605648.27</v>
      </c>
      <c r="E78" s="128">
        <v>225248.93</v>
      </c>
      <c r="F78" s="128">
        <v>5004682.5799999991</v>
      </c>
      <c r="G78" s="128">
        <v>6413</v>
      </c>
      <c r="H78" s="128">
        <v>1989601.2900000007</v>
      </c>
      <c r="I78" s="128">
        <v>640</v>
      </c>
      <c r="J78" s="128">
        <v>3366992.9099999992</v>
      </c>
      <c r="K78" s="128">
        <v>11005.470000000001</v>
      </c>
      <c r="L78" s="128">
        <v>78</v>
      </c>
      <c r="M78" s="128">
        <v>3642576.83</v>
      </c>
      <c r="N78" s="128">
        <v>10386.329999999998</v>
      </c>
      <c r="O78" s="128">
        <v>11</v>
      </c>
      <c r="P78" s="128">
        <v>2112781.12</v>
      </c>
      <c r="Q78" s="128">
        <v>5429.4500000000007</v>
      </c>
      <c r="R78" s="128">
        <v>2</v>
      </c>
      <c r="S78" s="128">
        <v>30218.59</v>
      </c>
      <c r="T78" s="87"/>
      <c r="U78" s="128">
        <v>59</v>
      </c>
      <c r="V78" s="128">
        <v>8209.66</v>
      </c>
      <c r="W78" s="128">
        <v>21.85</v>
      </c>
      <c r="X78" s="128">
        <v>113</v>
      </c>
      <c r="Y78" s="128">
        <v>91470.93</v>
      </c>
      <c r="Z78" s="128">
        <v>319.27</v>
      </c>
      <c r="AA78" s="128">
        <v>1</v>
      </c>
      <c r="AB78"/>
      <c r="AC78" s="130">
        <f t="shared" si="0"/>
        <v>7145</v>
      </c>
      <c r="AD78"/>
      <c r="AE78" s="128">
        <v>1358368.19</v>
      </c>
      <c r="AF78" s="128">
        <v>3353.5699999999997</v>
      </c>
      <c r="AG78" s="128">
        <f t="shared" si="1"/>
        <v>5</v>
      </c>
    </row>
    <row r="79" spans="1:33" x14ac:dyDescent="0.2">
      <c r="A79" s="82">
        <v>2017</v>
      </c>
      <c r="B79" s="83" t="s">
        <v>84</v>
      </c>
      <c r="C79" s="86"/>
      <c r="D79" s="128">
        <v>16791868.32</v>
      </c>
      <c r="E79" s="128">
        <v>209082.47</v>
      </c>
      <c r="F79" s="128">
        <v>4440652.400000019</v>
      </c>
      <c r="G79" s="128">
        <v>6425</v>
      </c>
      <c r="H79" s="128">
        <v>1869892.280000001</v>
      </c>
      <c r="I79" s="128">
        <v>643</v>
      </c>
      <c r="J79" s="128">
        <v>3466864.9999999995</v>
      </c>
      <c r="K79" s="128">
        <v>10723.880000000005</v>
      </c>
      <c r="L79" s="128">
        <v>78</v>
      </c>
      <c r="M79" s="128">
        <v>3756647.91</v>
      </c>
      <c r="N79" s="128">
        <v>10151.31</v>
      </c>
      <c r="O79" s="128">
        <v>11</v>
      </c>
      <c r="P79" s="128">
        <v>2661718.96</v>
      </c>
      <c r="Q79" s="128">
        <v>5723.32</v>
      </c>
      <c r="R79" s="128">
        <v>2</v>
      </c>
      <c r="S79" s="128">
        <v>31052.339999999997</v>
      </c>
      <c r="T79" s="87"/>
      <c r="U79" s="128">
        <v>58</v>
      </c>
      <c r="V79" s="128">
        <v>8209.67</v>
      </c>
      <c r="W79" s="128">
        <v>22.299999999999994</v>
      </c>
      <c r="X79" s="128">
        <v>113</v>
      </c>
      <c r="Y79" s="128">
        <v>103523.45</v>
      </c>
      <c r="Z79" s="128">
        <v>319.27</v>
      </c>
      <c r="AA79" s="128">
        <v>1</v>
      </c>
      <c r="AB79"/>
      <c r="AC79" s="130">
        <f t="shared" si="0"/>
        <v>7160</v>
      </c>
      <c r="AD79"/>
      <c r="AE79" s="128">
        <v>1152624.01</v>
      </c>
      <c r="AF79" s="128">
        <v>2945.79</v>
      </c>
      <c r="AG79" s="128">
        <f t="shared" si="1"/>
        <v>5</v>
      </c>
    </row>
    <row r="80" spans="1:33" x14ac:dyDescent="0.2">
      <c r="A80" s="82">
        <v>2017</v>
      </c>
      <c r="B80" s="83" t="s">
        <v>85</v>
      </c>
      <c r="C80" s="86"/>
      <c r="D80" s="128">
        <v>15184922.210000001</v>
      </c>
      <c r="E80" s="128">
        <v>202752.04</v>
      </c>
      <c r="F80" s="128">
        <v>3962647.9499999858</v>
      </c>
      <c r="G80" s="128">
        <v>6431</v>
      </c>
      <c r="H80" s="128">
        <v>1721550.6999999976</v>
      </c>
      <c r="I80" s="128">
        <v>643</v>
      </c>
      <c r="J80" s="128">
        <v>3260137.9000000008</v>
      </c>
      <c r="K80" s="128">
        <v>10778.630000000008</v>
      </c>
      <c r="L80" s="128">
        <v>78</v>
      </c>
      <c r="M80" s="128">
        <v>3341534.2699999996</v>
      </c>
      <c r="N80" s="128">
        <v>10017.82</v>
      </c>
      <c r="O80" s="128">
        <v>12</v>
      </c>
      <c r="P80" s="128">
        <v>2359314.4</v>
      </c>
      <c r="Q80" s="128">
        <v>5697.7000000000007</v>
      </c>
      <c r="R80" s="128">
        <v>2</v>
      </c>
      <c r="S80" s="128">
        <v>28484.880000000001</v>
      </c>
      <c r="T80" s="87"/>
      <c r="U80" s="128">
        <v>58</v>
      </c>
      <c r="V80" s="128">
        <v>7944.8300000000008</v>
      </c>
      <c r="W80" s="128">
        <v>21.569999999999997</v>
      </c>
      <c r="X80" s="128">
        <v>113</v>
      </c>
      <c r="Y80" s="128">
        <v>112143.52</v>
      </c>
      <c r="Z80" s="128">
        <v>319.27</v>
      </c>
      <c r="AA80" s="128">
        <v>1</v>
      </c>
      <c r="AB80"/>
      <c r="AC80" s="130">
        <f t="shared" si="0"/>
        <v>7167</v>
      </c>
      <c r="AD80"/>
      <c r="AE80" s="128">
        <v>1015208.41</v>
      </c>
      <c r="AF80" s="128">
        <v>2719.85</v>
      </c>
      <c r="AG80" s="128">
        <f t="shared" si="1"/>
        <v>5</v>
      </c>
    </row>
    <row r="81" spans="1:33" x14ac:dyDescent="0.2">
      <c r="A81" s="82">
        <v>2017</v>
      </c>
      <c r="B81" s="83" t="s">
        <v>86</v>
      </c>
      <c r="C81" s="86"/>
      <c r="D81" s="128">
        <v>14823920.949999999</v>
      </c>
      <c r="E81" s="128">
        <v>127443.61</v>
      </c>
      <c r="F81" s="128">
        <v>3727637.3900000011</v>
      </c>
      <c r="G81" s="128">
        <v>6436</v>
      </c>
      <c r="H81" s="128">
        <v>1675304.3100000026</v>
      </c>
      <c r="I81" s="128">
        <v>648</v>
      </c>
      <c r="J81" s="128">
        <v>3314278.77</v>
      </c>
      <c r="K81" s="128">
        <v>10855.48</v>
      </c>
      <c r="L81" s="128">
        <v>78</v>
      </c>
      <c r="M81" s="128">
        <v>3408829.4699999997</v>
      </c>
      <c r="N81" s="128">
        <v>9733.4500000000007</v>
      </c>
      <c r="O81" s="128">
        <v>12</v>
      </c>
      <c r="P81" s="128">
        <v>2488544.56</v>
      </c>
      <c r="Q81" s="128">
        <v>5643.5599999999995</v>
      </c>
      <c r="R81" s="128">
        <v>2</v>
      </c>
      <c r="S81" s="128">
        <v>31219.799999999996</v>
      </c>
      <c r="T81" s="87"/>
      <c r="U81" s="128">
        <v>58</v>
      </c>
      <c r="V81" s="128">
        <v>8209.6700000000019</v>
      </c>
      <c r="W81" s="128">
        <v>22.6</v>
      </c>
      <c r="X81" s="128">
        <v>113</v>
      </c>
      <c r="Y81" s="128">
        <v>130661.32</v>
      </c>
      <c r="Z81" s="128">
        <v>319.27</v>
      </c>
      <c r="AA81" s="128">
        <v>1</v>
      </c>
      <c r="AB81"/>
      <c r="AC81" s="130">
        <f t="shared" si="0"/>
        <v>7177</v>
      </c>
      <c r="AD81"/>
      <c r="AE81" s="128">
        <v>941287.92</v>
      </c>
      <c r="AF81" s="128">
        <v>2387.23</v>
      </c>
      <c r="AG81" s="128">
        <f t="shared" si="1"/>
        <v>5</v>
      </c>
    </row>
    <row r="82" spans="1:33" x14ac:dyDescent="0.2">
      <c r="A82" s="82">
        <v>2017</v>
      </c>
      <c r="B82" s="83" t="s">
        <v>87</v>
      </c>
      <c r="C82" s="86"/>
      <c r="D82" s="128">
        <v>15176795.18</v>
      </c>
      <c r="E82" s="128">
        <v>76466.039999999994</v>
      </c>
      <c r="F82" s="128">
        <v>3825209.1699999915</v>
      </c>
      <c r="G82" s="128">
        <v>6451</v>
      </c>
      <c r="H82" s="128">
        <v>1664761.0899999966</v>
      </c>
      <c r="I82" s="128">
        <v>647</v>
      </c>
      <c r="J82" s="128">
        <v>3414745.8499999996</v>
      </c>
      <c r="K82" s="128">
        <v>10436.410000000002</v>
      </c>
      <c r="L82" s="128">
        <v>78</v>
      </c>
      <c r="M82" s="128">
        <v>3144378.7300000004</v>
      </c>
      <c r="N82" s="128">
        <v>9259.5499999999993</v>
      </c>
      <c r="O82" s="128">
        <v>12</v>
      </c>
      <c r="P82" s="128">
        <v>2610689.3600000003</v>
      </c>
      <c r="Q82" s="128">
        <v>5535.12</v>
      </c>
      <c r="R82" s="128">
        <v>2</v>
      </c>
      <c r="S82" s="128">
        <v>29773.030000000002</v>
      </c>
      <c r="T82" s="87"/>
      <c r="U82" s="128">
        <v>57</v>
      </c>
      <c r="V82" s="128">
        <v>8500.1700000000019</v>
      </c>
      <c r="W82" s="128">
        <v>24.550000000000004</v>
      </c>
      <c r="X82" s="128">
        <v>113</v>
      </c>
      <c r="Y82" s="128">
        <v>138483.51</v>
      </c>
      <c r="Z82" s="128">
        <v>319.27</v>
      </c>
      <c r="AA82" s="128">
        <v>1</v>
      </c>
      <c r="AB82"/>
      <c r="AC82" s="130">
        <f t="shared" si="0"/>
        <v>7191</v>
      </c>
      <c r="AD82"/>
      <c r="AE82" s="128">
        <v>892084.91999999993</v>
      </c>
      <c r="AF82" s="128">
        <v>2356.92</v>
      </c>
      <c r="AG82" s="128">
        <f t="shared" si="1"/>
        <v>5</v>
      </c>
    </row>
    <row r="83" spans="1:33" x14ac:dyDescent="0.2">
      <c r="A83" s="82">
        <v>2017</v>
      </c>
      <c r="B83" s="83" t="s">
        <v>88</v>
      </c>
      <c r="C83" s="86"/>
      <c r="D83" s="128">
        <v>15312049.84</v>
      </c>
      <c r="E83" s="128">
        <v>29462.42</v>
      </c>
      <c r="F83" s="128">
        <v>4595954.4399999995</v>
      </c>
      <c r="G83" s="128">
        <v>6450</v>
      </c>
      <c r="H83" s="128">
        <v>1879594.5</v>
      </c>
      <c r="I83" s="128">
        <v>646</v>
      </c>
      <c r="J83" s="128">
        <v>3417405.0899999994</v>
      </c>
      <c r="K83" s="128">
        <v>9815.6999999999989</v>
      </c>
      <c r="L83" s="128">
        <v>79</v>
      </c>
      <c r="M83" s="128">
        <v>2747179.61</v>
      </c>
      <c r="N83" s="128">
        <v>9091.16</v>
      </c>
      <c r="O83" s="128">
        <v>12</v>
      </c>
      <c r="P83" s="128">
        <v>2015539.2</v>
      </c>
      <c r="Q83" s="128">
        <v>5652.17</v>
      </c>
      <c r="R83" s="128">
        <v>2</v>
      </c>
      <c r="S83" s="128">
        <v>30198.030000000002</v>
      </c>
      <c r="T83" s="87"/>
      <c r="U83" s="128">
        <v>58</v>
      </c>
      <c r="V83" s="128">
        <v>9255.9900000000016</v>
      </c>
      <c r="W83" s="128">
        <v>24.45</v>
      </c>
      <c r="X83" s="128">
        <v>113</v>
      </c>
      <c r="Y83" s="128">
        <v>150696.76</v>
      </c>
      <c r="Z83" s="128">
        <v>319.27</v>
      </c>
      <c r="AA83" s="128">
        <v>1</v>
      </c>
      <c r="AB83"/>
      <c r="AC83" s="130">
        <f t="shared" si="0"/>
        <v>7190</v>
      </c>
      <c r="AD83"/>
      <c r="AE83" s="128">
        <v>768931.66999999993</v>
      </c>
      <c r="AF83" s="128">
        <v>2194.77</v>
      </c>
      <c r="AG83" s="128">
        <f t="shared" si="1"/>
        <v>5</v>
      </c>
    </row>
    <row r="84" spans="1:33" x14ac:dyDescent="0.2">
      <c r="A84" s="82">
        <v>2018</v>
      </c>
      <c r="B84" s="83" t="s">
        <v>78</v>
      </c>
      <c r="C84" s="86"/>
      <c r="D84" s="127">
        <v>16892328.899999995</v>
      </c>
      <c r="E84" s="127">
        <v>37099.270000000004</v>
      </c>
      <c r="F84" s="127">
        <v>4679737.5899999831</v>
      </c>
      <c r="G84" s="127">
        <v>6457</v>
      </c>
      <c r="H84" s="127">
        <v>1869572.2500000014</v>
      </c>
      <c r="I84" s="127">
        <v>648</v>
      </c>
      <c r="J84" s="127">
        <v>3652943.4300000011</v>
      </c>
      <c r="K84" s="127">
        <v>9763.9599999999991</v>
      </c>
      <c r="L84" s="127">
        <v>79</v>
      </c>
      <c r="M84" s="127">
        <v>3281582.99</v>
      </c>
      <c r="N84" s="127">
        <v>9179.11</v>
      </c>
      <c r="O84" s="127">
        <v>12</v>
      </c>
      <c r="P84" s="127">
        <v>2617422.3199999998</v>
      </c>
      <c r="Q84" s="127">
        <v>5636.39</v>
      </c>
      <c r="R84" s="127">
        <v>2</v>
      </c>
      <c r="S84" s="127">
        <v>27404.590000000004</v>
      </c>
      <c r="T84" s="85"/>
      <c r="U84" s="127">
        <v>89</v>
      </c>
      <c r="V84" s="127">
        <v>8173.7</v>
      </c>
      <c r="W84" s="127">
        <v>17.709999999999997</v>
      </c>
      <c r="X84" s="127">
        <v>112</v>
      </c>
      <c r="Y84" s="127">
        <v>148460.54999999999</v>
      </c>
      <c r="Z84" s="127">
        <v>319.27</v>
      </c>
      <c r="AA84" s="127">
        <v>1</v>
      </c>
      <c r="AB84"/>
      <c r="AC84" s="130">
        <f t="shared" si="0"/>
        <v>7199</v>
      </c>
      <c r="AD84"/>
      <c r="AE84" s="127">
        <v>920893.58000000007</v>
      </c>
      <c r="AF84" s="127">
        <v>2244.08</v>
      </c>
      <c r="AG84" s="127">
        <f t="shared" si="1"/>
        <v>5</v>
      </c>
    </row>
    <row r="85" spans="1:33" x14ac:dyDescent="0.2">
      <c r="A85" s="82">
        <v>2018</v>
      </c>
      <c r="B85" s="83" t="s">
        <v>79</v>
      </c>
      <c r="C85" s="86"/>
      <c r="D85" s="128">
        <v>14940711.98</v>
      </c>
      <c r="E85" s="128">
        <v>50870.44</v>
      </c>
      <c r="F85" s="128">
        <v>3899916.5800000266</v>
      </c>
      <c r="G85" s="128">
        <v>6461</v>
      </c>
      <c r="H85" s="128">
        <v>1527996.4600000002</v>
      </c>
      <c r="I85" s="128">
        <v>647</v>
      </c>
      <c r="J85" s="128">
        <v>3249207.33</v>
      </c>
      <c r="K85" s="128">
        <v>10594.639999999998</v>
      </c>
      <c r="L85" s="128">
        <v>79</v>
      </c>
      <c r="M85" s="128">
        <v>2914549.9299999997</v>
      </c>
      <c r="N85" s="128">
        <v>9242.9599999999991</v>
      </c>
      <c r="O85" s="128">
        <v>12</v>
      </c>
      <c r="P85" s="128">
        <v>2491632.7200000002</v>
      </c>
      <c r="Q85" s="128">
        <v>5773.58</v>
      </c>
      <c r="R85" s="128">
        <v>2</v>
      </c>
      <c r="S85" s="128">
        <v>27894.91</v>
      </c>
      <c r="T85" s="87"/>
      <c r="U85" s="128">
        <v>57</v>
      </c>
      <c r="V85" s="128">
        <v>7351.3400000000011</v>
      </c>
      <c r="W85" s="128">
        <v>20.880000000000003</v>
      </c>
      <c r="X85" s="128">
        <v>112</v>
      </c>
      <c r="Y85" s="128">
        <v>134093.4</v>
      </c>
      <c r="Z85" s="128">
        <v>319.27</v>
      </c>
      <c r="AA85" s="128">
        <v>1</v>
      </c>
      <c r="AB85"/>
      <c r="AC85" s="130">
        <f t="shared" si="0"/>
        <v>7202</v>
      </c>
      <c r="AD85"/>
      <c r="AE85" s="128">
        <v>760193.62</v>
      </c>
      <c r="AF85" s="128">
        <v>2228.6499999999996</v>
      </c>
      <c r="AG85" s="128">
        <f t="shared" si="1"/>
        <v>5</v>
      </c>
    </row>
    <row r="86" spans="1:33" x14ac:dyDescent="0.2">
      <c r="A86" s="82">
        <v>2018</v>
      </c>
      <c r="B86" s="83" t="s">
        <v>80</v>
      </c>
      <c r="C86" s="86"/>
      <c r="D86" s="128">
        <v>15870053.460000001</v>
      </c>
      <c r="E86" s="128">
        <v>157401.99</v>
      </c>
      <c r="F86" s="128">
        <v>4086281.3600000017</v>
      </c>
      <c r="G86" s="128">
        <v>6473</v>
      </c>
      <c r="H86" s="128">
        <v>1937484.5500000049</v>
      </c>
      <c r="I86" s="128">
        <v>645</v>
      </c>
      <c r="J86" s="128">
        <v>3600836.7899999991</v>
      </c>
      <c r="K86" s="128">
        <v>10840.199999999997</v>
      </c>
      <c r="L86" s="128">
        <v>79</v>
      </c>
      <c r="M86" s="128">
        <v>3256687.47</v>
      </c>
      <c r="N86" s="128">
        <v>9171.18</v>
      </c>
      <c r="O86" s="128">
        <v>12</v>
      </c>
      <c r="P86" s="128">
        <v>2648442.16</v>
      </c>
      <c r="Q86" s="128">
        <v>5849.93</v>
      </c>
      <c r="R86" s="128">
        <v>2</v>
      </c>
      <c r="S86" s="128">
        <v>30285.46</v>
      </c>
      <c r="T86" s="87"/>
      <c r="U86" s="128">
        <v>57</v>
      </c>
      <c r="V86" s="128">
        <v>8138.9799999999987</v>
      </c>
      <c r="W86" s="128">
        <v>22.910000000000004</v>
      </c>
      <c r="X86" s="128">
        <v>112</v>
      </c>
      <c r="Y86" s="128">
        <v>124116.37</v>
      </c>
      <c r="Z86" s="128">
        <v>319.27</v>
      </c>
      <c r="AA86" s="128">
        <v>1</v>
      </c>
      <c r="AB86"/>
      <c r="AC86" s="130">
        <f t="shared" si="0"/>
        <v>7212</v>
      </c>
      <c r="AD86"/>
      <c r="AE86" s="128">
        <v>806290.22000000009</v>
      </c>
      <c r="AF86" s="128">
        <v>2109.06</v>
      </c>
      <c r="AG86" s="128">
        <f t="shared" si="1"/>
        <v>5</v>
      </c>
    </row>
    <row r="87" spans="1:33" x14ac:dyDescent="0.2">
      <c r="A87" s="82">
        <v>2018</v>
      </c>
      <c r="B87" s="83" t="s">
        <v>81</v>
      </c>
      <c r="C87" s="86"/>
      <c r="D87" s="128">
        <v>14690754.840000002</v>
      </c>
      <c r="E87" s="128">
        <v>155665.48000000001</v>
      </c>
      <c r="F87" s="128">
        <v>3764974.6000000113</v>
      </c>
      <c r="G87" s="128">
        <v>6481</v>
      </c>
      <c r="H87" s="128">
        <v>1599821.1799999992</v>
      </c>
      <c r="I87" s="128">
        <v>645</v>
      </c>
      <c r="J87" s="128">
        <v>3425443.4700000007</v>
      </c>
      <c r="K87" s="128">
        <v>10491.81</v>
      </c>
      <c r="L87" s="128">
        <v>79</v>
      </c>
      <c r="M87" s="128">
        <v>2888116.2</v>
      </c>
      <c r="N87" s="128">
        <v>8976.25</v>
      </c>
      <c r="O87" s="128">
        <v>12</v>
      </c>
      <c r="P87" s="128">
        <v>2507678.6399999997</v>
      </c>
      <c r="Q87" s="128">
        <v>5611.2199999999993</v>
      </c>
      <c r="R87" s="128">
        <v>2</v>
      </c>
      <c r="S87" s="128">
        <v>27623.82</v>
      </c>
      <c r="T87" s="87"/>
      <c r="U87" s="128">
        <v>57</v>
      </c>
      <c r="V87" s="128">
        <v>7876.44</v>
      </c>
      <c r="W87" s="128">
        <v>20.890000000000004</v>
      </c>
      <c r="X87" s="128">
        <v>112</v>
      </c>
      <c r="Y87" s="128">
        <v>105838.01</v>
      </c>
      <c r="Z87" s="128">
        <v>319.27</v>
      </c>
      <c r="AA87" s="128">
        <v>1</v>
      </c>
      <c r="AB87"/>
      <c r="AC87" s="130">
        <f t="shared" si="0"/>
        <v>7220</v>
      </c>
      <c r="AD87"/>
      <c r="AE87" s="128">
        <v>722326.02</v>
      </c>
      <c r="AF87" s="128">
        <v>2033.24</v>
      </c>
      <c r="AG87" s="128">
        <f t="shared" si="1"/>
        <v>5</v>
      </c>
    </row>
    <row r="88" spans="1:33" x14ac:dyDescent="0.2">
      <c r="A88" s="82">
        <v>2018</v>
      </c>
      <c r="B88" s="83" t="s">
        <v>52</v>
      </c>
      <c r="C88" s="86"/>
      <c r="D88" s="128">
        <v>15199975.959999999</v>
      </c>
      <c r="E88" s="128">
        <v>229192.52000000002</v>
      </c>
      <c r="F88" s="128">
        <v>3776753.9099999913</v>
      </c>
      <c r="G88" s="128">
        <v>6487</v>
      </c>
      <c r="H88" s="128">
        <v>1677138.7700000003</v>
      </c>
      <c r="I88" s="128">
        <v>649</v>
      </c>
      <c r="J88" s="128">
        <v>3475570.7899999996</v>
      </c>
      <c r="K88" s="128">
        <v>11082.58</v>
      </c>
      <c r="L88" s="128">
        <v>79</v>
      </c>
      <c r="M88" s="128">
        <v>3328251.6100000003</v>
      </c>
      <c r="N88" s="128">
        <v>9165.19</v>
      </c>
      <c r="O88" s="128">
        <v>12</v>
      </c>
      <c r="P88" s="128">
        <v>2564934.16</v>
      </c>
      <c r="Q88" s="128">
        <v>5781.2</v>
      </c>
      <c r="R88" s="128">
        <v>2</v>
      </c>
      <c r="S88" s="128">
        <v>29949.27</v>
      </c>
      <c r="T88" s="87"/>
      <c r="U88" s="128">
        <v>57</v>
      </c>
      <c r="V88" s="128">
        <v>8138.989999999998</v>
      </c>
      <c r="W88" s="128">
        <v>21.48</v>
      </c>
      <c r="X88" s="128">
        <v>112</v>
      </c>
      <c r="Y88" s="128">
        <v>96898.37</v>
      </c>
      <c r="Z88" s="128">
        <v>319.27</v>
      </c>
      <c r="AA88" s="128">
        <v>1</v>
      </c>
      <c r="AB88"/>
      <c r="AC88" s="130">
        <f t="shared" si="0"/>
        <v>7230</v>
      </c>
      <c r="AD88"/>
      <c r="AE88" s="128">
        <v>825640.29</v>
      </c>
      <c r="AF88" s="128">
        <v>2095.12</v>
      </c>
      <c r="AG88" s="128">
        <f t="shared" si="1"/>
        <v>5</v>
      </c>
    </row>
    <row r="89" spans="1:33" x14ac:dyDescent="0.2">
      <c r="A89" s="82">
        <v>2018</v>
      </c>
      <c r="B89" s="83" t="s">
        <v>82</v>
      </c>
      <c r="C89" s="86"/>
      <c r="D89" s="128">
        <v>15726339.940000001</v>
      </c>
      <c r="E89" s="128">
        <v>208452.3</v>
      </c>
      <c r="F89" s="128">
        <v>4629952.9899999797</v>
      </c>
      <c r="G89" s="128">
        <v>6505</v>
      </c>
      <c r="H89" s="128">
        <v>1809140.7700000014</v>
      </c>
      <c r="I89" s="128">
        <v>648</v>
      </c>
      <c r="J89" s="128">
        <v>3558355.0699999994</v>
      </c>
      <c r="K89" s="128">
        <v>11506.579999999994</v>
      </c>
      <c r="L89" s="128">
        <v>79</v>
      </c>
      <c r="M89" s="128">
        <v>3170218.95</v>
      </c>
      <c r="N89" s="128">
        <v>9773.130000000001</v>
      </c>
      <c r="O89" s="128">
        <v>12</v>
      </c>
      <c r="P89" s="128">
        <v>2400446.16</v>
      </c>
      <c r="Q89" s="128">
        <v>5598.5</v>
      </c>
      <c r="R89" s="128">
        <v>2</v>
      </c>
      <c r="S89" s="128">
        <v>27960.320000000003</v>
      </c>
      <c r="T89" s="87"/>
      <c r="U89" s="128">
        <v>57</v>
      </c>
      <c r="V89" s="128">
        <v>7876.44</v>
      </c>
      <c r="W89" s="128">
        <v>21.47</v>
      </c>
      <c r="X89" s="128">
        <v>112</v>
      </c>
      <c r="Y89" s="128">
        <v>77475.11</v>
      </c>
      <c r="Z89" s="128">
        <v>286.14999999999998</v>
      </c>
      <c r="AA89" s="128">
        <v>1</v>
      </c>
      <c r="AB89"/>
      <c r="AC89" s="130">
        <f t="shared" ref="AC89:AC142" si="2">G89+I89+L89+O89+R89+AA89</f>
        <v>7247</v>
      </c>
      <c r="AD89"/>
      <c r="AE89" s="128">
        <v>784226.41</v>
      </c>
      <c r="AF89" s="128">
        <v>2087.81</v>
      </c>
      <c r="AG89" s="128">
        <f t="shared" si="1"/>
        <v>5</v>
      </c>
    </row>
    <row r="90" spans="1:33" x14ac:dyDescent="0.2">
      <c r="A90" s="82">
        <v>2018</v>
      </c>
      <c r="B90" s="83" t="s">
        <v>83</v>
      </c>
      <c r="C90" s="86"/>
      <c r="D90" s="128">
        <v>17253025.84</v>
      </c>
      <c r="E90" s="128">
        <v>237873.48</v>
      </c>
      <c r="F90" s="128">
        <v>5586071.3299999796</v>
      </c>
      <c r="G90" s="128">
        <v>6526</v>
      </c>
      <c r="H90" s="128">
        <v>2081147.2800000003</v>
      </c>
      <c r="I90" s="128">
        <v>649</v>
      </c>
      <c r="J90" s="128">
        <v>3660394.26</v>
      </c>
      <c r="K90" s="128">
        <v>11704.979999999996</v>
      </c>
      <c r="L90" s="128">
        <v>80</v>
      </c>
      <c r="M90" s="128">
        <v>3045205.3699999996</v>
      </c>
      <c r="N90" s="128">
        <v>9992.44</v>
      </c>
      <c r="O90" s="128">
        <v>12</v>
      </c>
      <c r="P90" s="128">
        <v>2238738.4</v>
      </c>
      <c r="Q90" s="128">
        <v>5481.81</v>
      </c>
      <c r="R90" s="128">
        <v>2</v>
      </c>
      <c r="S90" s="128">
        <v>29743.329999999998</v>
      </c>
      <c r="T90" s="87"/>
      <c r="U90" s="128">
        <v>57</v>
      </c>
      <c r="V90" s="128">
        <v>8134.4299999999994</v>
      </c>
      <c r="W90" s="128">
        <v>21.58</v>
      </c>
      <c r="X90" s="128">
        <v>112</v>
      </c>
      <c r="Y90" s="128">
        <v>69227.070000000007</v>
      </c>
      <c r="Z90" s="128">
        <v>241.63</v>
      </c>
      <c r="AA90" s="128">
        <v>1</v>
      </c>
      <c r="AB90"/>
      <c r="AC90" s="130">
        <f t="shared" si="2"/>
        <v>7270</v>
      </c>
      <c r="AD90"/>
      <c r="AE90" s="128">
        <v>792777.92999999993</v>
      </c>
      <c r="AF90" s="128">
        <v>2210.0699999999997</v>
      </c>
      <c r="AG90" s="128">
        <f t="shared" si="1"/>
        <v>5</v>
      </c>
    </row>
    <row r="91" spans="1:33" x14ac:dyDescent="0.2">
      <c r="A91" s="82">
        <v>2018</v>
      </c>
      <c r="B91" s="83" t="s">
        <v>84</v>
      </c>
      <c r="C91" s="86"/>
      <c r="D91" s="128">
        <v>17560844.650000006</v>
      </c>
      <c r="E91" s="128">
        <v>198710.13</v>
      </c>
      <c r="F91" s="128">
        <v>5518344.8000000231</v>
      </c>
      <c r="G91" s="128">
        <v>6544</v>
      </c>
      <c r="H91" s="128">
        <v>2046841.330000001</v>
      </c>
      <c r="I91" s="128">
        <v>649</v>
      </c>
      <c r="J91" s="128">
        <v>3787770.97</v>
      </c>
      <c r="K91" s="128">
        <v>11642.560000000003</v>
      </c>
      <c r="L91" s="128">
        <v>81</v>
      </c>
      <c r="M91" s="128">
        <v>3330568.88</v>
      </c>
      <c r="N91" s="128">
        <v>9748.69</v>
      </c>
      <c r="O91" s="128">
        <v>12</v>
      </c>
      <c r="P91" s="128">
        <v>2311146.7199999997</v>
      </c>
      <c r="Q91" s="128">
        <v>5295.31</v>
      </c>
      <c r="R91" s="128">
        <v>2</v>
      </c>
      <c r="S91" s="128">
        <v>28630.95</v>
      </c>
      <c r="T91" s="87"/>
      <c r="U91" s="128">
        <v>56</v>
      </c>
      <c r="V91" s="128">
        <v>8138.99</v>
      </c>
      <c r="W91" s="128">
        <v>21.750000000000004</v>
      </c>
      <c r="X91" s="128">
        <v>112</v>
      </c>
      <c r="Y91" s="128">
        <v>69940.73</v>
      </c>
      <c r="Z91" s="128">
        <v>215.7</v>
      </c>
      <c r="AA91" s="128">
        <v>1</v>
      </c>
      <c r="AB91"/>
      <c r="AC91" s="130">
        <f t="shared" si="2"/>
        <v>7289</v>
      </c>
      <c r="AD91"/>
      <c r="AE91" s="128">
        <v>827923.55</v>
      </c>
      <c r="AF91" s="128">
        <v>2130.65</v>
      </c>
      <c r="AG91" s="128">
        <f t="shared" si="1"/>
        <v>5</v>
      </c>
    </row>
    <row r="92" spans="1:33" x14ac:dyDescent="0.2">
      <c r="A92" s="82">
        <v>2018</v>
      </c>
      <c r="B92" s="83" t="s">
        <v>85</v>
      </c>
      <c r="C92" s="86"/>
      <c r="D92" s="128">
        <v>15504314.149999997</v>
      </c>
      <c r="E92" s="128">
        <v>151817.58000000002</v>
      </c>
      <c r="F92" s="128">
        <v>4480226.4400000181</v>
      </c>
      <c r="G92" s="128">
        <v>6552</v>
      </c>
      <c r="H92" s="128">
        <v>1756996.7300000004</v>
      </c>
      <c r="I92" s="128">
        <v>648</v>
      </c>
      <c r="J92" s="128">
        <v>3478371.86</v>
      </c>
      <c r="K92" s="128">
        <v>11886.309999999994</v>
      </c>
      <c r="L92" s="128">
        <v>81</v>
      </c>
      <c r="M92" s="128">
        <v>3113097.5199999996</v>
      </c>
      <c r="N92" s="128">
        <v>10124.74</v>
      </c>
      <c r="O92" s="128">
        <v>13</v>
      </c>
      <c r="P92" s="128">
        <v>2261266.7999999998</v>
      </c>
      <c r="Q92" s="128">
        <v>5635.6</v>
      </c>
      <c r="R92" s="128">
        <v>2</v>
      </c>
      <c r="S92" s="128">
        <v>27365.969999999998</v>
      </c>
      <c r="T92" s="87"/>
      <c r="U92" s="128">
        <v>56</v>
      </c>
      <c r="V92" s="128">
        <v>7876.4400000000005</v>
      </c>
      <c r="W92" s="128">
        <v>22.410000000000004</v>
      </c>
      <c r="X92" s="128">
        <v>112</v>
      </c>
      <c r="Y92" s="128">
        <v>68142.5</v>
      </c>
      <c r="Z92" s="128">
        <v>194</v>
      </c>
      <c r="AA92" s="128">
        <v>1</v>
      </c>
      <c r="AB92"/>
      <c r="AC92" s="130">
        <f t="shared" si="2"/>
        <v>7297</v>
      </c>
      <c r="AD92"/>
      <c r="AE92" s="128">
        <v>797357.40999999992</v>
      </c>
      <c r="AF92" s="128">
        <v>2178.8500000000004</v>
      </c>
      <c r="AG92" s="128">
        <f t="shared" si="1"/>
        <v>5</v>
      </c>
    </row>
    <row r="93" spans="1:33" x14ac:dyDescent="0.2">
      <c r="A93" s="82">
        <v>2018</v>
      </c>
      <c r="B93" s="83" t="s">
        <v>86</v>
      </c>
      <c r="C93" s="86"/>
      <c r="D93" s="128">
        <v>15079922.620000003</v>
      </c>
      <c r="E93" s="128">
        <v>103570.98</v>
      </c>
      <c r="F93" s="128">
        <v>3896481.059999974</v>
      </c>
      <c r="G93" s="128">
        <v>6565</v>
      </c>
      <c r="H93" s="128">
        <v>1605720.5299999986</v>
      </c>
      <c r="I93" s="128">
        <v>648</v>
      </c>
      <c r="J93" s="128">
        <v>3574917.6999999988</v>
      </c>
      <c r="K93" s="128">
        <v>11094.33</v>
      </c>
      <c r="L93" s="128">
        <v>80</v>
      </c>
      <c r="M93" s="128">
        <v>3158443.5300000003</v>
      </c>
      <c r="N93" s="128">
        <v>9774.24</v>
      </c>
      <c r="O93" s="128">
        <v>13</v>
      </c>
      <c r="P93" s="128">
        <v>2412551.6</v>
      </c>
      <c r="Q93" s="128">
        <v>5405.08</v>
      </c>
      <c r="R93" s="128">
        <v>2</v>
      </c>
      <c r="S93" s="128">
        <v>29565.97</v>
      </c>
      <c r="T93" s="87"/>
      <c r="U93" s="128">
        <v>56</v>
      </c>
      <c r="V93" s="128">
        <v>8138.99</v>
      </c>
      <c r="W93" s="128">
        <v>21.930000000000003</v>
      </c>
      <c r="X93" s="128">
        <v>112</v>
      </c>
      <c r="Y93" s="128">
        <v>75302</v>
      </c>
      <c r="Z93" s="128">
        <v>184</v>
      </c>
      <c r="AA93" s="128">
        <v>1</v>
      </c>
      <c r="AB93"/>
      <c r="AC93" s="130">
        <f t="shared" si="2"/>
        <v>7309</v>
      </c>
      <c r="AD93"/>
      <c r="AE93" s="128">
        <v>847707.74</v>
      </c>
      <c r="AF93" s="128">
        <v>2186.86</v>
      </c>
      <c r="AG93" s="128">
        <f t="shared" si="1"/>
        <v>5</v>
      </c>
    </row>
    <row r="94" spans="1:33" x14ac:dyDescent="0.2">
      <c r="A94" s="82">
        <v>2018</v>
      </c>
      <c r="B94" s="83" t="s">
        <v>87</v>
      </c>
      <c r="C94" s="86"/>
      <c r="D94" s="128">
        <v>15240429.750000002</v>
      </c>
      <c r="E94" s="128">
        <v>36530.949999999997</v>
      </c>
      <c r="F94" s="128">
        <v>4052050.9199999864</v>
      </c>
      <c r="G94" s="128">
        <v>6566</v>
      </c>
      <c r="H94" s="128">
        <v>1671900.7100000009</v>
      </c>
      <c r="I94" s="128">
        <v>647</v>
      </c>
      <c r="J94" s="128">
        <v>3593017</v>
      </c>
      <c r="K94" s="128">
        <v>10378.86</v>
      </c>
      <c r="L94" s="128">
        <v>80</v>
      </c>
      <c r="M94" s="128">
        <v>2992505.92</v>
      </c>
      <c r="N94" s="128">
        <v>9186.0299999999988</v>
      </c>
      <c r="O94" s="128">
        <v>13</v>
      </c>
      <c r="P94" s="128">
        <v>2379631.5999999996</v>
      </c>
      <c r="Q94" s="128">
        <v>5305.7199999999993</v>
      </c>
      <c r="R94" s="128">
        <v>2</v>
      </c>
      <c r="S94" s="128">
        <v>27753.599999999999</v>
      </c>
      <c r="T94" s="87"/>
      <c r="U94" s="128">
        <v>56</v>
      </c>
      <c r="V94" s="128">
        <v>7876.4400000000005</v>
      </c>
      <c r="W94" s="128">
        <v>21.73</v>
      </c>
      <c r="X94" s="128">
        <v>112</v>
      </c>
      <c r="Y94" s="128">
        <v>70701.25</v>
      </c>
      <c r="Z94" s="128">
        <v>163</v>
      </c>
      <c r="AA94" s="128">
        <v>1</v>
      </c>
      <c r="AB94"/>
      <c r="AC94" s="130">
        <f t="shared" si="2"/>
        <v>7309</v>
      </c>
      <c r="AD94"/>
      <c r="AE94" s="128">
        <v>844669.66999999993</v>
      </c>
      <c r="AF94" s="128">
        <v>2245.7200000000003</v>
      </c>
      <c r="AG94" s="128">
        <f t="shared" si="1"/>
        <v>5</v>
      </c>
    </row>
    <row r="95" spans="1:33" x14ac:dyDescent="0.2">
      <c r="A95" s="82">
        <v>2018</v>
      </c>
      <c r="B95" s="83" t="s">
        <v>88</v>
      </c>
      <c r="C95" s="86"/>
      <c r="D95" s="128">
        <v>14436070.189999999</v>
      </c>
      <c r="E95" s="128">
        <v>31997.420000000002</v>
      </c>
      <c r="F95" s="128">
        <v>4498644.7799999975</v>
      </c>
      <c r="G95" s="128">
        <v>6579</v>
      </c>
      <c r="H95" s="128">
        <v>1734915.8199999994</v>
      </c>
      <c r="I95" s="128">
        <v>653</v>
      </c>
      <c r="J95" s="128">
        <v>3338000.5400000005</v>
      </c>
      <c r="K95" s="128">
        <v>10478.92</v>
      </c>
      <c r="L95" s="128">
        <v>81</v>
      </c>
      <c r="M95" s="128">
        <v>2445992.8499999996</v>
      </c>
      <c r="N95" s="128">
        <v>9107.02</v>
      </c>
      <c r="O95" s="128">
        <v>13</v>
      </c>
      <c r="P95" s="128">
        <v>1853633.2000000002</v>
      </c>
      <c r="Q95" s="128">
        <v>5211.66</v>
      </c>
      <c r="R95" s="128">
        <v>2</v>
      </c>
      <c r="S95" s="128">
        <v>27687.63</v>
      </c>
      <c r="T95" s="87"/>
      <c r="U95" s="128">
        <v>56</v>
      </c>
      <c r="V95" s="128">
        <v>8093.3899999999994</v>
      </c>
      <c r="W95" s="128">
        <v>21.700000000000006</v>
      </c>
      <c r="X95" s="128">
        <v>112</v>
      </c>
      <c r="Y95" s="128">
        <v>76936</v>
      </c>
      <c r="Z95" s="128">
        <v>163</v>
      </c>
      <c r="AA95" s="128">
        <v>1</v>
      </c>
      <c r="AB95"/>
      <c r="AC95" s="130">
        <f t="shared" si="2"/>
        <v>7329</v>
      </c>
      <c r="AD95"/>
      <c r="AE95" s="128">
        <v>620430.38</v>
      </c>
      <c r="AF95" s="128">
        <v>2192.41</v>
      </c>
      <c r="AG95" s="128">
        <f t="shared" si="1"/>
        <v>5</v>
      </c>
    </row>
    <row r="96" spans="1:33" x14ac:dyDescent="0.2">
      <c r="A96" s="82">
        <v>2019</v>
      </c>
      <c r="B96" s="83" t="s">
        <v>78</v>
      </c>
      <c r="C96" s="86"/>
      <c r="D96" s="127">
        <v>16295154.600000001</v>
      </c>
      <c r="E96" s="127">
        <v>46539.969999999994</v>
      </c>
      <c r="F96" s="127">
        <v>4708105.3399999971</v>
      </c>
      <c r="G96" s="127">
        <v>6592</v>
      </c>
      <c r="H96" s="127">
        <v>1935959.6399999994</v>
      </c>
      <c r="I96" s="127">
        <v>652</v>
      </c>
      <c r="J96" s="127">
        <v>3894827.92</v>
      </c>
      <c r="K96" s="127">
        <v>11129.14</v>
      </c>
      <c r="L96" s="127">
        <v>76</v>
      </c>
      <c r="M96" s="127">
        <v>2615008.4900000002</v>
      </c>
      <c r="N96" s="127">
        <v>7760.8799999999992</v>
      </c>
      <c r="O96" s="127">
        <v>12</v>
      </c>
      <c r="P96" s="127">
        <v>2526074.4</v>
      </c>
      <c r="Q96" s="127">
        <v>5390.05</v>
      </c>
      <c r="R96" s="127">
        <v>2</v>
      </c>
      <c r="S96" s="127">
        <v>29538.05</v>
      </c>
      <c r="T96" s="85"/>
      <c r="U96" s="127">
        <v>56</v>
      </c>
      <c r="V96" s="127">
        <v>6726.7599999999993</v>
      </c>
      <c r="W96" s="127">
        <v>18.199999999999996</v>
      </c>
      <c r="X96" s="127">
        <v>112</v>
      </c>
      <c r="Y96" s="127">
        <v>72435</v>
      </c>
      <c r="Z96" s="127">
        <v>163</v>
      </c>
      <c r="AA96" s="127">
        <v>1</v>
      </c>
      <c r="AB96"/>
      <c r="AC96" s="130">
        <f t="shared" si="2"/>
        <v>7335</v>
      </c>
      <c r="AD96"/>
      <c r="AE96" s="127">
        <v>407405.83</v>
      </c>
      <c r="AF96" s="127">
        <v>1374.68</v>
      </c>
      <c r="AG96" s="127">
        <f t="shared" si="1"/>
        <v>5</v>
      </c>
    </row>
    <row r="97" spans="1:33" x14ac:dyDescent="0.2">
      <c r="A97" s="82">
        <v>2019</v>
      </c>
      <c r="B97" s="83" t="s">
        <v>79</v>
      </c>
      <c r="C97" s="86"/>
      <c r="D97" s="128">
        <v>14247811.720000001</v>
      </c>
      <c r="E97" s="128">
        <v>62626.71</v>
      </c>
      <c r="F97" s="128">
        <v>4224617.4700000053</v>
      </c>
      <c r="G97" s="128">
        <v>6600</v>
      </c>
      <c r="H97" s="128">
        <v>1728345.7500000023</v>
      </c>
      <c r="I97" s="128">
        <v>652</v>
      </c>
      <c r="J97" s="128">
        <v>3473628.4799999991</v>
      </c>
      <c r="K97" s="128">
        <v>10989.490000000002</v>
      </c>
      <c r="L97" s="128">
        <v>76</v>
      </c>
      <c r="M97" s="128">
        <v>2171919.0699999998</v>
      </c>
      <c r="N97" s="128">
        <v>7545.66</v>
      </c>
      <c r="O97" s="128">
        <v>12</v>
      </c>
      <c r="P97" s="128">
        <v>2249014.7999999998</v>
      </c>
      <c r="Q97" s="128">
        <v>5480.15</v>
      </c>
      <c r="R97" s="128">
        <v>2</v>
      </c>
      <c r="S97" s="128">
        <v>25493.49</v>
      </c>
      <c r="T97" s="87"/>
      <c r="U97" s="128">
        <v>56</v>
      </c>
      <c r="V97" s="128">
        <v>6112.84</v>
      </c>
      <c r="W97" s="128">
        <v>17.899999999999999</v>
      </c>
      <c r="X97" s="128">
        <v>112</v>
      </c>
      <c r="Y97" s="128">
        <v>51780</v>
      </c>
      <c r="Z97" s="128">
        <v>155</v>
      </c>
      <c r="AA97" s="128">
        <v>1</v>
      </c>
      <c r="AB97"/>
      <c r="AC97" s="130">
        <f t="shared" si="2"/>
        <v>7343</v>
      </c>
      <c r="AD97"/>
      <c r="AE97" s="128">
        <v>332490.93</v>
      </c>
      <c r="AF97" s="128">
        <v>1178.8699999999999</v>
      </c>
      <c r="AG97" s="128">
        <f t="shared" si="1"/>
        <v>5</v>
      </c>
    </row>
    <row r="98" spans="1:33" x14ac:dyDescent="0.2">
      <c r="A98" s="82">
        <v>2019</v>
      </c>
      <c r="B98" s="83" t="s">
        <v>80</v>
      </c>
      <c r="C98" s="86"/>
      <c r="D98" s="128">
        <v>14861723.25</v>
      </c>
      <c r="E98" s="128">
        <v>152139.06</v>
      </c>
      <c r="F98" s="128">
        <v>4226400.349999995</v>
      </c>
      <c r="G98" s="128">
        <v>6604</v>
      </c>
      <c r="H98" s="128">
        <v>1803161.4900000009</v>
      </c>
      <c r="I98" s="128">
        <v>652</v>
      </c>
      <c r="J98" s="128">
        <v>3702294.6899999985</v>
      </c>
      <c r="K98" s="128">
        <v>10554.819999999998</v>
      </c>
      <c r="L98" s="128">
        <v>76</v>
      </c>
      <c r="M98" s="128">
        <v>2315287.04</v>
      </c>
      <c r="N98" s="128">
        <v>7718.45</v>
      </c>
      <c r="O98" s="128">
        <v>12</v>
      </c>
      <c r="P98" s="128">
        <v>2386074.7999999998</v>
      </c>
      <c r="Q98" s="128">
        <v>5118.68</v>
      </c>
      <c r="R98" s="128">
        <v>2</v>
      </c>
      <c r="S98" s="128">
        <v>30062.19</v>
      </c>
      <c r="T98" s="87"/>
      <c r="U98" s="128">
        <v>56</v>
      </c>
      <c r="V98" s="128">
        <v>6767.79</v>
      </c>
      <c r="W98" s="128">
        <v>19.420000000000005</v>
      </c>
      <c r="X98" s="128">
        <v>112</v>
      </c>
      <c r="Y98" s="128">
        <v>45872.5</v>
      </c>
      <c r="Z98" s="128">
        <v>118</v>
      </c>
      <c r="AA98" s="128">
        <v>1</v>
      </c>
      <c r="AB98"/>
      <c r="AC98" s="130">
        <f t="shared" si="2"/>
        <v>7347</v>
      </c>
      <c r="AD98"/>
      <c r="AE98" s="128">
        <v>257080.83</v>
      </c>
      <c r="AF98" s="128">
        <v>1184.51</v>
      </c>
      <c r="AG98" s="128">
        <f t="shared" si="1"/>
        <v>5</v>
      </c>
    </row>
    <row r="99" spans="1:33" x14ac:dyDescent="0.2">
      <c r="A99" s="82">
        <v>2019</v>
      </c>
      <c r="B99" s="83" t="s">
        <v>81</v>
      </c>
      <c r="C99" s="86"/>
      <c r="D99" s="128">
        <v>13124081.850000001</v>
      </c>
      <c r="E99" s="128">
        <v>151196.49</v>
      </c>
      <c r="F99" s="128">
        <v>3673267.4599999925</v>
      </c>
      <c r="G99" s="128">
        <v>6614</v>
      </c>
      <c r="H99" s="128">
        <v>1568546.8799999985</v>
      </c>
      <c r="I99" s="128">
        <v>652</v>
      </c>
      <c r="J99" s="128">
        <v>3297536.370000001</v>
      </c>
      <c r="K99" s="128">
        <v>10435.070000000002</v>
      </c>
      <c r="L99" s="128">
        <v>77</v>
      </c>
      <c r="M99" s="128">
        <v>2098894.3099999996</v>
      </c>
      <c r="N99" s="128">
        <v>6914.69</v>
      </c>
      <c r="O99" s="128">
        <v>12</v>
      </c>
      <c r="P99" s="128">
        <v>2189873.2000000002</v>
      </c>
      <c r="Q99" s="128">
        <v>5108.18</v>
      </c>
      <c r="R99" s="128">
        <v>2</v>
      </c>
      <c r="S99" s="128">
        <v>27866.39</v>
      </c>
      <c r="T99" s="87"/>
      <c r="U99" s="128">
        <v>56</v>
      </c>
      <c r="V99" s="128">
        <v>6549.4900000000007</v>
      </c>
      <c r="W99" s="128">
        <v>17.929999999999996</v>
      </c>
      <c r="X99" s="128">
        <v>112</v>
      </c>
      <c r="Y99" s="128">
        <v>39117</v>
      </c>
      <c r="Z99" s="128">
        <v>118</v>
      </c>
      <c r="AA99" s="128">
        <v>1</v>
      </c>
      <c r="AB99"/>
      <c r="AC99" s="130">
        <f t="shared" si="2"/>
        <v>7358</v>
      </c>
      <c r="AD99"/>
      <c r="AE99" s="128">
        <v>203874.13</v>
      </c>
      <c r="AF99" s="128">
        <v>821.23</v>
      </c>
      <c r="AG99" s="128">
        <f t="shared" si="1"/>
        <v>5</v>
      </c>
    </row>
    <row r="100" spans="1:33" x14ac:dyDescent="0.2">
      <c r="A100" s="82">
        <v>2019</v>
      </c>
      <c r="B100" s="83" t="s">
        <v>52</v>
      </c>
      <c r="C100" s="86"/>
      <c r="D100" s="128">
        <v>13301422.26</v>
      </c>
      <c r="E100" s="128">
        <v>191845.86</v>
      </c>
      <c r="F100" s="128">
        <v>3577125.600000001</v>
      </c>
      <c r="G100" s="128">
        <v>6622</v>
      </c>
      <c r="H100" s="128">
        <v>1574248.0599999998</v>
      </c>
      <c r="I100" s="128">
        <v>652</v>
      </c>
      <c r="J100" s="128">
        <v>3458084.4299999983</v>
      </c>
      <c r="K100" s="128">
        <v>10843.6</v>
      </c>
      <c r="L100" s="128">
        <v>78</v>
      </c>
      <c r="M100" s="128">
        <v>2095932.86</v>
      </c>
      <c r="N100" s="128">
        <v>7625.23</v>
      </c>
      <c r="O100" s="128">
        <v>12</v>
      </c>
      <c r="P100" s="128">
        <v>2322234.7999999998</v>
      </c>
      <c r="Q100" s="128">
        <v>4998.4399999999996</v>
      </c>
      <c r="R100" s="128">
        <v>2</v>
      </c>
      <c r="S100" s="128">
        <v>29206.83</v>
      </c>
      <c r="T100" s="87"/>
      <c r="U100" s="128">
        <v>57</v>
      </c>
      <c r="V100" s="128">
        <v>6767.7900000000009</v>
      </c>
      <c r="W100" s="128">
        <v>18.259999999999998</v>
      </c>
      <c r="X100" s="128">
        <v>112</v>
      </c>
      <c r="Y100" s="128">
        <v>35813</v>
      </c>
      <c r="Z100" s="128">
        <v>118</v>
      </c>
      <c r="AA100" s="128">
        <v>1</v>
      </c>
      <c r="AB100"/>
      <c r="AC100" s="130">
        <f t="shared" si="2"/>
        <v>7367</v>
      </c>
      <c r="AD100"/>
      <c r="AE100" s="128">
        <v>178685.52999999997</v>
      </c>
      <c r="AF100" s="128">
        <v>953.56</v>
      </c>
      <c r="AG100" s="128">
        <f t="shared" si="1"/>
        <v>5</v>
      </c>
    </row>
    <row r="101" spans="1:33" x14ac:dyDescent="0.2">
      <c r="A101" s="82">
        <v>2019</v>
      </c>
      <c r="B101" s="83" t="s">
        <v>82</v>
      </c>
      <c r="C101" s="86"/>
      <c r="D101" s="128">
        <v>14098153.719999997</v>
      </c>
      <c r="E101" s="128">
        <v>205535.26000000004</v>
      </c>
      <c r="F101" s="128">
        <v>4256489.3299999954</v>
      </c>
      <c r="G101" s="128">
        <v>6635</v>
      </c>
      <c r="H101" s="128">
        <v>1709348.8599999985</v>
      </c>
      <c r="I101" s="128">
        <v>654</v>
      </c>
      <c r="J101" s="128">
        <v>3517761.8600000013</v>
      </c>
      <c r="K101" s="128">
        <v>11261.859999999999</v>
      </c>
      <c r="L101" s="128">
        <v>78</v>
      </c>
      <c r="M101" s="128">
        <v>2284125.21</v>
      </c>
      <c r="N101" s="128">
        <v>7682.99</v>
      </c>
      <c r="O101" s="128">
        <v>12</v>
      </c>
      <c r="P101" s="128">
        <v>2160682.7999999998</v>
      </c>
      <c r="Q101" s="128">
        <v>4960.03</v>
      </c>
      <c r="R101" s="128">
        <v>2</v>
      </c>
      <c r="S101" s="128">
        <v>27364.539999999997</v>
      </c>
      <c r="T101" s="87"/>
      <c r="U101" s="128">
        <v>57</v>
      </c>
      <c r="V101" s="128">
        <v>6549.4699999999984</v>
      </c>
      <c r="W101" s="128">
        <v>18.23</v>
      </c>
      <c r="X101" s="128">
        <v>112</v>
      </c>
      <c r="Y101" s="128">
        <v>31948.5</v>
      </c>
      <c r="Z101" s="128">
        <v>118</v>
      </c>
      <c r="AA101" s="128">
        <v>1</v>
      </c>
      <c r="AB101"/>
      <c r="AC101" s="130">
        <f t="shared" si="2"/>
        <v>7382</v>
      </c>
      <c r="AD101"/>
      <c r="AE101" s="128">
        <v>166608.38999999998</v>
      </c>
      <c r="AF101" s="128">
        <v>743.32</v>
      </c>
      <c r="AG101" s="128">
        <f t="shared" si="1"/>
        <v>5</v>
      </c>
    </row>
    <row r="102" spans="1:33" x14ac:dyDescent="0.2">
      <c r="A102" s="82">
        <v>2019</v>
      </c>
      <c r="B102" s="83" t="s">
        <v>83</v>
      </c>
      <c r="C102" s="86"/>
      <c r="D102" s="128">
        <v>17237421.399999999</v>
      </c>
      <c r="E102" s="128">
        <v>234680.17</v>
      </c>
      <c r="F102" s="128">
        <v>5731579.9999999059</v>
      </c>
      <c r="G102" s="128">
        <v>6636</v>
      </c>
      <c r="H102" s="128">
        <v>2107462.6200000024</v>
      </c>
      <c r="I102" s="128">
        <v>653</v>
      </c>
      <c r="J102" s="128">
        <v>3781755.5999999996</v>
      </c>
      <c r="K102" s="128">
        <v>11483.69</v>
      </c>
      <c r="L102" s="128">
        <v>79</v>
      </c>
      <c r="M102" s="128">
        <v>2714461.33</v>
      </c>
      <c r="N102" s="128">
        <v>8087.6500000000005</v>
      </c>
      <c r="O102" s="128">
        <v>12</v>
      </c>
      <c r="P102" s="128">
        <v>2180466.4</v>
      </c>
      <c r="Q102" s="128">
        <v>4946.49</v>
      </c>
      <c r="R102" s="128">
        <v>2</v>
      </c>
      <c r="S102" s="128">
        <v>29565.280000000002</v>
      </c>
      <c r="T102" s="87"/>
      <c r="U102" s="128">
        <v>57</v>
      </c>
      <c r="V102" s="128">
        <v>6767.8100000000013</v>
      </c>
      <c r="W102" s="128">
        <v>18.29</v>
      </c>
      <c r="X102" s="128">
        <v>112</v>
      </c>
      <c r="Y102" s="128">
        <v>33807</v>
      </c>
      <c r="Z102" s="128">
        <v>118</v>
      </c>
      <c r="AA102" s="128">
        <v>1</v>
      </c>
      <c r="AB102"/>
      <c r="AC102" s="130">
        <f t="shared" si="2"/>
        <v>7383</v>
      </c>
      <c r="AD102"/>
      <c r="AE102" s="128">
        <v>181458.09</v>
      </c>
      <c r="AF102" s="128">
        <v>728.09</v>
      </c>
      <c r="AG102" s="128">
        <f t="shared" si="1"/>
        <v>5</v>
      </c>
    </row>
    <row r="103" spans="1:33" x14ac:dyDescent="0.2">
      <c r="A103" s="82">
        <v>2019</v>
      </c>
      <c r="B103" s="83" t="s">
        <v>84</v>
      </c>
      <c r="C103" s="86"/>
      <c r="D103" s="128">
        <v>16150313.539999997</v>
      </c>
      <c r="E103" s="128">
        <v>220608.79000000004</v>
      </c>
      <c r="F103" s="128">
        <v>5134277.1500000544</v>
      </c>
      <c r="G103" s="128">
        <v>6656</v>
      </c>
      <c r="H103" s="128">
        <v>1940825.1699999997</v>
      </c>
      <c r="I103" s="128">
        <v>659</v>
      </c>
      <c r="J103" s="128">
        <v>3684849.1599999997</v>
      </c>
      <c r="K103" s="128">
        <v>11265.220000000001</v>
      </c>
      <c r="L103" s="128">
        <v>79</v>
      </c>
      <c r="M103" s="128">
        <v>2731035.81</v>
      </c>
      <c r="N103" s="128">
        <v>8158.1399999999994</v>
      </c>
      <c r="O103" s="128">
        <v>12</v>
      </c>
      <c r="P103" s="128">
        <v>2259014.4</v>
      </c>
      <c r="Q103" s="128">
        <v>4872.62</v>
      </c>
      <c r="R103" s="128">
        <v>2</v>
      </c>
      <c r="S103" s="128">
        <v>28588.27</v>
      </c>
      <c r="T103" s="87"/>
      <c r="U103" s="128">
        <v>57</v>
      </c>
      <c r="V103" s="128">
        <v>6767.79</v>
      </c>
      <c r="W103" s="128">
        <v>18.11</v>
      </c>
      <c r="X103" s="128">
        <v>112</v>
      </c>
      <c r="Y103" s="128">
        <v>38261.5</v>
      </c>
      <c r="Z103" s="128">
        <v>118</v>
      </c>
      <c r="AA103" s="128">
        <v>1</v>
      </c>
      <c r="AB103"/>
      <c r="AC103" s="130">
        <f t="shared" si="2"/>
        <v>7409</v>
      </c>
      <c r="AD103"/>
      <c r="AE103" s="128">
        <v>182486.43</v>
      </c>
      <c r="AF103" s="128">
        <v>824.22</v>
      </c>
      <c r="AG103" s="128">
        <f t="shared" si="1"/>
        <v>5</v>
      </c>
    </row>
    <row r="104" spans="1:33" x14ac:dyDescent="0.2">
      <c r="A104" s="82">
        <v>2019</v>
      </c>
      <c r="B104" s="83" t="s">
        <v>85</v>
      </c>
      <c r="C104" s="86"/>
      <c r="D104" s="128">
        <v>14159844.92</v>
      </c>
      <c r="E104" s="128">
        <v>176014.12</v>
      </c>
      <c r="F104" s="128">
        <v>4023295.290000021</v>
      </c>
      <c r="G104" s="128">
        <v>6695</v>
      </c>
      <c r="H104" s="128">
        <v>1659163.3299999994</v>
      </c>
      <c r="I104" s="128">
        <v>658</v>
      </c>
      <c r="J104" s="128">
        <v>3489880.89</v>
      </c>
      <c r="K104" s="128">
        <v>11062.81</v>
      </c>
      <c r="L104" s="128">
        <v>79</v>
      </c>
      <c r="M104" s="128">
        <v>2483347</v>
      </c>
      <c r="N104" s="128">
        <v>8017.24</v>
      </c>
      <c r="O104" s="128">
        <v>11</v>
      </c>
      <c r="P104" s="128">
        <v>2256083.5999999996</v>
      </c>
      <c r="Q104" s="128">
        <v>4880.83</v>
      </c>
      <c r="R104" s="128">
        <v>2</v>
      </c>
      <c r="S104" s="128">
        <v>27434.37</v>
      </c>
      <c r="T104" s="87"/>
      <c r="U104" s="128">
        <v>57</v>
      </c>
      <c r="V104" s="128">
        <v>6549.4900000000007</v>
      </c>
      <c r="W104" s="128">
        <v>17.920000000000002</v>
      </c>
      <c r="X104" s="128">
        <v>112</v>
      </c>
      <c r="Y104" s="128">
        <v>41447.5</v>
      </c>
      <c r="Z104" s="128">
        <v>118</v>
      </c>
      <c r="AA104" s="128">
        <v>1</v>
      </c>
      <c r="AB104"/>
      <c r="AC104" s="130">
        <f t="shared" si="2"/>
        <v>7446</v>
      </c>
      <c r="AD104"/>
      <c r="AE104" s="128">
        <v>174129.58999999997</v>
      </c>
      <c r="AF104" s="128">
        <v>813.84999999999991</v>
      </c>
      <c r="AG104" s="128">
        <f t="shared" si="1"/>
        <v>5</v>
      </c>
    </row>
    <row r="105" spans="1:33" x14ac:dyDescent="0.2">
      <c r="A105" s="82">
        <v>2019</v>
      </c>
      <c r="B105" s="83" t="s">
        <v>86</v>
      </c>
      <c r="C105" s="86"/>
      <c r="D105" s="128">
        <v>13763436.57</v>
      </c>
      <c r="E105" s="128">
        <v>131016.67999999998</v>
      </c>
      <c r="F105" s="128">
        <v>3721603.9999999939</v>
      </c>
      <c r="G105" s="128">
        <v>6705</v>
      </c>
      <c r="H105" s="128">
        <v>1595161.2600000005</v>
      </c>
      <c r="I105" s="128">
        <v>658</v>
      </c>
      <c r="J105" s="128">
        <v>3466963.5599999987</v>
      </c>
      <c r="K105" s="128">
        <v>10886.89</v>
      </c>
      <c r="L105" s="128">
        <v>79</v>
      </c>
      <c r="M105" s="128">
        <v>2344092.41</v>
      </c>
      <c r="N105" s="128">
        <v>7930.24</v>
      </c>
      <c r="O105" s="128">
        <v>11</v>
      </c>
      <c r="P105" s="128">
        <v>2306013.6</v>
      </c>
      <c r="Q105" s="128">
        <v>4858.3099999999995</v>
      </c>
      <c r="R105" s="128">
        <v>2</v>
      </c>
      <c r="S105" s="128">
        <v>28956.639999999999</v>
      </c>
      <c r="T105" s="87"/>
      <c r="U105" s="128">
        <v>57</v>
      </c>
      <c r="V105" s="128">
        <v>6767.7899999999991</v>
      </c>
      <c r="W105" s="128">
        <v>17.489999999999998</v>
      </c>
      <c r="X105" s="128">
        <v>112</v>
      </c>
      <c r="Y105" s="128">
        <v>48291.5</v>
      </c>
      <c r="Z105" s="128">
        <v>118</v>
      </c>
      <c r="AA105" s="128">
        <v>1</v>
      </c>
      <c r="AB105"/>
      <c r="AC105" s="130">
        <f t="shared" si="2"/>
        <v>7456</v>
      </c>
      <c r="AD105"/>
      <c r="AE105" s="128">
        <v>182414.28999999998</v>
      </c>
      <c r="AF105" s="128">
        <v>772.93999999999994</v>
      </c>
      <c r="AG105" s="128">
        <f t="shared" si="1"/>
        <v>5</v>
      </c>
    </row>
    <row r="106" spans="1:33" x14ac:dyDescent="0.2">
      <c r="A106" s="82">
        <v>2019</v>
      </c>
      <c r="B106" s="83" t="s">
        <v>87</v>
      </c>
      <c r="C106" s="86"/>
      <c r="D106" s="128">
        <v>14270971.950000003</v>
      </c>
      <c r="E106" s="128">
        <v>54537.3</v>
      </c>
      <c r="F106" s="128">
        <v>4122745.410000002</v>
      </c>
      <c r="G106" s="128">
        <v>6728</v>
      </c>
      <c r="H106" s="128">
        <v>1741520.7100000032</v>
      </c>
      <c r="I106" s="128">
        <v>657</v>
      </c>
      <c r="J106" s="128">
        <v>3536598.7000000011</v>
      </c>
      <c r="K106" s="128">
        <v>10611.130000000003</v>
      </c>
      <c r="L106" s="128">
        <v>80</v>
      </c>
      <c r="M106" s="128">
        <v>2317821.65</v>
      </c>
      <c r="N106" s="128">
        <v>7028.7199999999993</v>
      </c>
      <c r="O106" s="128">
        <v>11</v>
      </c>
      <c r="P106" s="128">
        <v>2120202.4000000004</v>
      </c>
      <c r="Q106" s="128">
        <v>4934.84</v>
      </c>
      <c r="R106" s="128">
        <v>2</v>
      </c>
      <c r="S106" s="128">
        <v>26864.18</v>
      </c>
      <c r="T106" s="87"/>
      <c r="U106" s="128">
        <v>57</v>
      </c>
      <c r="V106" s="128">
        <v>6549.49</v>
      </c>
      <c r="W106" s="128">
        <v>16.920000000000002</v>
      </c>
      <c r="X106" s="128">
        <v>112</v>
      </c>
      <c r="Y106" s="128">
        <v>51182.5</v>
      </c>
      <c r="Z106" s="128">
        <v>118</v>
      </c>
      <c r="AA106" s="128">
        <v>1</v>
      </c>
      <c r="AB106"/>
      <c r="AC106" s="130">
        <f t="shared" si="2"/>
        <v>7479</v>
      </c>
      <c r="AD106"/>
      <c r="AE106" s="128">
        <v>189033.54000000004</v>
      </c>
      <c r="AF106" s="128">
        <v>871.22</v>
      </c>
      <c r="AG106" s="128">
        <f t="shared" si="1"/>
        <v>5</v>
      </c>
    </row>
    <row r="107" spans="1:33" x14ac:dyDescent="0.2">
      <c r="A107" s="82">
        <v>2019</v>
      </c>
      <c r="B107" s="83" t="s">
        <v>88</v>
      </c>
      <c r="C107" s="86"/>
      <c r="D107" s="128">
        <v>14104425.360000001</v>
      </c>
      <c r="E107" s="128">
        <v>40652.15</v>
      </c>
      <c r="F107" s="128">
        <v>4549509.4199999897</v>
      </c>
      <c r="G107" s="128">
        <v>6737</v>
      </c>
      <c r="H107" s="128">
        <v>1803713.8599999978</v>
      </c>
      <c r="I107" s="128">
        <v>659</v>
      </c>
      <c r="J107" s="128">
        <v>3421229.5200000019</v>
      </c>
      <c r="K107" s="128">
        <v>10862.5</v>
      </c>
      <c r="L107" s="128">
        <v>80</v>
      </c>
      <c r="M107" s="128">
        <v>1987207.22</v>
      </c>
      <c r="N107" s="128">
        <v>6845.369999999999</v>
      </c>
      <c r="O107" s="128">
        <v>10</v>
      </c>
      <c r="P107" s="128">
        <v>1764671.2000000002</v>
      </c>
      <c r="Q107" s="128">
        <v>5011.09</v>
      </c>
      <c r="R107" s="128">
        <v>2</v>
      </c>
      <c r="S107" s="128">
        <v>29363.829999999998</v>
      </c>
      <c r="T107" s="87"/>
      <c r="U107" s="128">
        <v>57</v>
      </c>
      <c r="V107" s="128">
        <v>6767.8</v>
      </c>
      <c r="W107" s="128">
        <v>17.949999999999996</v>
      </c>
      <c r="X107" s="128">
        <v>112</v>
      </c>
      <c r="Y107" s="128">
        <v>55696</v>
      </c>
      <c r="Z107" s="128">
        <v>118</v>
      </c>
      <c r="AA107" s="128">
        <v>1</v>
      </c>
      <c r="AB107"/>
      <c r="AC107" s="130">
        <f t="shared" si="2"/>
        <v>7489</v>
      </c>
      <c r="AD107"/>
      <c r="AE107" s="128">
        <v>156379.99</v>
      </c>
      <c r="AF107" s="128">
        <v>696.1</v>
      </c>
      <c r="AG107" s="128">
        <f t="shared" si="1"/>
        <v>5</v>
      </c>
    </row>
    <row r="108" spans="1:33" x14ac:dyDescent="0.2">
      <c r="A108" s="82">
        <v>2020</v>
      </c>
      <c r="B108" s="83" t="s">
        <v>78</v>
      </c>
      <c r="C108" s="86"/>
      <c r="D108" s="127">
        <v>15014091.720000003</v>
      </c>
      <c r="E108" s="127">
        <v>35136.76</v>
      </c>
      <c r="F108" s="127">
        <v>4521242.9700000128</v>
      </c>
      <c r="G108" s="127">
        <v>6751</v>
      </c>
      <c r="H108" s="127">
        <v>1897918.2300000023</v>
      </c>
      <c r="I108" s="127">
        <v>668</v>
      </c>
      <c r="J108" s="127">
        <v>3791013.1299999994</v>
      </c>
      <c r="K108" s="127">
        <v>11756.03</v>
      </c>
      <c r="L108" s="127">
        <v>78</v>
      </c>
      <c r="M108" s="127">
        <v>2188578.2599999998</v>
      </c>
      <c r="N108" s="127">
        <v>6396.95</v>
      </c>
      <c r="O108" s="127">
        <v>8</v>
      </c>
      <c r="P108" s="127">
        <v>2120934.7999999998</v>
      </c>
      <c r="Q108" s="127">
        <v>5067.17</v>
      </c>
      <c r="R108" s="127">
        <v>2</v>
      </c>
      <c r="S108" s="127">
        <v>28118.290000000005</v>
      </c>
      <c r="T108" s="85"/>
      <c r="U108" s="127">
        <v>57</v>
      </c>
      <c r="V108" s="127">
        <v>6767.7999999999984</v>
      </c>
      <c r="W108" s="127">
        <v>18.249999999999996</v>
      </c>
      <c r="X108" s="127">
        <v>112</v>
      </c>
      <c r="Y108" s="127">
        <v>54870</v>
      </c>
      <c r="Z108" s="127">
        <v>118</v>
      </c>
      <c r="AA108" s="127">
        <v>1</v>
      </c>
      <c r="AB108"/>
      <c r="AC108" s="130">
        <f t="shared" si="2"/>
        <v>7508</v>
      </c>
      <c r="AD108"/>
      <c r="AE108" s="127">
        <v>171026.52000000002</v>
      </c>
      <c r="AF108" s="127">
        <v>749.52</v>
      </c>
      <c r="AG108" s="127">
        <f t="shared" si="1"/>
        <v>5</v>
      </c>
    </row>
    <row r="109" spans="1:33" x14ac:dyDescent="0.2">
      <c r="A109" s="82">
        <v>2020</v>
      </c>
      <c r="B109" s="83" t="s">
        <v>79</v>
      </c>
      <c r="C109" s="86"/>
      <c r="D109" s="128">
        <v>14192237.660000002</v>
      </c>
      <c r="E109" s="128">
        <v>77809.59</v>
      </c>
      <c r="F109" s="128">
        <v>4156130.0599999917</v>
      </c>
      <c r="G109" s="128">
        <v>6765</v>
      </c>
      <c r="H109" s="128">
        <v>1745936.7100000021</v>
      </c>
      <c r="I109" s="128">
        <v>665</v>
      </c>
      <c r="J109" s="128">
        <v>3719560.43</v>
      </c>
      <c r="K109" s="128">
        <v>11311.78</v>
      </c>
      <c r="L109" s="128">
        <v>81</v>
      </c>
      <c r="M109" s="128">
        <v>1944399.8399999999</v>
      </c>
      <c r="N109" s="128">
        <v>6462.57</v>
      </c>
      <c r="O109" s="128">
        <v>8</v>
      </c>
      <c r="P109" s="128">
        <v>2140137.2000000002</v>
      </c>
      <c r="Q109" s="128">
        <v>4976.3900000000003</v>
      </c>
      <c r="R109" s="128">
        <v>2</v>
      </c>
      <c r="S109" s="128">
        <v>26756.62</v>
      </c>
      <c r="T109" s="87"/>
      <c r="U109" s="128">
        <v>57</v>
      </c>
      <c r="V109" s="128">
        <v>5943.26</v>
      </c>
      <c r="W109" s="128">
        <v>17.099999999999998</v>
      </c>
      <c r="X109" s="128">
        <v>112</v>
      </c>
      <c r="Y109" s="128">
        <v>51330</v>
      </c>
      <c r="Z109" s="128">
        <v>118</v>
      </c>
      <c r="AA109" s="128">
        <v>1</v>
      </c>
      <c r="AB109"/>
      <c r="AC109" s="130">
        <f t="shared" si="2"/>
        <v>7522</v>
      </c>
      <c r="AD109"/>
      <c r="AE109" s="128">
        <v>163565.26999999999</v>
      </c>
      <c r="AF109" s="128">
        <v>737.81</v>
      </c>
      <c r="AG109" s="128">
        <f t="shared" si="1"/>
        <v>5</v>
      </c>
    </row>
    <row r="110" spans="1:33" x14ac:dyDescent="0.2">
      <c r="A110" s="82">
        <v>2020</v>
      </c>
      <c r="B110" s="83" t="s">
        <v>80</v>
      </c>
      <c r="C110" s="86"/>
      <c r="D110" s="128">
        <v>13448796.610000001</v>
      </c>
      <c r="E110" s="128">
        <v>139741.92000000001</v>
      </c>
      <c r="F110" s="128">
        <v>4228883.5300000031</v>
      </c>
      <c r="G110" s="128">
        <v>6777</v>
      </c>
      <c r="H110" s="128">
        <v>1627101.8799999983</v>
      </c>
      <c r="I110" s="128">
        <v>665</v>
      </c>
      <c r="J110" s="128">
        <v>3707727.22</v>
      </c>
      <c r="K110" s="128">
        <v>11310.290000000003</v>
      </c>
      <c r="L110" s="128">
        <v>81</v>
      </c>
      <c r="M110" s="128">
        <v>1923199.44</v>
      </c>
      <c r="N110" s="128">
        <v>6140.34</v>
      </c>
      <c r="O110" s="128">
        <v>8</v>
      </c>
      <c r="P110" s="128">
        <v>1658605.6</v>
      </c>
      <c r="Q110" s="128">
        <v>5032.83</v>
      </c>
      <c r="R110" s="128">
        <v>2</v>
      </c>
      <c r="S110" s="128">
        <v>30173.8</v>
      </c>
      <c r="T110" s="87"/>
      <c r="U110" s="128">
        <v>57</v>
      </c>
      <c r="V110" s="128">
        <v>6339.0199999999995</v>
      </c>
      <c r="W110" s="128">
        <v>17.440000000000001</v>
      </c>
      <c r="X110" s="128">
        <v>113</v>
      </c>
      <c r="Y110" s="128">
        <v>45872.5</v>
      </c>
      <c r="Z110" s="128">
        <v>118</v>
      </c>
      <c r="AA110" s="128">
        <v>1</v>
      </c>
      <c r="AB110"/>
      <c r="AC110" s="130">
        <f t="shared" si="2"/>
        <v>7534</v>
      </c>
      <c r="AD110"/>
      <c r="AE110" s="128">
        <v>155745.59</v>
      </c>
      <c r="AF110" s="128">
        <v>747.45</v>
      </c>
      <c r="AG110" s="128">
        <f t="shared" si="1"/>
        <v>5</v>
      </c>
    </row>
    <row r="111" spans="1:33" x14ac:dyDescent="0.2">
      <c r="A111" s="82">
        <v>2020</v>
      </c>
      <c r="B111" s="83" t="s">
        <v>81</v>
      </c>
      <c r="C111" s="86"/>
      <c r="D111" s="128">
        <v>10036078.820000004</v>
      </c>
      <c r="E111" s="128">
        <v>191301.65</v>
      </c>
      <c r="F111" s="128">
        <v>3930744.6700000158</v>
      </c>
      <c r="G111" s="128">
        <v>6791</v>
      </c>
      <c r="H111" s="128">
        <v>1319716.1900000013</v>
      </c>
      <c r="I111" s="128">
        <v>664</v>
      </c>
      <c r="J111" s="128">
        <v>2915063.5699999994</v>
      </c>
      <c r="K111" s="128">
        <v>9361.75</v>
      </c>
      <c r="L111" s="128">
        <v>81</v>
      </c>
      <c r="M111" s="128">
        <v>1259837.4099999999</v>
      </c>
      <c r="N111" s="128">
        <v>4535.75</v>
      </c>
      <c r="O111" s="128">
        <v>8</v>
      </c>
      <c r="P111" s="128">
        <v>324565.59999999998</v>
      </c>
      <c r="Q111" s="128">
        <v>1393.71</v>
      </c>
      <c r="R111" s="128">
        <v>2</v>
      </c>
      <c r="S111" s="128">
        <v>27756.959999999995</v>
      </c>
      <c r="T111" s="87"/>
      <c r="U111" s="128">
        <v>57</v>
      </c>
      <c r="V111" s="128">
        <v>6104.5200000000013</v>
      </c>
      <c r="W111" s="128">
        <v>16.770000000000003</v>
      </c>
      <c r="X111" s="128">
        <v>112</v>
      </c>
      <c r="Y111" s="128">
        <v>39117</v>
      </c>
      <c r="Z111" s="128">
        <v>118</v>
      </c>
      <c r="AA111" s="128">
        <v>1</v>
      </c>
      <c r="AB111"/>
      <c r="AC111" s="130">
        <f t="shared" si="2"/>
        <v>7547</v>
      </c>
      <c r="AD111"/>
      <c r="AE111" s="128">
        <v>130250.96000000002</v>
      </c>
      <c r="AF111" s="128">
        <v>718.29</v>
      </c>
      <c r="AG111" s="128">
        <f t="shared" si="1"/>
        <v>5</v>
      </c>
    </row>
    <row r="112" spans="1:33" x14ac:dyDescent="0.2">
      <c r="A112" s="82">
        <v>2020</v>
      </c>
      <c r="B112" s="83" t="s">
        <v>52</v>
      </c>
      <c r="C112" s="86"/>
      <c r="D112" s="128">
        <v>11027735.910000004</v>
      </c>
      <c r="E112" s="128">
        <v>221551.47</v>
      </c>
      <c r="F112" s="128">
        <v>4231502.6499999808</v>
      </c>
      <c r="G112" s="128">
        <v>6798</v>
      </c>
      <c r="H112" s="128">
        <v>1396766.9499999988</v>
      </c>
      <c r="I112" s="128">
        <v>662</v>
      </c>
      <c r="J112" s="128">
        <v>3045613.6199999992</v>
      </c>
      <c r="K112" s="128">
        <v>11108.91</v>
      </c>
      <c r="L112" s="128">
        <v>79</v>
      </c>
      <c r="M112" s="128">
        <v>1461837.6500000001</v>
      </c>
      <c r="N112" s="128">
        <v>6677.64</v>
      </c>
      <c r="O112" s="128">
        <v>8</v>
      </c>
      <c r="P112" s="128">
        <v>640198.39999999991</v>
      </c>
      <c r="Q112" s="128">
        <v>3553.6</v>
      </c>
      <c r="R112" s="128">
        <v>2</v>
      </c>
      <c r="S112" s="128">
        <v>27685.360000000004</v>
      </c>
      <c r="T112" s="87"/>
      <c r="U112" s="128">
        <v>57</v>
      </c>
      <c r="V112" s="128">
        <v>6308</v>
      </c>
      <c r="W112" s="128">
        <v>17.220000000000002</v>
      </c>
      <c r="X112" s="128">
        <v>112</v>
      </c>
      <c r="Y112" s="128">
        <v>35813</v>
      </c>
      <c r="Z112" s="128">
        <v>118</v>
      </c>
      <c r="AA112" s="128">
        <v>1</v>
      </c>
      <c r="AB112"/>
      <c r="AC112" s="130">
        <f t="shared" si="2"/>
        <v>7550</v>
      </c>
      <c r="AD112"/>
      <c r="AE112" s="128">
        <v>127787.47</v>
      </c>
      <c r="AF112" s="128">
        <v>744.19999999999993</v>
      </c>
      <c r="AG112" s="128">
        <f t="shared" si="1"/>
        <v>5</v>
      </c>
    </row>
    <row r="113" spans="1:33" x14ac:dyDescent="0.2">
      <c r="A113" s="82">
        <v>2020</v>
      </c>
      <c r="B113" s="83" t="s">
        <v>82</v>
      </c>
      <c r="C113" s="86"/>
      <c r="D113" s="128">
        <v>15117286.629999997</v>
      </c>
      <c r="E113" s="128">
        <v>271293.49</v>
      </c>
      <c r="F113" s="128">
        <v>5438662.8000000017</v>
      </c>
      <c r="G113" s="128">
        <v>6808</v>
      </c>
      <c r="H113" s="128">
        <v>1724143.2800000019</v>
      </c>
      <c r="I113" s="128">
        <v>659</v>
      </c>
      <c r="J113" s="128">
        <v>3718390.3099999991</v>
      </c>
      <c r="K113" s="128">
        <v>11753.979999999998</v>
      </c>
      <c r="L113" s="128">
        <v>79</v>
      </c>
      <c r="M113" s="128">
        <v>2296515.9500000002</v>
      </c>
      <c r="N113" s="128">
        <v>7202.73</v>
      </c>
      <c r="O113" s="128">
        <v>8</v>
      </c>
      <c r="P113" s="128">
        <v>1919987.6</v>
      </c>
      <c r="Q113" s="128">
        <v>5003.2</v>
      </c>
      <c r="R113" s="128">
        <v>2</v>
      </c>
      <c r="S113" s="128">
        <v>29217.899999999998</v>
      </c>
      <c r="T113" s="87"/>
      <c r="U113" s="128">
        <v>57</v>
      </c>
      <c r="V113" s="128">
        <v>6104.5300000000007</v>
      </c>
      <c r="W113" s="128">
        <v>16.750000000000004</v>
      </c>
      <c r="X113" s="128">
        <v>112</v>
      </c>
      <c r="Y113" s="128">
        <v>31948.5</v>
      </c>
      <c r="Z113" s="128">
        <v>118</v>
      </c>
      <c r="AA113" s="128">
        <v>1</v>
      </c>
      <c r="AB113"/>
      <c r="AC113" s="130">
        <f t="shared" si="2"/>
        <v>7557</v>
      </c>
      <c r="AD113"/>
      <c r="AE113" s="128">
        <v>140825.13</v>
      </c>
      <c r="AF113" s="128">
        <v>754.92000000000007</v>
      </c>
      <c r="AG113" s="128">
        <f t="shared" si="1"/>
        <v>5</v>
      </c>
    </row>
    <row r="114" spans="1:33" x14ac:dyDescent="0.2">
      <c r="A114" s="82">
        <v>2020</v>
      </c>
      <c r="B114" s="83" t="s">
        <v>83</v>
      </c>
      <c r="C114" s="86"/>
      <c r="D114" s="128">
        <v>18014751.010000002</v>
      </c>
      <c r="E114" s="128">
        <v>250058.56000000003</v>
      </c>
      <c r="F114" s="128">
        <v>6440146.9700000193</v>
      </c>
      <c r="G114" s="128">
        <v>6814</v>
      </c>
      <c r="H114" s="128">
        <v>2104456.4899999988</v>
      </c>
      <c r="I114" s="128">
        <v>662</v>
      </c>
      <c r="J114" s="128">
        <v>4139273.72</v>
      </c>
      <c r="K114" s="128">
        <v>12262.140000000001</v>
      </c>
      <c r="L114" s="128">
        <v>79</v>
      </c>
      <c r="M114" s="128">
        <v>2352157.0700000003</v>
      </c>
      <c r="N114" s="128">
        <v>7090.12</v>
      </c>
      <c r="O114" s="128">
        <v>8</v>
      </c>
      <c r="P114" s="128">
        <v>2001990.8</v>
      </c>
      <c r="Q114" s="128">
        <v>4728</v>
      </c>
      <c r="R114" s="128">
        <v>2</v>
      </c>
      <c r="S114" s="128">
        <v>29083.68</v>
      </c>
      <c r="T114" s="87"/>
      <c r="U114" s="128">
        <v>57</v>
      </c>
      <c r="V114" s="128">
        <v>6308.0099999999984</v>
      </c>
      <c r="W114" s="128">
        <v>16.790000000000003</v>
      </c>
      <c r="X114" s="128">
        <v>112</v>
      </c>
      <c r="Y114" s="128">
        <v>33807</v>
      </c>
      <c r="Z114" s="128">
        <v>118</v>
      </c>
      <c r="AA114" s="128">
        <v>1</v>
      </c>
      <c r="AB114"/>
      <c r="AC114" s="130">
        <f t="shared" si="2"/>
        <v>7566</v>
      </c>
      <c r="AD114"/>
      <c r="AE114" s="128">
        <v>162185.27999999997</v>
      </c>
      <c r="AF114" s="128">
        <v>770.39</v>
      </c>
      <c r="AG114" s="128">
        <f t="shared" si="1"/>
        <v>5</v>
      </c>
    </row>
    <row r="115" spans="1:33" x14ac:dyDescent="0.2">
      <c r="A115" s="82">
        <v>2020</v>
      </c>
      <c r="B115" s="83" t="s">
        <v>84</v>
      </c>
      <c r="C115" s="86"/>
      <c r="D115" s="128">
        <v>16733868.93</v>
      </c>
      <c r="E115" s="128">
        <v>221686.43</v>
      </c>
      <c r="F115" s="128">
        <v>5616290.9599999972</v>
      </c>
      <c r="G115" s="128">
        <v>6823</v>
      </c>
      <c r="H115" s="128">
        <v>2040106.2099999997</v>
      </c>
      <c r="I115" s="128">
        <v>666</v>
      </c>
      <c r="J115" s="128">
        <v>3858952.28</v>
      </c>
      <c r="K115" s="128">
        <v>12204.59</v>
      </c>
      <c r="L115" s="128">
        <v>81</v>
      </c>
      <c r="M115" s="128">
        <v>2537082.46</v>
      </c>
      <c r="N115" s="128">
        <v>7169.26</v>
      </c>
      <c r="O115" s="128">
        <v>8</v>
      </c>
      <c r="P115" s="128">
        <v>2057922.4</v>
      </c>
      <c r="Q115" s="128">
        <v>4696</v>
      </c>
      <c r="R115" s="128">
        <v>2</v>
      </c>
      <c r="S115" s="128">
        <v>29268.629999999997</v>
      </c>
      <c r="T115" s="87"/>
      <c r="U115" s="128">
        <v>55</v>
      </c>
      <c r="V115" s="128">
        <v>6307.989999999998</v>
      </c>
      <c r="W115" s="128">
        <v>16.850000000000001</v>
      </c>
      <c r="X115" s="128">
        <v>112</v>
      </c>
      <c r="Y115" s="128">
        <v>38261.5</v>
      </c>
      <c r="Z115" s="128">
        <v>118</v>
      </c>
      <c r="AA115" s="128">
        <v>1</v>
      </c>
      <c r="AB115"/>
      <c r="AC115" s="130">
        <f t="shared" si="2"/>
        <v>7581</v>
      </c>
      <c r="AD115"/>
      <c r="AE115" s="128">
        <v>158668.94</v>
      </c>
      <c r="AF115" s="128">
        <v>880.17000000000007</v>
      </c>
      <c r="AG115" s="128">
        <f t="shared" si="1"/>
        <v>5</v>
      </c>
    </row>
    <row r="116" spans="1:33" x14ac:dyDescent="0.2">
      <c r="A116" s="82">
        <v>2020</v>
      </c>
      <c r="B116" s="83" t="s">
        <v>85</v>
      </c>
      <c r="C116" s="86"/>
      <c r="D116" s="128">
        <v>14451425.119999997</v>
      </c>
      <c r="E116" s="128">
        <v>189577.9</v>
      </c>
      <c r="F116" s="128">
        <v>4220628.0700000096</v>
      </c>
      <c r="G116" s="128">
        <v>6833</v>
      </c>
      <c r="H116" s="128">
        <v>1821384.6300000015</v>
      </c>
      <c r="I116" s="128">
        <v>669</v>
      </c>
      <c r="J116" s="128">
        <v>3694123.709999999</v>
      </c>
      <c r="K116" s="128">
        <v>12077.930000000002</v>
      </c>
      <c r="L116" s="128">
        <v>83</v>
      </c>
      <c r="M116" s="128">
        <v>2430466.73</v>
      </c>
      <c r="N116" s="128">
        <v>6801.42</v>
      </c>
      <c r="O116" s="128">
        <v>8</v>
      </c>
      <c r="P116" s="128">
        <v>2083487.6</v>
      </c>
      <c r="Q116" s="128">
        <v>4710.3999999999996</v>
      </c>
      <c r="R116" s="128">
        <v>2</v>
      </c>
      <c r="S116" s="128">
        <v>26115.180000000004</v>
      </c>
      <c r="T116" s="87"/>
      <c r="U116" s="128">
        <v>57</v>
      </c>
      <c r="V116" s="128">
        <v>6104.5199999999995</v>
      </c>
      <c r="W116" s="128">
        <v>16.509999999999998</v>
      </c>
      <c r="X116" s="128">
        <v>112</v>
      </c>
      <c r="Y116" s="128">
        <v>41447.5</v>
      </c>
      <c r="Z116" s="128">
        <v>118</v>
      </c>
      <c r="AA116" s="128">
        <v>1</v>
      </c>
      <c r="AB116"/>
      <c r="AC116" s="130">
        <f t="shared" si="2"/>
        <v>7596</v>
      </c>
      <c r="AD116"/>
      <c r="AE116" s="128">
        <v>149561.73000000001</v>
      </c>
      <c r="AF116" s="128">
        <v>824.46</v>
      </c>
      <c r="AG116" s="128">
        <f t="shared" si="1"/>
        <v>5</v>
      </c>
    </row>
    <row r="117" spans="1:33" x14ac:dyDescent="0.2">
      <c r="A117" s="82">
        <v>2020</v>
      </c>
      <c r="B117" s="83" t="s">
        <v>86</v>
      </c>
      <c r="C117" s="86"/>
      <c r="D117" s="128">
        <v>14304932.470000003</v>
      </c>
      <c r="E117" s="128">
        <v>116353.45999999999</v>
      </c>
      <c r="F117" s="128">
        <v>3920551.8400000073</v>
      </c>
      <c r="G117" s="128">
        <v>6888</v>
      </c>
      <c r="H117" s="128">
        <v>1766128.3400000003</v>
      </c>
      <c r="I117" s="128">
        <v>668</v>
      </c>
      <c r="J117" s="128">
        <v>3736184.0899999989</v>
      </c>
      <c r="K117" s="128">
        <v>11585.52</v>
      </c>
      <c r="L117" s="128">
        <v>83</v>
      </c>
      <c r="M117" s="128">
        <v>2412910.5099999998</v>
      </c>
      <c r="N117" s="128">
        <v>6379.36</v>
      </c>
      <c r="O117" s="128">
        <v>8</v>
      </c>
      <c r="P117" s="128">
        <v>2047636.7999999998</v>
      </c>
      <c r="Q117" s="128">
        <v>4592</v>
      </c>
      <c r="R117" s="128">
        <v>2</v>
      </c>
      <c r="S117" s="128">
        <v>29137.960000000003</v>
      </c>
      <c r="T117" s="87"/>
      <c r="U117" s="128">
        <v>57</v>
      </c>
      <c r="V117" s="128">
        <v>6308.01</v>
      </c>
      <c r="W117" s="128">
        <v>16.850000000000001</v>
      </c>
      <c r="X117" s="128">
        <v>112</v>
      </c>
      <c r="Y117" s="128">
        <v>48291.5</v>
      </c>
      <c r="Z117" s="128">
        <v>118</v>
      </c>
      <c r="AA117" s="128">
        <v>1</v>
      </c>
      <c r="AB117"/>
      <c r="AC117" s="130">
        <f t="shared" si="2"/>
        <v>7650</v>
      </c>
      <c r="AD117"/>
      <c r="AE117" s="128">
        <v>146356.07999999999</v>
      </c>
      <c r="AF117" s="128">
        <v>735.36</v>
      </c>
      <c r="AG117" s="128">
        <f t="shared" si="1"/>
        <v>5</v>
      </c>
    </row>
    <row r="118" spans="1:33" x14ac:dyDescent="0.2">
      <c r="A118" s="82">
        <v>2020</v>
      </c>
      <c r="B118" s="83" t="s">
        <v>87</v>
      </c>
      <c r="C118" s="86"/>
      <c r="D118" s="128">
        <v>14279909.410000002</v>
      </c>
      <c r="E118" s="128">
        <v>82903.28</v>
      </c>
      <c r="F118" s="128">
        <v>4096179.2099999897</v>
      </c>
      <c r="G118" s="128">
        <v>6904</v>
      </c>
      <c r="H118" s="128">
        <v>1884222.6999999969</v>
      </c>
      <c r="I118" s="128">
        <v>666</v>
      </c>
      <c r="J118" s="128">
        <v>3658168.8000000012</v>
      </c>
      <c r="K118" s="128">
        <v>11587.069999999994</v>
      </c>
      <c r="L118" s="128">
        <v>84</v>
      </c>
      <c r="M118" s="128">
        <v>2267174.08</v>
      </c>
      <c r="N118" s="128">
        <v>5959.7300000000005</v>
      </c>
      <c r="O118" s="128">
        <v>8</v>
      </c>
      <c r="P118" s="128">
        <v>2051952.7999999998</v>
      </c>
      <c r="Q118" s="128">
        <v>4713.6000000000004</v>
      </c>
      <c r="R118" s="128">
        <v>2</v>
      </c>
      <c r="S118" s="128">
        <v>27433.759999999998</v>
      </c>
      <c r="T118" s="87"/>
      <c r="U118" s="128">
        <v>57</v>
      </c>
      <c r="V118" s="128">
        <v>6104.5199999999995</v>
      </c>
      <c r="W118" s="128">
        <v>16.489999999999998</v>
      </c>
      <c r="X118" s="128">
        <v>112</v>
      </c>
      <c r="Y118" s="128">
        <v>51182.5</v>
      </c>
      <c r="Z118" s="128">
        <v>118</v>
      </c>
      <c r="AA118" s="128">
        <v>1</v>
      </c>
      <c r="AB118"/>
      <c r="AC118" s="130">
        <f t="shared" si="2"/>
        <v>7665</v>
      </c>
      <c r="AD118"/>
      <c r="AE118" s="128">
        <v>165563.92000000001</v>
      </c>
      <c r="AF118" s="128">
        <v>920.13</v>
      </c>
      <c r="AG118" s="128">
        <f t="shared" si="1"/>
        <v>5</v>
      </c>
    </row>
    <row r="119" spans="1:33" x14ac:dyDescent="0.2">
      <c r="A119" s="82">
        <v>2020</v>
      </c>
      <c r="B119" s="83" t="s">
        <v>88</v>
      </c>
      <c r="C119" s="86"/>
      <c r="D119" s="128">
        <v>14921507.26</v>
      </c>
      <c r="E119" s="128">
        <v>40422.69</v>
      </c>
      <c r="F119" s="128">
        <v>4840457.5100000054</v>
      </c>
      <c r="G119" s="128">
        <v>6929</v>
      </c>
      <c r="H119" s="128">
        <v>2069649.2900000003</v>
      </c>
      <c r="I119" s="128">
        <v>665</v>
      </c>
      <c r="J119" s="128">
        <v>3804518.5000000023</v>
      </c>
      <c r="K119" s="128">
        <v>11382.450000000003</v>
      </c>
      <c r="L119" s="128">
        <v>83</v>
      </c>
      <c r="M119" s="128">
        <v>2067932.7399999998</v>
      </c>
      <c r="N119" s="128">
        <v>5946.7</v>
      </c>
      <c r="O119" s="128">
        <v>8</v>
      </c>
      <c r="P119" s="128">
        <v>1517371.2000000002</v>
      </c>
      <c r="Q119" s="128">
        <v>4697.6000000000004</v>
      </c>
      <c r="R119" s="128">
        <v>2</v>
      </c>
      <c r="S119" s="128">
        <v>29747.88</v>
      </c>
      <c r="T119" s="87"/>
      <c r="U119" s="128">
        <v>57</v>
      </c>
      <c r="V119" s="128">
        <v>6307.9999999999991</v>
      </c>
      <c r="W119" s="128">
        <v>15.47</v>
      </c>
      <c r="X119" s="128">
        <v>112</v>
      </c>
      <c r="Y119" s="128">
        <v>55696</v>
      </c>
      <c r="Z119" s="128">
        <v>118</v>
      </c>
      <c r="AA119" s="128">
        <v>1</v>
      </c>
      <c r="AB119"/>
      <c r="AC119" s="130">
        <f t="shared" si="2"/>
        <v>7688</v>
      </c>
      <c r="AD119"/>
      <c r="AE119" s="128">
        <v>196766.91999999998</v>
      </c>
      <c r="AF119" s="128">
        <v>903.11</v>
      </c>
      <c r="AG119" s="128">
        <f t="shared" si="1"/>
        <v>5</v>
      </c>
    </row>
    <row r="120" spans="1:33" x14ac:dyDescent="0.2">
      <c r="A120" s="82">
        <v>2021</v>
      </c>
      <c r="B120" s="83" t="s">
        <v>78</v>
      </c>
      <c r="C120" s="86"/>
      <c r="D120" s="127">
        <v>15381838.239999998</v>
      </c>
      <c r="E120" s="127">
        <v>41700.25</v>
      </c>
      <c r="F120" s="127">
        <v>4993299.8599999733</v>
      </c>
      <c r="G120" s="127">
        <v>6963</v>
      </c>
      <c r="H120" s="127">
        <v>1742307.3700000008</v>
      </c>
      <c r="I120" s="127">
        <v>669</v>
      </c>
      <c r="J120" s="127">
        <v>3840319.5100000012</v>
      </c>
      <c r="K120" s="127">
        <v>11235.119999999999</v>
      </c>
      <c r="L120" s="127">
        <v>76</v>
      </c>
      <c r="M120" s="127">
        <v>2523553.9500000002</v>
      </c>
      <c r="N120" s="127">
        <v>7007.1699999999992</v>
      </c>
      <c r="O120" s="127">
        <v>9</v>
      </c>
      <c r="P120" s="127">
        <v>1755354.8</v>
      </c>
      <c r="Q120" s="127">
        <v>4406.3999999999996</v>
      </c>
      <c r="R120" s="127">
        <v>2</v>
      </c>
      <c r="S120" s="127">
        <v>29003.15</v>
      </c>
      <c r="T120" s="85"/>
      <c r="U120" s="127">
        <v>57</v>
      </c>
      <c r="V120" s="127">
        <v>6308.01</v>
      </c>
      <c r="W120" s="127">
        <v>15.929999999999998</v>
      </c>
      <c r="X120" s="127">
        <v>112</v>
      </c>
      <c r="Y120" s="127">
        <v>54870</v>
      </c>
      <c r="Z120" s="127">
        <v>118</v>
      </c>
      <c r="AA120" s="127">
        <v>1</v>
      </c>
      <c r="AB120"/>
      <c r="AC120" s="130">
        <f t="shared" si="2"/>
        <v>7720</v>
      </c>
      <c r="AD120"/>
      <c r="AE120" s="127">
        <v>543748.41999999993</v>
      </c>
      <c r="AF120" s="127">
        <v>1669.42</v>
      </c>
      <c r="AG120" s="127">
        <f t="shared" si="1"/>
        <v>5</v>
      </c>
    </row>
    <row r="121" spans="1:33" x14ac:dyDescent="0.2">
      <c r="A121" s="82">
        <v>2021</v>
      </c>
      <c r="B121" s="83" t="s">
        <v>79</v>
      </c>
      <c r="C121" s="86"/>
      <c r="D121" s="128">
        <v>14338372.879999999</v>
      </c>
      <c r="E121" s="128">
        <v>36904.899999999994</v>
      </c>
      <c r="F121" s="128">
        <v>4624895.2400000235</v>
      </c>
      <c r="G121" s="128">
        <v>6981</v>
      </c>
      <c r="H121" s="128">
        <v>1675976.5799999989</v>
      </c>
      <c r="I121" s="128">
        <v>670</v>
      </c>
      <c r="J121" s="128">
        <v>3622525.9700000011</v>
      </c>
      <c r="K121" s="128">
        <v>11750.310000000003</v>
      </c>
      <c r="L121" s="128">
        <v>76</v>
      </c>
      <c r="M121" s="128">
        <v>2259259.77</v>
      </c>
      <c r="N121" s="128">
        <v>7167.12</v>
      </c>
      <c r="O121" s="128">
        <v>9</v>
      </c>
      <c r="P121" s="128">
        <v>1581675.6</v>
      </c>
      <c r="Q121" s="128">
        <v>4326.3999999999996</v>
      </c>
      <c r="R121" s="128">
        <v>2</v>
      </c>
      <c r="S121" s="128">
        <v>26277.55</v>
      </c>
      <c r="T121" s="87"/>
      <c r="U121" s="128">
        <v>57</v>
      </c>
      <c r="V121" s="128">
        <v>5697.5400000000009</v>
      </c>
      <c r="W121" s="128">
        <v>16.650000000000002</v>
      </c>
      <c r="X121" s="128">
        <v>112</v>
      </c>
      <c r="Y121" s="128">
        <v>55848</v>
      </c>
      <c r="Z121" s="128">
        <v>138.96</v>
      </c>
      <c r="AA121" s="128">
        <v>1</v>
      </c>
      <c r="AB121"/>
      <c r="AC121" s="130">
        <f t="shared" si="2"/>
        <v>7739</v>
      </c>
      <c r="AD121"/>
      <c r="AE121" s="128">
        <v>463830.81</v>
      </c>
      <c r="AF121" s="128">
        <v>1655.78</v>
      </c>
      <c r="AG121" s="128">
        <f t="shared" si="1"/>
        <v>5</v>
      </c>
    </row>
    <row r="122" spans="1:33" x14ac:dyDescent="0.2">
      <c r="A122" s="82">
        <v>2021</v>
      </c>
      <c r="B122" s="83" t="s">
        <v>80</v>
      </c>
      <c r="C122" s="86"/>
      <c r="D122" s="128">
        <v>14839569.93</v>
      </c>
      <c r="E122" s="128">
        <v>197009.1</v>
      </c>
      <c r="F122" s="128">
        <v>4368689.6399999931</v>
      </c>
      <c r="G122" s="128">
        <v>7002</v>
      </c>
      <c r="H122" s="128">
        <v>1706777.9799999974</v>
      </c>
      <c r="I122" s="128">
        <v>673</v>
      </c>
      <c r="J122" s="128">
        <v>3882466.7600000007</v>
      </c>
      <c r="K122" s="128">
        <v>11578.779999999999</v>
      </c>
      <c r="L122" s="128">
        <v>77</v>
      </c>
      <c r="M122" s="128">
        <v>2596775.7800000003</v>
      </c>
      <c r="N122" s="128">
        <v>6856.8099999999995</v>
      </c>
      <c r="O122" s="128">
        <v>9</v>
      </c>
      <c r="P122" s="128">
        <v>1909799.2000000002</v>
      </c>
      <c r="Q122" s="128">
        <v>4382.3999999999996</v>
      </c>
      <c r="R122" s="128">
        <v>2</v>
      </c>
      <c r="S122" s="128">
        <v>29623.47</v>
      </c>
      <c r="T122" s="87"/>
      <c r="U122" s="128">
        <v>57</v>
      </c>
      <c r="V122" s="128">
        <v>6308.0000000000009</v>
      </c>
      <c r="W122" s="128">
        <v>17.28</v>
      </c>
      <c r="X122" s="128">
        <v>112</v>
      </c>
      <c r="Y122" s="128">
        <v>54368.1</v>
      </c>
      <c r="Z122" s="128">
        <v>138.96</v>
      </c>
      <c r="AA122" s="128">
        <v>1</v>
      </c>
      <c r="AB122"/>
      <c r="AC122" s="130">
        <f t="shared" si="2"/>
        <v>7764</v>
      </c>
      <c r="AD122"/>
      <c r="AE122" s="128">
        <v>537531.31000000006</v>
      </c>
      <c r="AF122" s="128">
        <v>1708.8400000000001</v>
      </c>
      <c r="AG122" s="128">
        <f t="shared" si="1"/>
        <v>5</v>
      </c>
    </row>
    <row r="123" spans="1:33" x14ac:dyDescent="0.2">
      <c r="A123" s="82">
        <v>2021</v>
      </c>
      <c r="B123" s="83" t="s">
        <v>81</v>
      </c>
      <c r="C123" s="86"/>
      <c r="D123" s="128">
        <v>12258026.33</v>
      </c>
      <c r="E123" s="128">
        <v>195594.22999999998</v>
      </c>
      <c r="F123" s="128">
        <v>3865116.220000017</v>
      </c>
      <c r="G123" s="128">
        <v>7030</v>
      </c>
      <c r="H123" s="128">
        <v>1461098.9700000016</v>
      </c>
      <c r="I123" s="128">
        <v>670</v>
      </c>
      <c r="J123" s="128">
        <v>3435340.3600000013</v>
      </c>
      <c r="K123" s="128">
        <v>11242.380000000001</v>
      </c>
      <c r="L123" s="128">
        <v>77</v>
      </c>
      <c r="M123" s="128">
        <v>2093278.3099999998</v>
      </c>
      <c r="N123" s="128">
        <v>6923.82</v>
      </c>
      <c r="O123" s="128">
        <v>9</v>
      </c>
      <c r="P123" s="128">
        <v>1236198</v>
      </c>
      <c r="Q123" s="128">
        <v>3750.7300000000005</v>
      </c>
      <c r="R123" s="128">
        <v>2</v>
      </c>
      <c r="S123" s="128">
        <v>27699.22</v>
      </c>
      <c r="T123" s="87"/>
      <c r="U123" s="128">
        <v>57</v>
      </c>
      <c r="V123" s="128">
        <v>6104.51</v>
      </c>
      <c r="W123" s="128">
        <v>16.589999999999996</v>
      </c>
      <c r="X123" s="128">
        <v>112</v>
      </c>
      <c r="Y123" s="128">
        <v>46065.24</v>
      </c>
      <c r="Z123" s="128">
        <v>138.96</v>
      </c>
      <c r="AA123" s="128">
        <v>1</v>
      </c>
      <c r="AB123"/>
      <c r="AC123" s="130">
        <f t="shared" si="2"/>
        <v>7789</v>
      </c>
      <c r="AD123"/>
      <c r="AE123" s="128">
        <v>208735.52999999997</v>
      </c>
      <c r="AF123" s="128">
        <v>1220.0099999999998</v>
      </c>
      <c r="AG123" s="128">
        <f t="shared" si="1"/>
        <v>5</v>
      </c>
    </row>
    <row r="124" spans="1:33" x14ac:dyDescent="0.2">
      <c r="A124" s="82">
        <v>2021</v>
      </c>
      <c r="B124" s="83" t="s">
        <v>52</v>
      </c>
      <c r="C124" s="86"/>
      <c r="D124" s="128">
        <v>13244338.23</v>
      </c>
      <c r="E124" s="128">
        <v>234500.96000000002</v>
      </c>
      <c r="F124" s="128">
        <v>4411878.2600000026</v>
      </c>
      <c r="G124" s="128">
        <v>7053</v>
      </c>
      <c r="H124" s="128">
        <v>1555138.420000002</v>
      </c>
      <c r="I124" s="128">
        <v>669</v>
      </c>
      <c r="J124" s="128">
        <v>3651975.9700000011</v>
      </c>
      <c r="K124" s="128">
        <v>11865.729999999996</v>
      </c>
      <c r="L124" s="128">
        <v>77</v>
      </c>
      <c r="M124" s="128">
        <v>2168895.86</v>
      </c>
      <c r="N124" s="128">
        <v>6601.27</v>
      </c>
      <c r="O124" s="128">
        <v>9</v>
      </c>
      <c r="P124" s="128">
        <v>1334590.3999999999</v>
      </c>
      <c r="Q124" s="128">
        <v>3925.41</v>
      </c>
      <c r="R124" s="128">
        <v>2</v>
      </c>
      <c r="S124" s="128">
        <v>29523.839999999997</v>
      </c>
      <c r="T124" s="87"/>
      <c r="U124" s="128">
        <v>57</v>
      </c>
      <c r="V124" s="128">
        <v>6308.0099999999993</v>
      </c>
      <c r="W124" s="128">
        <v>16.87</v>
      </c>
      <c r="X124" s="128">
        <v>112</v>
      </c>
      <c r="Y124" s="128">
        <v>42174.36</v>
      </c>
      <c r="Z124" s="128">
        <v>138.96</v>
      </c>
      <c r="AA124" s="128">
        <v>1</v>
      </c>
      <c r="AB124"/>
      <c r="AC124" s="130">
        <f t="shared" si="2"/>
        <v>7811</v>
      </c>
      <c r="AD124"/>
      <c r="AE124" s="128">
        <v>137709.51999999999</v>
      </c>
      <c r="AF124" s="128">
        <v>738.77</v>
      </c>
      <c r="AG124" s="128">
        <f t="shared" si="1"/>
        <v>5</v>
      </c>
    </row>
    <row r="125" spans="1:33" x14ac:dyDescent="0.2">
      <c r="A125" s="82">
        <v>2021</v>
      </c>
      <c r="B125" s="83" t="s">
        <v>82</v>
      </c>
      <c r="C125" s="86"/>
      <c r="D125" s="128">
        <v>15554413.700000001</v>
      </c>
      <c r="E125" s="128">
        <v>235576.17000000004</v>
      </c>
      <c r="F125" s="128">
        <v>5173602.1400000034</v>
      </c>
      <c r="G125" s="128">
        <v>7086</v>
      </c>
      <c r="H125" s="128">
        <v>1820386.6899999974</v>
      </c>
      <c r="I125" s="128">
        <v>671</v>
      </c>
      <c r="J125" s="128">
        <v>4023482.48</v>
      </c>
      <c r="K125" s="128">
        <v>12817.780000000002</v>
      </c>
      <c r="L125" s="128">
        <v>77</v>
      </c>
      <c r="M125" s="128">
        <v>2349026.7599999998</v>
      </c>
      <c r="N125" s="128">
        <v>7461.3</v>
      </c>
      <c r="O125" s="128">
        <v>9</v>
      </c>
      <c r="P125" s="128">
        <v>1600706</v>
      </c>
      <c r="Q125" s="128">
        <v>4448.1099999999997</v>
      </c>
      <c r="R125" s="128">
        <v>2</v>
      </c>
      <c r="S125" s="128">
        <v>27343.690000000002</v>
      </c>
      <c r="T125" s="87"/>
      <c r="U125" s="128">
        <v>57</v>
      </c>
      <c r="V125" s="128">
        <v>6104.52</v>
      </c>
      <c r="W125" s="128">
        <v>16.459999999999997</v>
      </c>
      <c r="X125" s="128">
        <v>112</v>
      </c>
      <c r="Y125" s="128">
        <v>37623.42</v>
      </c>
      <c r="Z125" s="128">
        <v>138.96</v>
      </c>
      <c r="AA125" s="128">
        <v>1</v>
      </c>
      <c r="AB125"/>
      <c r="AC125" s="130">
        <f t="shared" si="2"/>
        <v>7846</v>
      </c>
      <c r="AD125"/>
      <c r="AE125" s="128">
        <v>157595.26999999999</v>
      </c>
      <c r="AF125" s="128">
        <v>730.27</v>
      </c>
      <c r="AG125" s="128">
        <f t="shared" si="1"/>
        <v>5</v>
      </c>
    </row>
    <row r="126" spans="1:33" x14ac:dyDescent="0.2">
      <c r="A126" s="82">
        <v>2021</v>
      </c>
      <c r="B126" s="83" t="s">
        <v>83</v>
      </c>
      <c r="C126" s="86"/>
      <c r="D126" s="128">
        <v>15685342.790000003</v>
      </c>
      <c r="E126" s="128">
        <v>213581.17999999996</v>
      </c>
      <c r="F126" s="128">
        <v>5793093.0300000207</v>
      </c>
      <c r="G126" s="128">
        <v>7119</v>
      </c>
      <c r="H126" s="128">
        <v>2023194.1000000003</v>
      </c>
      <c r="I126" s="128">
        <v>675</v>
      </c>
      <c r="J126" s="128">
        <v>4140130.2100000004</v>
      </c>
      <c r="K126" s="128">
        <v>12826.24</v>
      </c>
      <c r="L126" s="128">
        <v>78</v>
      </c>
      <c r="M126" s="128">
        <v>2311900.38</v>
      </c>
      <c r="N126" s="128">
        <v>7124.9500000000007</v>
      </c>
      <c r="O126" s="128">
        <v>8</v>
      </c>
      <c r="P126" s="128">
        <v>1091871.2</v>
      </c>
      <c r="Q126" s="128">
        <v>3976.92</v>
      </c>
      <c r="R126" s="128">
        <v>2</v>
      </c>
      <c r="S126" s="128">
        <v>28553.200000000001</v>
      </c>
      <c r="T126" s="87"/>
      <c r="U126" s="128">
        <v>57</v>
      </c>
      <c r="V126" s="128">
        <v>5995.5300000000007</v>
      </c>
      <c r="W126" s="128">
        <v>16.8</v>
      </c>
      <c r="X126" s="128">
        <v>112</v>
      </c>
      <c r="Y126" s="128">
        <v>39812.04</v>
      </c>
      <c r="Z126" s="128">
        <v>138.96</v>
      </c>
      <c r="AA126" s="128">
        <v>1</v>
      </c>
      <c r="AB126"/>
      <c r="AC126" s="130">
        <f t="shared" si="2"/>
        <v>7883</v>
      </c>
      <c r="AD126"/>
      <c r="AE126" s="128">
        <v>155916.87</v>
      </c>
      <c r="AF126" s="128">
        <v>689.81000000000006</v>
      </c>
      <c r="AG126" s="128">
        <f t="shared" ref="AG126:AG161" si="3">AG125</f>
        <v>5</v>
      </c>
    </row>
    <row r="127" spans="1:33" x14ac:dyDescent="0.2">
      <c r="A127" s="82">
        <v>2021</v>
      </c>
      <c r="B127" s="83" t="s">
        <v>84</v>
      </c>
      <c r="C127" s="86"/>
      <c r="D127" s="128">
        <v>17774632.540000003</v>
      </c>
      <c r="E127" s="128">
        <v>222339.34000000003</v>
      </c>
      <c r="F127" s="128">
        <v>5993226.6300000176</v>
      </c>
      <c r="G127" s="128">
        <v>7140</v>
      </c>
      <c r="H127" s="128">
        <v>2147707.4800000004</v>
      </c>
      <c r="I127" s="128">
        <v>672</v>
      </c>
      <c r="J127" s="128">
        <v>4499091.0900000017</v>
      </c>
      <c r="K127" s="128">
        <v>13229.239999999998</v>
      </c>
      <c r="L127" s="128">
        <v>78</v>
      </c>
      <c r="M127" s="128">
        <v>2439399.0700000003</v>
      </c>
      <c r="N127" s="128">
        <v>7285.52</v>
      </c>
      <c r="O127" s="128">
        <v>8</v>
      </c>
      <c r="P127" s="128">
        <v>1764286.8</v>
      </c>
      <c r="Q127" s="128">
        <v>4295.04</v>
      </c>
      <c r="R127" s="128">
        <v>2</v>
      </c>
      <c r="S127" s="128">
        <v>28017.829999999998</v>
      </c>
      <c r="T127" s="87"/>
      <c r="U127" s="128">
        <v>57</v>
      </c>
      <c r="V127" s="128">
        <v>5995.52</v>
      </c>
      <c r="W127" s="128">
        <v>17.009999999999998</v>
      </c>
      <c r="X127" s="128">
        <v>112</v>
      </c>
      <c r="Y127" s="128">
        <v>45057.78</v>
      </c>
      <c r="Z127" s="128">
        <v>138.96</v>
      </c>
      <c r="AA127" s="128">
        <v>1</v>
      </c>
      <c r="AB127"/>
      <c r="AC127" s="130">
        <f t="shared" si="2"/>
        <v>7901</v>
      </c>
      <c r="AD127"/>
      <c r="AE127" s="128">
        <v>171945.79</v>
      </c>
      <c r="AF127" s="128">
        <v>781.82999999999993</v>
      </c>
      <c r="AG127" s="128">
        <f t="shared" si="3"/>
        <v>5</v>
      </c>
    </row>
    <row r="128" spans="1:33" x14ac:dyDescent="0.2">
      <c r="A128" s="82">
        <v>2021</v>
      </c>
      <c r="B128" s="83" t="s">
        <v>85</v>
      </c>
      <c r="C128" s="86"/>
      <c r="D128" s="128">
        <v>14020372.270000001</v>
      </c>
      <c r="E128" s="128">
        <v>193179.75</v>
      </c>
      <c r="F128" s="128">
        <v>4802974.669999999</v>
      </c>
      <c r="G128" s="128">
        <v>7172</v>
      </c>
      <c r="H128" s="128">
        <v>1772497.4800000028</v>
      </c>
      <c r="I128" s="128">
        <v>673</v>
      </c>
      <c r="J128" s="128">
        <v>3873687.5700000008</v>
      </c>
      <c r="K128" s="128">
        <v>12704.099999999999</v>
      </c>
      <c r="L128" s="128">
        <v>78</v>
      </c>
      <c r="M128" s="128">
        <v>2132924.0099999998</v>
      </c>
      <c r="N128" s="128">
        <v>6708</v>
      </c>
      <c r="O128" s="128">
        <v>8</v>
      </c>
      <c r="P128" s="128">
        <v>1519409.6</v>
      </c>
      <c r="Q128" s="128">
        <v>4335.7299999999996</v>
      </c>
      <c r="R128" s="128">
        <v>2</v>
      </c>
      <c r="S128" s="128">
        <v>27692.460000000003</v>
      </c>
      <c r="T128" s="87"/>
      <c r="U128" s="128">
        <v>57</v>
      </c>
      <c r="V128" s="128">
        <v>5802.1200000000008</v>
      </c>
      <c r="W128" s="128">
        <v>16.79</v>
      </c>
      <c r="X128" s="128">
        <v>112</v>
      </c>
      <c r="Y128" s="128">
        <v>48809.7</v>
      </c>
      <c r="Z128" s="128">
        <v>138.96</v>
      </c>
      <c r="AA128" s="128">
        <v>1</v>
      </c>
      <c r="AB128"/>
      <c r="AC128" s="130">
        <f t="shared" si="2"/>
        <v>7934</v>
      </c>
      <c r="AD128"/>
      <c r="AE128" s="128">
        <v>148189.84</v>
      </c>
      <c r="AF128" s="128">
        <v>735.54</v>
      </c>
      <c r="AG128" s="128">
        <f t="shared" si="3"/>
        <v>5</v>
      </c>
    </row>
    <row r="129" spans="1:33" x14ac:dyDescent="0.2">
      <c r="A129" s="82">
        <v>2021</v>
      </c>
      <c r="B129" s="83" t="s">
        <v>86</v>
      </c>
      <c r="C129" s="86"/>
      <c r="D129" s="128">
        <v>13896446.370000001</v>
      </c>
      <c r="E129" s="128">
        <v>100673.29000000002</v>
      </c>
      <c r="F129" s="128">
        <v>4216525.2599999933</v>
      </c>
      <c r="G129" s="128">
        <v>7213</v>
      </c>
      <c r="H129" s="128">
        <v>1649701.4700000002</v>
      </c>
      <c r="I129" s="128">
        <v>675</v>
      </c>
      <c r="J129" s="128">
        <v>3791139.6300000008</v>
      </c>
      <c r="K129" s="128">
        <v>12334.53</v>
      </c>
      <c r="L129" s="128">
        <v>78</v>
      </c>
      <c r="M129" s="128">
        <v>2214736.6100000003</v>
      </c>
      <c r="N129" s="128">
        <v>6869.1100000000006</v>
      </c>
      <c r="O129" s="128">
        <v>8</v>
      </c>
      <c r="P129" s="128">
        <v>1503959.6</v>
      </c>
      <c r="Q129" s="128">
        <v>4090.6899999999996</v>
      </c>
      <c r="R129" s="128">
        <v>2</v>
      </c>
      <c r="S129" s="128">
        <v>27803.46</v>
      </c>
      <c r="T129" s="87"/>
      <c r="U129" s="128">
        <v>55</v>
      </c>
      <c r="V129" s="128">
        <v>5995.5300000000016</v>
      </c>
      <c r="W129" s="128">
        <v>17.179999999999996</v>
      </c>
      <c r="X129" s="128">
        <v>112</v>
      </c>
      <c r="Y129" s="128">
        <v>56869.38</v>
      </c>
      <c r="Z129" s="128">
        <v>138.96</v>
      </c>
      <c r="AA129" s="128">
        <v>1</v>
      </c>
      <c r="AB129"/>
      <c r="AC129" s="130">
        <f t="shared" si="2"/>
        <v>7977</v>
      </c>
      <c r="AD129"/>
      <c r="AE129" s="128">
        <v>161878.74</v>
      </c>
      <c r="AF129" s="128">
        <v>808.34</v>
      </c>
      <c r="AG129" s="128">
        <f t="shared" si="3"/>
        <v>5</v>
      </c>
    </row>
    <row r="130" spans="1:33" x14ac:dyDescent="0.2">
      <c r="A130" s="82">
        <v>2021</v>
      </c>
      <c r="B130" s="83" t="s">
        <v>87</v>
      </c>
      <c r="C130" s="86"/>
      <c r="D130" s="128">
        <v>14538013.570000002</v>
      </c>
      <c r="E130" s="128">
        <v>75643.289999999994</v>
      </c>
      <c r="F130" s="128">
        <v>4473316.3500000285</v>
      </c>
      <c r="G130" s="128">
        <v>7249</v>
      </c>
      <c r="H130" s="128">
        <v>1698990.0900000024</v>
      </c>
      <c r="I130" s="128">
        <v>678</v>
      </c>
      <c r="J130" s="128">
        <v>4052535.2600000012</v>
      </c>
      <c r="K130" s="128">
        <v>12353.289999999995</v>
      </c>
      <c r="L130" s="128">
        <v>78</v>
      </c>
      <c r="M130" s="128">
        <v>2127046.85</v>
      </c>
      <c r="N130" s="128">
        <v>6548.96</v>
      </c>
      <c r="O130" s="128">
        <v>8</v>
      </c>
      <c r="P130" s="128">
        <v>1673078</v>
      </c>
      <c r="Q130" s="128">
        <v>4436.8</v>
      </c>
      <c r="R130" s="128">
        <v>2</v>
      </c>
      <c r="S130" s="128">
        <v>29792.13</v>
      </c>
      <c r="T130" s="87"/>
      <c r="U130" s="128">
        <v>57</v>
      </c>
      <c r="V130" s="128">
        <v>5802.1299999999992</v>
      </c>
      <c r="W130" s="128">
        <v>16.699999999999996</v>
      </c>
      <c r="X130" s="128">
        <v>112</v>
      </c>
      <c r="Y130" s="128">
        <v>60273.9</v>
      </c>
      <c r="Z130" s="128">
        <v>138.96</v>
      </c>
      <c r="AA130" s="128">
        <v>1</v>
      </c>
      <c r="AB130"/>
      <c r="AC130" s="130">
        <f t="shared" si="2"/>
        <v>8016</v>
      </c>
      <c r="AD130"/>
      <c r="AE130" s="128">
        <v>216918.55</v>
      </c>
      <c r="AF130" s="128">
        <v>834.93999999999994</v>
      </c>
      <c r="AG130" s="128">
        <f t="shared" si="3"/>
        <v>5</v>
      </c>
    </row>
    <row r="131" spans="1:33" x14ac:dyDescent="0.2">
      <c r="A131" s="82">
        <v>2021</v>
      </c>
      <c r="B131" s="83" t="s">
        <v>88</v>
      </c>
      <c r="C131" s="86"/>
      <c r="D131" s="128">
        <v>14738839.719999997</v>
      </c>
      <c r="E131" s="128">
        <v>46959.739999999991</v>
      </c>
      <c r="F131" s="128">
        <v>5091332.9399999771</v>
      </c>
      <c r="G131" s="128">
        <v>7281</v>
      </c>
      <c r="H131" s="128">
        <v>1809154.9199999985</v>
      </c>
      <c r="I131" s="128">
        <v>673</v>
      </c>
      <c r="J131" s="128">
        <v>3937545.1599999988</v>
      </c>
      <c r="K131" s="128">
        <v>12570.909999999996</v>
      </c>
      <c r="L131" s="128">
        <v>78</v>
      </c>
      <c r="M131" s="128">
        <v>1839188.75</v>
      </c>
      <c r="N131" s="128">
        <v>6282.55</v>
      </c>
      <c r="O131" s="128">
        <v>8</v>
      </c>
      <c r="P131" s="128">
        <v>1528307.2</v>
      </c>
      <c r="Q131" s="128">
        <v>4548.8</v>
      </c>
      <c r="R131" s="128">
        <v>2</v>
      </c>
      <c r="S131" s="128">
        <v>29429.81</v>
      </c>
      <c r="T131" s="87"/>
      <c r="U131" s="128">
        <v>57</v>
      </c>
      <c r="V131" s="128">
        <v>6016.58</v>
      </c>
      <c r="W131" s="128">
        <v>17.350000000000001</v>
      </c>
      <c r="X131" s="128">
        <v>112</v>
      </c>
      <c r="Y131" s="128">
        <v>65589.119999999995</v>
      </c>
      <c r="Z131" s="128">
        <v>138.96</v>
      </c>
      <c r="AA131" s="128">
        <v>1</v>
      </c>
      <c r="AB131"/>
      <c r="AC131" s="130">
        <f t="shared" si="2"/>
        <v>8043</v>
      </c>
      <c r="AD131"/>
      <c r="AE131" s="128">
        <v>205565.01</v>
      </c>
      <c r="AF131" s="128">
        <v>816.45</v>
      </c>
      <c r="AG131" s="128">
        <f t="shared" si="3"/>
        <v>5</v>
      </c>
    </row>
    <row r="132" spans="1:33" x14ac:dyDescent="0.2">
      <c r="A132" s="82">
        <v>2022</v>
      </c>
      <c r="B132" s="83" t="s">
        <v>78</v>
      </c>
      <c r="C132" s="86"/>
      <c r="D132" s="127">
        <v>16412005.120000001</v>
      </c>
      <c r="E132" s="127">
        <v>39551.119999999995</v>
      </c>
      <c r="F132" s="127">
        <v>5477139.820000018</v>
      </c>
      <c r="G132" s="127">
        <v>7302</v>
      </c>
      <c r="H132" s="127">
        <v>2018523.3899999987</v>
      </c>
      <c r="I132" s="127">
        <v>678</v>
      </c>
      <c r="J132" s="127">
        <v>4432565.54</v>
      </c>
      <c r="K132" s="127">
        <v>12871.199999999999</v>
      </c>
      <c r="L132" s="127">
        <v>73</v>
      </c>
      <c r="M132" s="127">
        <v>1837634.37</v>
      </c>
      <c r="N132" s="127">
        <v>5743.41</v>
      </c>
      <c r="O132" s="127">
        <v>6</v>
      </c>
      <c r="P132" s="127">
        <v>1862454.8</v>
      </c>
      <c r="Q132" s="127">
        <v>4467.2</v>
      </c>
      <c r="R132" s="127">
        <v>2</v>
      </c>
      <c r="S132" s="127">
        <v>27660.499999999996</v>
      </c>
      <c r="T132" s="85"/>
      <c r="U132" s="127">
        <v>57</v>
      </c>
      <c r="V132" s="127">
        <v>6213.1400000000012</v>
      </c>
      <c r="W132" s="127">
        <v>17.62</v>
      </c>
      <c r="X132" s="127">
        <v>116</v>
      </c>
      <c r="Y132" s="127">
        <v>64616.4</v>
      </c>
      <c r="Z132" s="127">
        <v>138.96</v>
      </c>
      <c r="AA132" s="127">
        <v>1</v>
      </c>
      <c r="AB132"/>
      <c r="AC132" s="130">
        <f t="shared" si="2"/>
        <v>8062</v>
      </c>
      <c r="AD132"/>
      <c r="AE132" s="127">
        <v>229885.46</v>
      </c>
      <c r="AF132" s="127">
        <v>908.13000000000011</v>
      </c>
      <c r="AG132" s="127">
        <f t="shared" si="3"/>
        <v>5</v>
      </c>
    </row>
    <row r="133" spans="1:33" x14ac:dyDescent="0.2">
      <c r="A133" s="82">
        <v>2022</v>
      </c>
      <c r="B133" s="83" t="s">
        <v>79</v>
      </c>
      <c r="C133" s="86"/>
      <c r="D133" s="128">
        <v>14716423.85</v>
      </c>
      <c r="E133" s="128">
        <v>71042.73</v>
      </c>
      <c r="F133" s="128">
        <v>4793761.4599999813</v>
      </c>
      <c r="G133" s="128">
        <v>7324</v>
      </c>
      <c r="H133" s="128">
        <v>1857251.91</v>
      </c>
      <c r="I133" s="128">
        <v>679</v>
      </c>
      <c r="J133" s="128">
        <v>4083591.74</v>
      </c>
      <c r="K133" s="128">
        <v>12605.550000000001</v>
      </c>
      <c r="L133" s="128">
        <v>74</v>
      </c>
      <c r="M133" s="128">
        <v>1699700.99</v>
      </c>
      <c r="N133" s="128">
        <v>5736.7000000000007</v>
      </c>
      <c r="O133" s="128">
        <v>6</v>
      </c>
      <c r="P133" s="128">
        <v>1669743.2</v>
      </c>
      <c r="Q133" s="128">
        <v>4228.8</v>
      </c>
      <c r="R133" s="128">
        <v>2</v>
      </c>
      <c r="S133" s="128">
        <v>26025.56</v>
      </c>
      <c r="T133" s="87"/>
      <c r="U133" s="128">
        <v>56</v>
      </c>
      <c r="V133" s="128">
        <v>5611.8799999999992</v>
      </c>
      <c r="W133" s="128">
        <v>16.07</v>
      </c>
      <c r="X133" s="128">
        <v>116</v>
      </c>
      <c r="Y133" s="128">
        <v>58363.199999999997</v>
      </c>
      <c r="Z133" s="128">
        <v>138.96</v>
      </c>
      <c r="AA133" s="128">
        <v>1</v>
      </c>
      <c r="AB133"/>
      <c r="AC133" s="130">
        <f t="shared" si="2"/>
        <v>8086</v>
      </c>
      <c r="AD133"/>
      <c r="AE133" s="128">
        <v>215471.86000000002</v>
      </c>
      <c r="AF133" s="128">
        <v>849.96</v>
      </c>
      <c r="AG133" s="128">
        <f t="shared" si="3"/>
        <v>5</v>
      </c>
    </row>
    <row r="134" spans="1:33" x14ac:dyDescent="0.2">
      <c r="A134" s="82">
        <v>2022</v>
      </c>
      <c r="B134" s="83" t="s">
        <v>80</v>
      </c>
      <c r="C134" s="86"/>
      <c r="D134" s="128">
        <v>15784695.399999995</v>
      </c>
      <c r="E134" s="128">
        <v>118490.18000000001</v>
      </c>
      <c r="F134" s="128">
        <v>4837986.9599999646</v>
      </c>
      <c r="G134" s="128">
        <v>7330</v>
      </c>
      <c r="H134" s="128">
        <v>1940554.4</v>
      </c>
      <c r="I134" s="128">
        <v>680</v>
      </c>
      <c r="J134" s="128">
        <v>4730615.04</v>
      </c>
      <c r="K134" s="128">
        <v>12881.68</v>
      </c>
      <c r="L134" s="128">
        <v>74</v>
      </c>
      <c r="M134" s="128">
        <v>2033769.65</v>
      </c>
      <c r="N134" s="128">
        <v>6131.63</v>
      </c>
      <c r="O134" s="128">
        <v>6</v>
      </c>
      <c r="P134" s="128">
        <v>1717891.2</v>
      </c>
      <c r="Q134" s="128">
        <v>4099.2</v>
      </c>
      <c r="R134" s="128">
        <v>2</v>
      </c>
      <c r="S134" s="128">
        <v>29189.210000000003</v>
      </c>
      <c r="T134" s="87"/>
      <c r="U134" s="128">
        <v>56</v>
      </c>
      <c r="V134" s="128">
        <v>6213.1500000000005</v>
      </c>
      <c r="W134" s="128">
        <v>17.060000000000002</v>
      </c>
      <c r="X134" s="128">
        <v>116</v>
      </c>
      <c r="Y134" s="128">
        <v>54368.1</v>
      </c>
      <c r="Z134" s="128">
        <v>138.96</v>
      </c>
      <c r="AA134" s="128">
        <v>1</v>
      </c>
      <c r="AB134"/>
      <c r="AC134" s="130">
        <f t="shared" si="2"/>
        <v>8093</v>
      </c>
      <c r="AD134"/>
      <c r="AE134" s="128">
        <v>258483.46000000002</v>
      </c>
      <c r="AF134" s="128">
        <v>959.48</v>
      </c>
      <c r="AG134" s="128">
        <f t="shared" si="3"/>
        <v>5</v>
      </c>
    </row>
    <row r="135" spans="1:33" x14ac:dyDescent="0.2">
      <c r="A135" s="82">
        <v>2022</v>
      </c>
      <c r="B135" s="83" t="s">
        <v>81</v>
      </c>
      <c r="C135" s="86"/>
      <c r="D135" s="128">
        <v>13400986.82</v>
      </c>
      <c r="E135" s="128">
        <v>183397.94000000003</v>
      </c>
      <c r="F135" s="128">
        <v>4202221.0799999898</v>
      </c>
      <c r="G135" s="128">
        <v>7343</v>
      </c>
      <c r="H135" s="128">
        <v>1681265.3499999987</v>
      </c>
      <c r="I135" s="128">
        <v>680</v>
      </c>
      <c r="J135" s="128">
        <v>4082344.169999999</v>
      </c>
      <c r="K135" s="128">
        <v>12918.510000000002</v>
      </c>
      <c r="L135" s="128">
        <v>74</v>
      </c>
      <c r="M135" s="128">
        <v>1772356.98</v>
      </c>
      <c r="N135" s="128">
        <v>6242.2</v>
      </c>
      <c r="O135" s="128">
        <v>6</v>
      </c>
      <c r="P135" s="128">
        <v>1319653.2000000002</v>
      </c>
      <c r="Q135" s="128">
        <v>3408</v>
      </c>
      <c r="R135" s="128">
        <v>2</v>
      </c>
      <c r="S135" s="128">
        <v>28405.599999999999</v>
      </c>
      <c r="T135" s="87"/>
      <c r="U135" s="128">
        <v>53</v>
      </c>
      <c r="V135" s="128">
        <v>5999.8400000000011</v>
      </c>
      <c r="W135" s="128">
        <v>17.64</v>
      </c>
      <c r="X135" s="128">
        <v>116</v>
      </c>
      <c r="Y135" s="128">
        <v>46065.24</v>
      </c>
      <c r="Z135" s="128">
        <v>138.96</v>
      </c>
      <c r="AA135" s="128">
        <v>1</v>
      </c>
      <c r="AB135"/>
      <c r="AC135" s="130">
        <f t="shared" si="2"/>
        <v>8106</v>
      </c>
      <c r="AD135"/>
      <c r="AE135" s="128">
        <v>215327.68000000002</v>
      </c>
      <c r="AF135" s="128">
        <v>898.03000000000009</v>
      </c>
      <c r="AG135" s="128">
        <f t="shared" si="3"/>
        <v>5</v>
      </c>
    </row>
    <row r="136" spans="1:33" x14ac:dyDescent="0.2">
      <c r="A136" s="82">
        <v>2022</v>
      </c>
      <c r="B136" s="83" t="s">
        <v>52</v>
      </c>
      <c r="C136" s="86"/>
      <c r="D136" s="128">
        <v>14301607.030000005</v>
      </c>
      <c r="E136" s="128">
        <v>237124.88999999996</v>
      </c>
      <c r="F136" s="128">
        <v>4645740.909999989</v>
      </c>
      <c r="G136" s="128">
        <v>7355</v>
      </c>
      <c r="H136" s="128">
        <v>1804695.4899999993</v>
      </c>
      <c r="I136" s="128">
        <v>681</v>
      </c>
      <c r="J136" s="128">
        <v>4547025.459999999</v>
      </c>
      <c r="K136" s="128">
        <v>14135.51</v>
      </c>
      <c r="L136" s="128">
        <v>74</v>
      </c>
      <c r="M136" s="128">
        <v>1930492.54</v>
      </c>
      <c r="N136" s="128">
        <v>6411.84</v>
      </c>
      <c r="O136" s="128">
        <v>6</v>
      </c>
      <c r="P136" s="128">
        <v>1297085.6000000001</v>
      </c>
      <c r="Q136" s="128">
        <v>3582.4</v>
      </c>
      <c r="R136" s="128">
        <v>2</v>
      </c>
      <c r="S136" s="128">
        <v>28162.13</v>
      </c>
      <c r="T136" s="87"/>
      <c r="U136" s="128">
        <v>58</v>
      </c>
      <c r="V136" s="128">
        <v>6017.24</v>
      </c>
      <c r="W136" s="128">
        <v>17.399999999999999</v>
      </c>
      <c r="X136" s="128">
        <v>116</v>
      </c>
      <c r="Y136" s="128">
        <v>42174.36</v>
      </c>
      <c r="Z136" s="128">
        <v>138.96</v>
      </c>
      <c r="AA136" s="128">
        <v>1</v>
      </c>
      <c r="AB136"/>
      <c r="AC136" s="130">
        <f t="shared" si="2"/>
        <v>8119</v>
      </c>
      <c r="AD136"/>
      <c r="AE136" s="128">
        <v>190188.46999999997</v>
      </c>
      <c r="AF136" s="128">
        <v>856.30000000000007</v>
      </c>
      <c r="AG136" s="128">
        <f t="shared" si="3"/>
        <v>5</v>
      </c>
    </row>
    <row r="137" spans="1:33" x14ac:dyDescent="0.2">
      <c r="A137" s="82">
        <v>2022</v>
      </c>
      <c r="B137" s="83" t="s">
        <v>82</v>
      </c>
      <c r="C137" s="86"/>
      <c r="D137" s="128">
        <v>15576117.430000002</v>
      </c>
      <c r="E137" s="128">
        <v>248877.21999999997</v>
      </c>
      <c r="F137" s="128">
        <v>4949047.6100000134</v>
      </c>
      <c r="G137" s="128">
        <v>7400</v>
      </c>
      <c r="H137" s="128">
        <v>2007756.9200000018</v>
      </c>
      <c r="I137" s="128">
        <v>683</v>
      </c>
      <c r="J137" s="128">
        <v>4636283.3100000005</v>
      </c>
      <c r="K137" s="128">
        <v>14616.630000000001</v>
      </c>
      <c r="L137" s="128">
        <v>74</v>
      </c>
      <c r="M137" s="128">
        <v>2032458.5899999999</v>
      </c>
      <c r="N137" s="128">
        <v>6328.27</v>
      </c>
      <c r="O137" s="128">
        <v>6</v>
      </c>
      <c r="P137" s="128">
        <v>1447688</v>
      </c>
      <c r="Q137" s="128">
        <v>4516.46</v>
      </c>
      <c r="R137" s="128">
        <v>2</v>
      </c>
      <c r="S137" s="128">
        <v>28800.399999999998</v>
      </c>
      <c r="T137" s="87"/>
      <c r="U137" s="128">
        <v>56</v>
      </c>
      <c r="V137" s="128">
        <v>5991.1400000000012</v>
      </c>
      <c r="W137" s="128">
        <v>17.490000000000002</v>
      </c>
      <c r="X137" s="128">
        <v>116</v>
      </c>
      <c r="Y137" s="128">
        <v>37623.42</v>
      </c>
      <c r="Z137" s="128">
        <v>138.96</v>
      </c>
      <c r="AA137" s="128">
        <v>1</v>
      </c>
      <c r="AB137"/>
      <c r="AC137" s="130">
        <f t="shared" si="2"/>
        <v>8166</v>
      </c>
      <c r="AD137"/>
      <c r="AE137" s="128">
        <v>186475.58000000002</v>
      </c>
      <c r="AF137" s="128">
        <v>925.43000000000006</v>
      </c>
      <c r="AG137" s="128">
        <f t="shared" si="3"/>
        <v>5</v>
      </c>
    </row>
    <row r="138" spans="1:33" x14ac:dyDescent="0.2">
      <c r="A138" s="82">
        <v>2022</v>
      </c>
      <c r="B138" s="83" t="s">
        <v>83</v>
      </c>
      <c r="C138" s="86"/>
      <c r="D138" s="128">
        <v>17012436.870000001</v>
      </c>
      <c r="E138" s="128">
        <v>229151.86</v>
      </c>
      <c r="F138" s="128">
        <v>6165869.7399999863</v>
      </c>
      <c r="G138" s="128">
        <v>7426</v>
      </c>
      <c r="H138" s="128">
        <v>2236158.580000001</v>
      </c>
      <c r="I138" s="128">
        <v>683</v>
      </c>
      <c r="J138" s="128">
        <v>4825864.5499999989</v>
      </c>
      <c r="K138" s="128">
        <v>14174.190000000008</v>
      </c>
      <c r="L138" s="128">
        <v>74</v>
      </c>
      <c r="M138" s="128">
        <v>1934978.2400000002</v>
      </c>
      <c r="N138" s="128">
        <v>6469.54</v>
      </c>
      <c r="O138" s="128">
        <v>6</v>
      </c>
      <c r="P138" s="128">
        <v>1394588.4</v>
      </c>
      <c r="Q138" s="128">
        <v>4067.76</v>
      </c>
      <c r="R138" s="128">
        <v>2</v>
      </c>
      <c r="S138" s="128">
        <v>28769.85</v>
      </c>
      <c r="T138" s="87"/>
      <c r="U138" s="128">
        <v>55</v>
      </c>
      <c r="V138" s="128">
        <v>6078.84</v>
      </c>
      <c r="W138" s="128">
        <v>17.53</v>
      </c>
      <c r="X138" s="128">
        <v>116</v>
      </c>
      <c r="Y138" s="128">
        <v>39812.04</v>
      </c>
      <c r="Z138" s="128">
        <v>138.96</v>
      </c>
      <c r="AA138" s="128">
        <v>1</v>
      </c>
      <c r="AB138"/>
      <c r="AC138" s="130">
        <f t="shared" si="2"/>
        <v>8192</v>
      </c>
      <c r="AD138"/>
      <c r="AE138" s="128">
        <v>188489.26</v>
      </c>
      <c r="AF138" s="128">
        <v>875.61999999999989</v>
      </c>
      <c r="AG138" s="128">
        <f t="shared" si="3"/>
        <v>5</v>
      </c>
    </row>
    <row r="139" spans="1:33" x14ac:dyDescent="0.2">
      <c r="A139" s="82">
        <v>2022</v>
      </c>
      <c r="B139" s="83" t="s">
        <v>84</v>
      </c>
      <c r="C139" s="86"/>
      <c r="D139" s="128">
        <v>17747489.990000002</v>
      </c>
      <c r="E139" s="128">
        <v>216120.18</v>
      </c>
      <c r="F139" s="128">
        <v>5934473.780000004</v>
      </c>
      <c r="G139" s="128">
        <v>7453</v>
      </c>
      <c r="H139" s="128">
        <v>2199402.1300000018</v>
      </c>
      <c r="I139" s="128">
        <v>685</v>
      </c>
      <c r="J139" s="128">
        <v>5014403.0900000008</v>
      </c>
      <c r="K139" s="128">
        <v>14082.189999999999</v>
      </c>
      <c r="L139" s="128">
        <v>74</v>
      </c>
      <c r="M139" s="128">
        <v>2281746.5299999998</v>
      </c>
      <c r="N139" s="128">
        <v>6455.4299999999994</v>
      </c>
      <c r="O139" s="128">
        <v>6</v>
      </c>
      <c r="P139" s="128">
        <v>1728016.8</v>
      </c>
      <c r="Q139" s="128">
        <v>4151.87</v>
      </c>
      <c r="R139" s="128">
        <v>2</v>
      </c>
      <c r="S139" s="128">
        <v>28751.29</v>
      </c>
      <c r="T139" s="87"/>
      <c r="U139" s="128">
        <v>58</v>
      </c>
      <c r="V139" s="128">
        <v>5996.1100000000024</v>
      </c>
      <c r="W139" s="128">
        <v>17.349999999999998</v>
      </c>
      <c r="X139" s="128">
        <v>116</v>
      </c>
      <c r="Y139" s="128">
        <v>45057.78</v>
      </c>
      <c r="Z139" s="128">
        <v>138.96</v>
      </c>
      <c r="AA139" s="128">
        <v>1</v>
      </c>
      <c r="AB139"/>
      <c r="AC139" s="130">
        <f t="shared" si="2"/>
        <v>8221</v>
      </c>
      <c r="AD139"/>
      <c r="AE139" s="128">
        <v>201468.34999999998</v>
      </c>
      <c r="AF139" s="128">
        <v>849.37000000000012</v>
      </c>
      <c r="AG139" s="128">
        <f t="shared" si="3"/>
        <v>5</v>
      </c>
    </row>
    <row r="140" spans="1:33" x14ac:dyDescent="0.2">
      <c r="A140" s="82">
        <v>2022</v>
      </c>
      <c r="B140" s="83" t="s">
        <v>85</v>
      </c>
      <c r="C140" s="86"/>
      <c r="D140" s="128">
        <v>14825218.609999998</v>
      </c>
      <c r="E140" s="128">
        <v>177422.69</v>
      </c>
      <c r="F140" s="128">
        <v>4679539.0600000015</v>
      </c>
      <c r="G140" s="128">
        <v>7476</v>
      </c>
      <c r="H140" s="128">
        <v>1854665.2400000009</v>
      </c>
      <c r="I140" s="128">
        <v>685</v>
      </c>
      <c r="J140" s="128">
        <v>4464950.9099999992</v>
      </c>
      <c r="K140" s="128">
        <v>13483.1</v>
      </c>
      <c r="L140" s="128">
        <v>74</v>
      </c>
      <c r="M140" s="128">
        <v>2140775.77</v>
      </c>
      <c r="N140" s="128">
        <v>6285.86</v>
      </c>
      <c r="O140" s="128">
        <v>6</v>
      </c>
      <c r="P140" s="128">
        <v>1377140.8</v>
      </c>
      <c r="Q140" s="128">
        <v>4073.58</v>
      </c>
      <c r="R140" s="128">
        <v>2</v>
      </c>
      <c r="S140" s="128">
        <v>27629.97</v>
      </c>
      <c r="T140" s="87"/>
      <c r="U140" s="128">
        <v>49</v>
      </c>
      <c r="V140" s="128">
        <v>5965.8000000000011</v>
      </c>
      <c r="W140" s="128">
        <v>16.819999999999997</v>
      </c>
      <c r="X140" s="128">
        <v>116</v>
      </c>
      <c r="Y140" s="128">
        <v>48809.7</v>
      </c>
      <c r="Z140" s="128">
        <v>138.96</v>
      </c>
      <c r="AA140" s="128">
        <v>1</v>
      </c>
      <c r="AB140"/>
      <c r="AC140" s="130">
        <f t="shared" si="2"/>
        <v>8244</v>
      </c>
      <c r="AD140"/>
      <c r="AE140" s="128">
        <v>184986.37</v>
      </c>
      <c r="AF140" s="128">
        <v>799.83</v>
      </c>
      <c r="AG140" s="128">
        <f t="shared" si="3"/>
        <v>5</v>
      </c>
    </row>
    <row r="141" spans="1:33" x14ac:dyDescent="0.2">
      <c r="A141" s="82">
        <v>2022</v>
      </c>
      <c r="B141" s="83" t="s">
        <v>86</v>
      </c>
      <c r="C141" s="86"/>
      <c r="D141" s="128">
        <v>13962206.960000001</v>
      </c>
      <c r="E141" s="128">
        <v>150969.89999999997</v>
      </c>
      <c r="F141" s="128">
        <v>4183786.8000000073</v>
      </c>
      <c r="G141" s="128">
        <v>7520</v>
      </c>
      <c r="H141" s="128">
        <v>1704880.0399999991</v>
      </c>
      <c r="I141" s="128">
        <v>685</v>
      </c>
      <c r="J141" s="128">
        <v>4385549.78</v>
      </c>
      <c r="K141" s="128">
        <v>12776.789999999997</v>
      </c>
      <c r="L141" s="128">
        <v>74</v>
      </c>
      <c r="M141" s="128">
        <v>2068666.9300000002</v>
      </c>
      <c r="N141" s="128">
        <v>6250.63</v>
      </c>
      <c r="O141" s="128">
        <v>6</v>
      </c>
      <c r="P141" s="128">
        <v>1261226.45</v>
      </c>
      <c r="Q141" s="128">
        <v>3651.73</v>
      </c>
      <c r="R141" s="128">
        <v>2</v>
      </c>
      <c r="S141" s="128">
        <v>26731.219999999998</v>
      </c>
      <c r="T141" s="87"/>
      <c r="U141" s="128">
        <v>57</v>
      </c>
      <c r="V141" s="128">
        <v>6000.8000000000011</v>
      </c>
      <c r="W141" s="128">
        <v>15.160000000000002</v>
      </c>
      <c r="X141" s="128">
        <v>116</v>
      </c>
      <c r="Y141" s="128">
        <v>56869.38</v>
      </c>
      <c r="Z141" s="128">
        <v>138.96</v>
      </c>
      <c r="AA141" s="128">
        <v>1</v>
      </c>
      <c r="AB141"/>
      <c r="AC141" s="130">
        <f t="shared" si="2"/>
        <v>8288</v>
      </c>
      <c r="AD141"/>
      <c r="AE141" s="128">
        <v>203934.89</v>
      </c>
      <c r="AF141" s="128">
        <v>793.55</v>
      </c>
      <c r="AG141" s="128">
        <f t="shared" si="3"/>
        <v>5</v>
      </c>
    </row>
    <row r="142" spans="1:33" x14ac:dyDescent="0.2">
      <c r="A142" s="82">
        <v>2022</v>
      </c>
      <c r="B142" s="83" t="s">
        <v>87</v>
      </c>
      <c r="C142" s="86"/>
      <c r="D142" s="128">
        <v>14546118.099999998</v>
      </c>
      <c r="E142" s="128">
        <v>89129.83</v>
      </c>
      <c r="F142" s="128">
        <v>4516455.0099999923</v>
      </c>
      <c r="G142" s="128">
        <v>7532</v>
      </c>
      <c r="H142" s="128">
        <v>1774518.9500000009</v>
      </c>
      <c r="I142" s="128">
        <v>685</v>
      </c>
      <c r="J142" s="128">
        <v>4483335.6899999985</v>
      </c>
      <c r="K142" s="128">
        <v>12955.39</v>
      </c>
      <c r="L142" s="128">
        <v>75</v>
      </c>
      <c r="M142" s="128">
        <v>1842557.25</v>
      </c>
      <c r="N142" s="128">
        <v>6195.91</v>
      </c>
      <c r="O142" s="128">
        <v>6</v>
      </c>
      <c r="P142" s="128">
        <v>1496039.6</v>
      </c>
      <c r="Q142" s="128">
        <v>3921.0299999999997</v>
      </c>
      <c r="R142" s="128">
        <v>2</v>
      </c>
      <c r="S142" s="128">
        <v>29006.21</v>
      </c>
      <c r="T142" s="87"/>
      <c r="U142" s="128">
        <v>58</v>
      </c>
      <c r="V142" s="128">
        <v>5950.71</v>
      </c>
      <c r="W142" s="128">
        <v>15.309999999999999</v>
      </c>
      <c r="X142" s="128">
        <v>116</v>
      </c>
      <c r="Y142" s="128">
        <v>60273.9</v>
      </c>
      <c r="Z142" s="128">
        <v>138.96</v>
      </c>
      <c r="AA142" s="128">
        <v>1</v>
      </c>
      <c r="AB142"/>
      <c r="AC142" s="130">
        <f t="shared" si="2"/>
        <v>8301</v>
      </c>
      <c r="AD142"/>
      <c r="AE142" s="128">
        <v>227343.93</v>
      </c>
      <c r="AF142" s="128">
        <v>865.56999999999994</v>
      </c>
      <c r="AG142" s="128">
        <f t="shared" si="3"/>
        <v>5</v>
      </c>
    </row>
    <row r="143" spans="1:33" ht="13.5" thickBot="1" x14ac:dyDescent="0.25">
      <c r="A143" s="82">
        <v>2022</v>
      </c>
      <c r="B143" s="83" t="s">
        <v>88</v>
      </c>
      <c r="C143" s="86"/>
      <c r="D143" s="128">
        <v>15060786.930000003</v>
      </c>
      <c r="E143" s="128">
        <v>37383.910000000003</v>
      </c>
      <c r="F143" s="128">
        <v>5243334.9000000218</v>
      </c>
      <c r="G143" s="128">
        <v>7547</v>
      </c>
      <c r="H143" s="128">
        <v>1920836.9799999953</v>
      </c>
      <c r="I143" s="128">
        <v>683</v>
      </c>
      <c r="J143" s="128">
        <v>4392983.1899999995</v>
      </c>
      <c r="K143" s="128">
        <v>12985.649999999996</v>
      </c>
      <c r="L143" s="128">
        <v>76</v>
      </c>
      <c r="M143" s="128">
        <v>1545340.32</v>
      </c>
      <c r="N143" s="128">
        <v>5108.7400000000007</v>
      </c>
      <c r="O143" s="128">
        <v>6</v>
      </c>
      <c r="P143" s="128">
        <v>1228625.2</v>
      </c>
      <c r="Q143" s="128">
        <v>3906.2400000000002</v>
      </c>
      <c r="R143" s="128">
        <v>2</v>
      </c>
      <c r="S143" s="128">
        <v>29758.050000000003</v>
      </c>
      <c r="T143" s="88"/>
      <c r="U143" s="128">
        <v>58</v>
      </c>
      <c r="V143" s="128">
        <v>6052.68</v>
      </c>
      <c r="W143" s="128">
        <v>16.12</v>
      </c>
      <c r="X143" s="128">
        <v>116</v>
      </c>
      <c r="Y143" s="128">
        <v>65589.119999999995</v>
      </c>
      <c r="Z143" s="128">
        <v>138.96</v>
      </c>
      <c r="AA143" s="128">
        <v>1</v>
      </c>
      <c r="AB143"/>
      <c r="AC143" s="130">
        <f>G143+I143+L143+O143+R143+AA143</f>
        <v>8315</v>
      </c>
      <c r="AD143"/>
      <c r="AE143" s="128">
        <v>219977.99</v>
      </c>
      <c r="AF143" s="128">
        <v>803.14</v>
      </c>
      <c r="AG143" s="128">
        <f t="shared" si="3"/>
        <v>5</v>
      </c>
    </row>
    <row r="144" spans="1:33" ht="13.5" thickBot="1" x14ac:dyDescent="0.25">
      <c r="A144" s="82">
        <v>2023</v>
      </c>
      <c r="B144" s="83" t="s">
        <v>78</v>
      </c>
      <c r="C144"/>
      <c r="D144" s="128">
        <v>15764179.122748416</v>
      </c>
      <c r="E144" s="128">
        <v>27611.989999999998</v>
      </c>
      <c r="F144" s="128"/>
      <c r="G144" s="128"/>
      <c r="H144" s="128"/>
      <c r="I144" s="128"/>
      <c r="J144" s="128"/>
      <c r="K144" s="128"/>
      <c r="L144" s="128"/>
      <c r="M144" s="128"/>
      <c r="N144" s="128"/>
      <c r="O144" s="128"/>
      <c r="P144" s="128"/>
      <c r="Q144" s="128"/>
      <c r="R144" s="128"/>
      <c r="S144" s="128"/>
      <c r="T144" s="88"/>
      <c r="U144" s="128"/>
      <c r="V144" s="128"/>
      <c r="W144" s="128"/>
      <c r="X144" s="128">
        <v>112</v>
      </c>
      <c r="Y144" s="128"/>
      <c r="Z144" s="128"/>
      <c r="AA144" s="128">
        <v>1</v>
      </c>
      <c r="AB144"/>
      <c r="AC144" s="130">
        <f t="shared" ref="AC144:AC155" si="4">G144+I144+L144+O144+R144+AA144</f>
        <v>1</v>
      </c>
      <c r="AD144"/>
      <c r="AE144" s="128">
        <v>0</v>
      </c>
      <c r="AF144" s="128">
        <v>0</v>
      </c>
      <c r="AG144" s="128">
        <f t="shared" si="3"/>
        <v>5</v>
      </c>
    </row>
    <row r="145" spans="1:33" ht="13.5" thickBot="1" x14ac:dyDescent="0.25">
      <c r="A145" s="82">
        <v>2023</v>
      </c>
      <c r="B145" s="83" t="s">
        <v>79</v>
      </c>
      <c r="C145"/>
      <c r="D145" s="128">
        <v>14136641.043564996</v>
      </c>
      <c r="E145" s="128">
        <v>64932.92</v>
      </c>
      <c r="F145" s="128"/>
      <c r="G145" s="128"/>
      <c r="H145" s="128"/>
      <c r="I145" s="128"/>
      <c r="J145" s="128"/>
      <c r="K145" s="128"/>
      <c r="L145" s="128"/>
      <c r="M145" s="128"/>
      <c r="N145" s="128"/>
      <c r="O145" s="128"/>
      <c r="P145" s="128"/>
      <c r="Q145" s="128"/>
      <c r="R145" s="128"/>
      <c r="S145" s="128"/>
      <c r="T145" s="88"/>
      <c r="U145" s="128"/>
      <c r="V145" s="128"/>
      <c r="W145" s="128"/>
      <c r="X145" s="128">
        <v>112</v>
      </c>
      <c r="Y145" s="128"/>
      <c r="Z145" s="128"/>
      <c r="AA145" s="128">
        <v>1</v>
      </c>
      <c r="AB145"/>
      <c r="AC145" s="130">
        <f t="shared" si="4"/>
        <v>1</v>
      </c>
      <c r="AD145"/>
      <c r="AE145" s="128">
        <v>0</v>
      </c>
      <c r="AF145" s="128">
        <v>0</v>
      </c>
      <c r="AG145" s="128">
        <f t="shared" si="3"/>
        <v>5</v>
      </c>
    </row>
    <row r="146" spans="1:33" ht="13.5" thickBot="1" x14ac:dyDescent="0.25">
      <c r="A146" s="82">
        <v>2023</v>
      </c>
      <c r="B146" s="83" t="s">
        <v>80</v>
      </c>
      <c r="C146"/>
      <c r="D146" s="128">
        <v>15486309.284900974</v>
      </c>
      <c r="E146" s="128">
        <v>96594.64</v>
      </c>
      <c r="F146" s="128"/>
      <c r="G146" s="128"/>
      <c r="H146" s="128"/>
      <c r="I146" s="128"/>
      <c r="J146" s="128"/>
      <c r="K146" s="128"/>
      <c r="L146" s="128"/>
      <c r="M146" s="128"/>
      <c r="N146" s="128"/>
      <c r="O146" s="128"/>
      <c r="P146" s="128"/>
      <c r="Q146" s="128"/>
      <c r="R146" s="128"/>
      <c r="S146" s="128"/>
      <c r="T146" s="88"/>
      <c r="U146" s="128"/>
      <c r="V146" s="128"/>
      <c r="W146" s="128"/>
      <c r="X146" s="128">
        <v>112</v>
      </c>
      <c r="Y146" s="128"/>
      <c r="Z146" s="128"/>
      <c r="AA146" s="128">
        <v>1</v>
      </c>
      <c r="AB146"/>
      <c r="AC146" s="130">
        <f t="shared" si="4"/>
        <v>1</v>
      </c>
      <c r="AD146"/>
      <c r="AE146" s="128">
        <v>0</v>
      </c>
      <c r="AF146" s="128">
        <v>0</v>
      </c>
      <c r="AG146" s="128">
        <f t="shared" si="3"/>
        <v>5</v>
      </c>
    </row>
    <row r="147" spans="1:33" ht="13.5" thickBot="1" x14ac:dyDescent="0.25">
      <c r="A147" s="82">
        <v>2023</v>
      </c>
      <c r="B147" s="83" t="s">
        <v>81</v>
      </c>
      <c r="C147"/>
      <c r="D147" s="128">
        <v>13612691.13400103</v>
      </c>
      <c r="E147" s="128">
        <v>169996.45</v>
      </c>
      <c r="F147" s="128"/>
      <c r="G147" s="128"/>
      <c r="H147" s="128"/>
      <c r="I147" s="128"/>
      <c r="J147" s="128"/>
      <c r="K147" s="128"/>
      <c r="L147" s="128"/>
      <c r="M147" s="128"/>
      <c r="N147" s="128"/>
      <c r="O147" s="128"/>
      <c r="P147" s="128"/>
      <c r="Q147" s="128"/>
      <c r="R147" s="128"/>
      <c r="S147" s="128"/>
      <c r="T147" s="88"/>
      <c r="U147" s="128"/>
      <c r="V147" s="128"/>
      <c r="W147" s="128"/>
      <c r="X147" s="128">
        <v>112</v>
      </c>
      <c r="Y147" s="128"/>
      <c r="Z147" s="128"/>
      <c r="AA147" s="128">
        <v>1</v>
      </c>
      <c r="AB147"/>
      <c r="AC147" s="130">
        <f t="shared" si="4"/>
        <v>1</v>
      </c>
      <c r="AD147"/>
      <c r="AE147" s="128">
        <v>0</v>
      </c>
      <c r="AF147" s="128">
        <v>0</v>
      </c>
      <c r="AG147" s="128">
        <f t="shared" si="3"/>
        <v>5</v>
      </c>
    </row>
    <row r="148" spans="1:33" ht="13.5" thickBot="1" x14ac:dyDescent="0.25">
      <c r="A148" s="82">
        <v>2023</v>
      </c>
      <c r="B148" s="83" t="s">
        <v>52</v>
      </c>
      <c r="C148"/>
      <c r="D148" s="128">
        <v>14486939.494704532</v>
      </c>
      <c r="E148" s="128">
        <v>244919.24000000002</v>
      </c>
      <c r="F148" s="128"/>
      <c r="G148" s="128"/>
      <c r="H148" s="128"/>
      <c r="I148" s="128"/>
      <c r="J148" s="128"/>
      <c r="K148" s="128"/>
      <c r="L148" s="128"/>
      <c r="M148" s="128"/>
      <c r="N148" s="128"/>
      <c r="O148" s="128"/>
      <c r="P148" s="128"/>
      <c r="Q148" s="128"/>
      <c r="R148" s="128"/>
      <c r="S148" s="128"/>
      <c r="T148" s="88"/>
      <c r="U148" s="128"/>
      <c r="V148" s="128"/>
      <c r="W148" s="128"/>
      <c r="X148" s="128">
        <v>112</v>
      </c>
      <c r="Y148" s="128"/>
      <c r="Z148" s="128"/>
      <c r="AA148" s="128">
        <v>1</v>
      </c>
      <c r="AB148"/>
      <c r="AC148" s="130">
        <f t="shared" si="4"/>
        <v>1</v>
      </c>
      <c r="AD148"/>
      <c r="AE148" s="128">
        <v>0</v>
      </c>
      <c r="AF148" s="128">
        <v>0</v>
      </c>
      <c r="AG148" s="128">
        <f t="shared" si="3"/>
        <v>5</v>
      </c>
    </row>
    <row r="149" spans="1:33" ht="13.5" thickBot="1" x14ac:dyDescent="0.25">
      <c r="A149" s="82">
        <v>2023</v>
      </c>
      <c r="B149" s="83" t="s">
        <v>82</v>
      </c>
      <c r="C149"/>
      <c r="D149" s="128">
        <v>15530585.732628452</v>
      </c>
      <c r="E149" s="128">
        <v>213886.78000000003</v>
      </c>
      <c r="F149" s="128"/>
      <c r="G149" s="128"/>
      <c r="H149" s="128"/>
      <c r="I149" s="128"/>
      <c r="J149" s="128"/>
      <c r="K149" s="128"/>
      <c r="L149" s="128"/>
      <c r="M149" s="128"/>
      <c r="N149" s="128"/>
      <c r="O149" s="128"/>
      <c r="P149" s="128"/>
      <c r="Q149" s="128"/>
      <c r="R149" s="128"/>
      <c r="S149" s="128"/>
      <c r="T149" s="88"/>
      <c r="U149" s="128"/>
      <c r="V149" s="128"/>
      <c r="W149" s="128"/>
      <c r="X149" s="128">
        <v>112</v>
      </c>
      <c r="Y149" s="128"/>
      <c r="Z149" s="128"/>
      <c r="AA149" s="128">
        <v>1</v>
      </c>
      <c r="AB149"/>
      <c r="AC149" s="130">
        <f t="shared" si="4"/>
        <v>1</v>
      </c>
      <c r="AD149"/>
      <c r="AE149" s="128">
        <v>0</v>
      </c>
      <c r="AF149" s="128">
        <v>0</v>
      </c>
      <c r="AG149" s="128">
        <f t="shared" si="3"/>
        <v>5</v>
      </c>
    </row>
    <row r="150" spans="1:33" ht="13.5" thickBot="1" x14ac:dyDescent="0.25">
      <c r="A150" s="82">
        <v>2023</v>
      </c>
      <c r="B150" s="83" t="s">
        <v>83</v>
      </c>
      <c r="C150"/>
      <c r="D150" s="128">
        <v>17054339.358404133</v>
      </c>
      <c r="E150" s="128">
        <v>129654.62</v>
      </c>
      <c r="F150" s="128"/>
      <c r="G150" s="128"/>
      <c r="H150" s="128"/>
      <c r="I150" s="128"/>
      <c r="J150" s="128"/>
      <c r="K150" s="128"/>
      <c r="L150" s="128"/>
      <c r="M150" s="128"/>
      <c r="N150" s="128"/>
      <c r="O150" s="128"/>
      <c r="P150" s="128"/>
      <c r="Q150" s="128"/>
      <c r="R150" s="128"/>
      <c r="S150" s="128"/>
      <c r="T150" s="88"/>
      <c r="U150" s="128"/>
      <c r="V150" s="128"/>
      <c r="W150" s="128"/>
      <c r="X150" s="128">
        <v>112</v>
      </c>
      <c r="Y150" s="128"/>
      <c r="Z150" s="128"/>
      <c r="AA150" s="128">
        <v>1</v>
      </c>
      <c r="AB150"/>
      <c r="AC150" s="130">
        <f t="shared" si="4"/>
        <v>1</v>
      </c>
      <c r="AD150"/>
      <c r="AE150" s="128">
        <v>0</v>
      </c>
      <c r="AF150" s="128">
        <v>0</v>
      </c>
      <c r="AG150" s="128">
        <f t="shared" si="3"/>
        <v>5</v>
      </c>
    </row>
    <row r="151" spans="1:33" ht="13.5" thickBot="1" x14ac:dyDescent="0.25">
      <c r="A151" s="82">
        <v>2023</v>
      </c>
      <c r="B151" s="83" t="s">
        <v>84</v>
      </c>
      <c r="C151"/>
      <c r="D151" s="128">
        <v>16860898.505161364</v>
      </c>
      <c r="E151" s="128">
        <v>178256.49</v>
      </c>
      <c r="F151" s="128"/>
      <c r="G151" s="128"/>
      <c r="H151" s="128"/>
      <c r="I151" s="128"/>
      <c r="J151" s="128"/>
      <c r="K151" s="128"/>
      <c r="L151" s="128"/>
      <c r="M151" s="128"/>
      <c r="N151" s="128"/>
      <c r="O151" s="128"/>
      <c r="P151" s="128"/>
      <c r="Q151" s="128"/>
      <c r="R151" s="128"/>
      <c r="S151" s="128"/>
      <c r="T151" s="88"/>
      <c r="U151" s="128"/>
      <c r="V151" s="128"/>
      <c r="W151" s="128"/>
      <c r="X151" s="128">
        <v>112</v>
      </c>
      <c r="Y151" s="128"/>
      <c r="Z151" s="128"/>
      <c r="AA151" s="128">
        <v>1</v>
      </c>
      <c r="AB151"/>
      <c r="AC151" s="130">
        <f t="shared" si="4"/>
        <v>1</v>
      </c>
      <c r="AD151"/>
      <c r="AE151" s="128">
        <v>0</v>
      </c>
      <c r="AF151" s="128">
        <v>0</v>
      </c>
      <c r="AG151" s="128">
        <f t="shared" si="3"/>
        <v>5</v>
      </c>
    </row>
    <row r="152" spans="1:33" ht="13.5" thickBot="1" x14ac:dyDescent="0.25">
      <c r="A152" s="82">
        <v>2023</v>
      </c>
      <c r="B152" s="83" t="s">
        <v>85</v>
      </c>
      <c r="C152"/>
      <c r="D152" s="128">
        <v>15223621.157050353</v>
      </c>
      <c r="E152" s="128">
        <v>162634.43</v>
      </c>
      <c r="F152" s="128"/>
      <c r="G152" s="128"/>
      <c r="H152" s="128"/>
      <c r="I152" s="128"/>
      <c r="J152" s="128"/>
      <c r="K152" s="128"/>
      <c r="L152" s="128"/>
      <c r="M152" s="128"/>
      <c r="N152" s="128"/>
      <c r="O152" s="128"/>
      <c r="P152" s="128"/>
      <c r="Q152" s="128"/>
      <c r="R152" s="128"/>
      <c r="S152" s="128"/>
      <c r="T152" s="88"/>
      <c r="U152" s="128"/>
      <c r="V152" s="128"/>
      <c r="W152" s="128"/>
      <c r="X152" s="128">
        <v>112</v>
      </c>
      <c r="Y152" s="128"/>
      <c r="Z152" s="128"/>
      <c r="AA152" s="128">
        <v>1</v>
      </c>
      <c r="AB152"/>
      <c r="AC152" s="130">
        <f t="shared" si="4"/>
        <v>1</v>
      </c>
      <c r="AD152"/>
      <c r="AE152" s="128">
        <v>0</v>
      </c>
      <c r="AF152" s="128">
        <v>0</v>
      </c>
      <c r="AG152" s="128">
        <f t="shared" si="3"/>
        <v>5</v>
      </c>
    </row>
    <row r="153" spans="1:33" ht="13.5" thickBot="1" x14ac:dyDescent="0.25">
      <c r="A153" s="82">
        <v>2023</v>
      </c>
      <c r="B153" s="83" t="s">
        <v>86</v>
      </c>
      <c r="C153"/>
      <c r="D153" s="128">
        <v>14832443.876044633</v>
      </c>
      <c r="E153" s="128">
        <v>107189.81</v>
      </c>
      <c r="F153" s="128"/>
      <c r="G153" s="128"/>
      <c r="H153" s="128"/>
      <c r="I153" s="128"/>
      <c r="J153" s="128"/>
      <c r="K153" s="128"/>
      <c r="L153" s="128"/>
      <c r="M153" s="128"/>
      <c r="N153" s="128"/>
      <c r="O153" s="128"/>
      <c r="P153" s="128"/>
      <c r="Q153" s="128"/>
      <c r="R153" s="128"/>
      <c r="S153" s="128"/>
      <c r="T153" s="88"/>
      <c r="U153" s="128"/>
      <c r="V153" s="128"/>
      <c r="W153" s="128"/>
      <c r="X153" s="128">
        <v>112</v>
      </c>
      <c r="Y153" s="128"/>
      <c r="Z153" s="128"/>
      <c r="AA153" s="128">
        <v>1</v>
      </c>
      <c r="AB153"/>
      <c r="AC153" s="130">
        <f t="shared" si="4"/>
        <v>1</v>
      </c>
      <c r="AD153"/>
      <c r="AE153" s="128">
        <v>0</v>
      </c>
      <c r="AF153" s="128">
        <v>0</v>
      </c>
      <c r="AG153" s="128">
        <f t="shared" si="3"/>
        <v>5</v>
      </c>
    </row>
    <row r="154" spans="1:33" ht="13.5" thickBot="1" x14ac:dyDescent="0.25">
      <c r="A154" s="82">
        <v>2023</v>
      </c>
      <c r="B154" s="83" t="s">
        <v>87</v>
      </c>
      <c r="C154"/>
      <c r="D154" s="128">
        <v>15091992.253819162</v>
      </c>
      <c r="E154" s="128">
        <v>66484.479999999996</v>
      </c>
      <c r="F154" s="128"/>
      <c r="G154" s="128"/>
      <c r="H154" s="128"/>
      <c r="I154" s="128"/>
      <c r="J154" s="128"/>
      <c r="K154" s="128"/>
      <c r="L154" s="128"/>
      <c r="M154" s="128"/>
      <c r="N154" s="128"/>
      <c r="O154" s="128"/>
      <c r="P154" s="128"/>
      <c r="Q154" s="128"/>
      <c r="R154" s="128"/>
      <c r="S154" s="128"/>
      <c r="T154" s="88"/>
      <c r="U154" s="128"/>
      <c r="V154" s="128"/>
      <c r="W154" s="128"/>
      <c r="X154" s="128">
        <v>112</v>
      </c>
      <c r="Y154" s="128"/>
      <c r="Z154" s="128"/>
      <c r="AA154" s="128">
        <v>1</v>
      </c>
      <c r="AB154"/>
      <c r="AC154" s="130">
        <f t="shared" si="4"/>
        <v>1</v>
      </c>
      <c r="AD154"/>
      <c r="AE154" s="128">
        <v>0</v>
      </c>
      <c r="AF154" s="128">
        <v>0</v>
      </c>
      <c r="AG154" s="128">
        <f t="shared" si="3"/>
        <v>5</v>
      </c>
    </row>
    <row r="155" spans="1:33" ht="13.5" thickBot="1" x14ac:dyDescent="0.25">
      <c r="A155" s="82">
        <v>2023</v>
      </c>
      <c r="B155" s="83" t="s">
        <v>88</v>
      </c>
      <c r="C155"/>
      <c r="D155" s="128">
        <v>14764998.982675916</v>
      </c>
      <c r="E155" s="128">
        <v>34488.400000000001</v>
      </c>
      <c r="F155" s="128"/>
      <c r="G155" s="128">
        <v>7631</v>
      </c>
      <c r="H155" s="128"/>
      <c r="I155" s="128">
        <v>689</v>
      </c>
      <c r="J155" s="128"/>
      <c r="K155" s="128"/>
      <c r="L155" s="128">
        <v>76</v>
      </c>
      <c r="M155" s="128"/>
      <c r="N155" s="128"/>
      <c r="O155" s="128">
        <v>7</v>
      </c>
      <c r="P155" s="128"/>
      <c r="Q155" s="128"/>
      <c r="R155" s="128">
        <v>2</v>
      </c>
      <c r="S155" s="128"/>
      <c r="T155" s="88"/>
      <c r="U155" s="128"/>
      <c r="V155" s="128"/>
      <c r="W155" s="128"/>
      <c r="X155" s="128">
        <v>112</v>
      </c>
      <c r="Y155" s="128"/>
      <c r="Z155" s="128"/>
      <c r="AA155" s="128">
        <v>1</v>
      </c>
      <c r="AB155"/>
      <c r="AC155" s="130">
        <f t="shared" si="4"/>
        <v>8406</v>
      </c>
      <c r="AD155"/>
      <c r="AE155" s="128">
        <v>0</v>
      </c>
      <c r="AF155" s="128">
        <v>0</v>
      </c>
      <c r="AG155" s="128">
        <f t="shared" si="3"/>
        <v>5</v>
      </c>
    </row>
    <row r="156" spans="1:33" ht="13.5" thickBot="1" x14ac:dyDescent="0.25">
      <c r="A156" s="82">
        <v>2024</v>
      </c>
      <c r="B156" s="83" t="s">
        <v>78</v>
      </c>
      <c r="C156"/>
      <c r="D156" s="128">
        <v>16534102.110555433</v>
      </c>
      <c r="E156" s="128">
        <v>27221.46</v>
      </c>
      <c r="F156" s="128"/>
      <c r="G156" s="128">
        <v>7654</v>
      </c>
      <c r="H156" s="128"/>
      <c r="I156" s="128">
        <v>695</v>
      </c>
      <c r="J156" s="128"/>
      <c r="K156" s="128"/>
      <c r="L156" s="128">
        <v>77</v>
      </c>
      <c r="M156" s="128"/>
      <c r="N156" s="128"/>
      <c r="O156" s="128">
        <v>7</v>
      </c>
      <c r="P156" s="128"/>
      <c r="Q156" s="128"/>
      <c r="R156" s="128">
        <v>2</v>
      </c>
      <c r="S156" s="128"/>
      <c r="T156" s="88"/>
      <c r="U156" s="128"/>
      <c r="V156" s="128"/>
      <c r="W156" s="128"/>
      <c r="X156" s="128"/>
      <c r="Y156" s="128"/>
      <c r="Z156" s="128"/>
      <c r="AA156" s="128">
        <v>1</v>
      </c>
      <c r="AB156"/>
      <c r="AC156" s="130">
        <f t="shared" ref="AC156:AC161" si="5">G156+I156+L156+O156+R156+AA156</f>
        <v>8436</v>
      </c>
      <c r="AD156"/>
      <c r="AE156" s="128">
        <v>0</v>
      </c>
      <c r="AF156" s="128">
        <v>0</v>
      </c>
      <c r="AG156" s="128">
        <f t="shared" si="3"/>
        <v>5</v>
      </c>
    </row>
    <row r="157" spans="1:33" ht="13.5" thickBot="1" x14ac:dyDescent="0.25">
      <c r="A157" s="82">
        <v>2024</v>
      </c>
      <c r="B157" s="83" t="s">
        <v>79</v>
      </c>
      <c r="C157"/>
      <c r="D157" s="128">
        <v>14760437.733178187</v>
      </c>
      <c r="E157" s="128">
        <v>93645.29</v>
      </c>
      <c r="F157" s="128"/>
      <c r="G157" s="128">
        <v>7657</v>
      </c>
      <c r="H157" s="128"/>
      <c r="I157" s="128">
        <v>696</v>
      </c>
      <c r="J157" s="128"/>
      <c r="K157" s="128"/>
      <c r="L157" s="128">
        <v>77</v>
      </c>
      <c r="M157" s="128"/>
      <c r="N157" s="128"/>
      <c r="O157" s="128">
        <v>7</v>
      </c>
      <c r="P157" s="128"/>
      <c r="Q157" s="128"/>
      <c r="R157" s="128">
        <v>2</v>
      </c>
      <c r="S157" s="128"/>
      <c r="T157" s="88"/>
      <c r="U157" s="128"/>
      <c r="V157" s="128"/>
      <c r="W157" s="128"/>
      <c r="X157" s="128"/>
      <c r="Y157" s="128"/>
      <c r="Z157" s="128"/>
      <c r="AA157" s="128">
        <v>1</v>
      </c>
      <c r="AB157"/>
      <c r="AC157" s="130">
        <f t="shared" si="5"/>
        <v>8440</v>
      </c>
      <c r="AD157"/>
      <c r="AE157" s="128">
        <v>0</v>
      </c>
      <c r="AF157" s="128">
        <v>0</v>
      </c>
      <c r="AG157" s="128">
        <f t="shared" si="3"/>
        <v>5</v>
      </c>
    </row>
    <row r="158" spans="1:33" ht="13.5" thickBot="1" x14ac:dyDescent="0.25">
      <c r="A158" s="82">
        <v>2024</v>
      </c>
      <c r="B158" s="83" t="s">
        <v>80</v>
      </c>
      <c r="C158"/>
      <c r="D158" s="128">
        <v>15024470.071688553</v>
      </c>
      <c r="E158" s="128">
        <v>129827.51</v>
      </c>
      <c r="F158" s="128"/>
      <c r="G158" s="128">
        <v>7660</v>
      </c>
      <c r="H158" s="128"/>
      <c r="I158" s="128">
        <v>695</v>
      </c>
      <c r="J158" s="128"/>
      <c r="K158" s="128"/>
      <c r="L158" s="128">
        <v>77</v>
      </c>
      <c r="M158" s="128"/>
      <c r="N158" s="128"/>
      <c r="O158" s="128">
        <v>7</v>
      </c>
      <c r="P158" s="128"/>
      <c r="Q158" s="128"/>
      <c r="R158" s="128">
        <v>2</v>
      </c>
      <c r="S158" s="128"/>
      <c r="T158" s="88"/>
      <c r="U158" s="128"/>
      <c r="V158" s="128"/>
      <c r="W158" s="128"/>
      <c r="X158" s="128"/>
      <c r="Y158" s="128"/>
      <c r="Z158" s="128"/>
      <c r="AA158" s="128">
        <v>1</v>
      </c>
      <c r="AB158"/>
      <c r="AC158" s="130">
        <f t="shared" si="5"/>
        <v>8442</v>
      </c>
      <c r="AD158"/>
      <c r="AE158" s="128">
        <v>0</v>
      </c>
      <c r="AF158" s="128">
        <v>0</v>
      </c>
      <c r="AG158" s="128">
        <f t="shared" si="3"/>
        <v>5</v>
      </c>
    </row>
    <row r="159" spans="1:33" ht="13.5" thickBot="1" x14ac:dyDescent="0.25">
      <c r="A159" s="82">
        <v>2024</v>
      </c>
      <c r="B159" s="83" t="s">
        <v>81</v>
      </c>
      <c r="C159"/>
      <c r="D159" s="128">
        <v>14291771.432481281</v>
      </c>
      <c r="E159" s="128">
        <v>126561.07</v>
      </c>
      <c r="F159" s="128"/>
      <c r="G159" s="128">
        <v>7664</v>
      </c>
      <c r="H159" s="128"/>
      <c r="I159" s="128">
        <v>695</v>
      </c>
      <c r="J159" s="128"/>
      <c r="K159" s="128"/>
      <c r="L159" s="128">
        <v>77</v>
      </c>
      <c r="M159" s="128"/>
      <c r="N159" s="128"/>
      <c r="O159" s="128">
        <v>7</v>
      </c>
      <c r="P159" s="128"/>
      <c r="Q159" s="128"/>
      <c r="R159" s="128">
        <v>2</v>
      </c>
      <c r="S159" s="128"/>
      <c r="T159" s="88"/>
      <c r="U159" s="128"/>
      <c r="V159" s="128"/>
      <c r="W159" s="128"/>
      <c r="X159" s="128"/>
      <c r="Y159" s="128"/>
      <c r="Z159" s="128"/>
      <c r="AA159" s="128">
        <v>1</v>
      </c>
      <c r="AB159"/>
      <c r="AC159" s="130">
        <f t="shared" si="5"/>
        <v>8446</v>
      </c>
      <c r="AD159"/>
      <c r="AE159" s="128">
        <v>0</v>
      </c>
      <c r="AF159" s="128">
        <v>0</v>
      </c>
      <c r="AG159" s="128">
        <f t="shared" si="3"/>
        <v>5</v>
      </c>
    </row>
    <row r="160" spans="1:33" ht="13.5" thickBot="1" x14ac:dyDescent="0.25">
      <c r="A160" s="82">
        <v>2024</v>
      </c>
      <c r="B160" s="83" t="s">
        <v>52</v>
      </c>
      <c r="C160"/>
      <c r="D160" s="128">
        <v>15158175.05241408</v>
      </c>
      <c r="E160" s="128">
        <v>184786.31</v>
      </c>
      <c r="F160" s="128"/>
      <c r="G160" s="128">
        <v>7675</v>
      </c>
      <c r="H160" s="128"/>
      <c r="I160" s="128">
        <v>694</v>
      </c>
      <c r="J160" s="128"/>
      <c r="K160" s="128"/>
      <c r="L160" s="128">
        <v>77</v>
      </c>
      <c r="M160" s="128"/>
      <c r="N160" s="128"/>
      <c r="O160" s="128">
        <v>7</v>
      </c>
      <c r="P160" s="128"/>
      <c r="Q160" s="128"/>
      <c r="R160" s="128">
        <v>2</v>
      </c>
      <c r="S160" s="128"/>
      <c r="T160" s="88"/>
      <c r="U160" s="128"/>
      <c r="V160" s="128"/>
      <c r="W160" s="128"/>
      <c r="X160" s="128"/>
      <c r="Y160" s="128"/>
      <c r="Z160" s="128"/>
      <c r="AA160" s="128">
        <v>1</v>
      </c>
      <c r="AB160"/>
      <c r="AC160" s="130">
        <f t="shared" si="5"/>
        <v>8456</v>
      </c>
      <c r="AD160"/>
      <c r="AE160" s="128">
        <v>0</v>
      </c>
      <c r="AF160" s="128">
        <v>0</v>
      </c>
      <c r="AG160" s="128">
        <f t="shared" si="3"/>
        <v>5</v>
      </c>
    </row>
    <row r="161" spans="1:33" ht="13.5" thickBot="1" x14ac:dyDescent="0.25">
      <c r="A161" s="82">
        <v>2024</v>
      </c>
      <c r="B161" s="83" t="s">
        <v>82</v>
      </c>
      <c r="C161"/>
      <c r="D161" s="128">
        <v>16328490.095426783</v>
      </c>
      <c r="E161" s="128">
        <v>204911.08</v>
      </c>
      <c r="F161" s="128"/>
      <c r="G161" s="128">
        <v>7684</v>
      </c>
      <c r="H161" s="128"/>
      <c r="I161" s="128">
        <v>709</v>
      </c>
      <c r="J161" s="128"/>
      <c r="K161" s="128"/>
      <c r="L161" s="128">
        <v>77</v>
      </c>
      <c r="M161" s="128"/>
      <c r="N161" s="128"/>
      <c r="O161" s="128">
        <v>7</v>
      </c>
      <c r="P161" s="128"/>
      <c r="Q161" s="128"/>
      <c r="R161" s="128">
        <v>2</v>
      </c>
      <c r="S161" s="128"/>
      <c r="T161" s="88"/>
      <c r="U161" s="128"/>
      <c r="V161" s="128"/>
      <c r="W161" s="128"/>
      <c r="X161" s="128"/>
      <c r="Y161" s="128"/>
      <c r="Z161" s="128"/>
      <c r="AA161" s="128">
        <v>1</v>
      </c>
      <c r="AB161"/>
      <c r="AC161" s="130">
        <f t="shared" si="5"/>
        <v>8480</v>
      </c>
      <c r="AD161"/>
      <c r="AE161" s="128">
        <v>0</v>
      </c>
      <c r="AF161" s="128">
        <v>0</v>
      </c>
      <c r="AG161" s="128">
        <f t="shared" si="3"/>
        <v>5</v>
      </c>
    </row>
    <row r="162" spans="1:33" ht="14.25" x14ac:dyDescent="0.2">
      <c r="A162" s="65"/>
      <c r="B162" s="65"/>
      <c r="C162" s="65"/>
      <c r="D162" s="65"/>
      <c r="E162" s="91"/>
      <c r="F162" s="92"/>
      <c r="G162" s="91"/>
      <c r="H162" s="91"/>
      <c r="I162" s="91"/>
      <c r="J162" s="91"/>
      <c r="K162" s="91"/>
      <c r="L162" s="91"/>
      <c r="M162" s="91"/>
      <c r="N162" s="91"/>
      <c r="O162" s="91"/>
      <c r="P162" s="91"/>
      <c r="Q162" s="91"/>
      <c r="R162" s="91"/>
      <c r="S162" s="91"/>
      <c r="T162" s="91"/>
      <c r="U162" s="84"/>
      <c r="V162" s="65"/>
      <c r="W162" s="65"/>
      <c r="X162" s="65"/>
      <c r="Y162" s="65"/>
      <c r="Z162" s="65"/>
      <c r="AA162" s="65"/>
      <c r="AB162" s="65"/>
      <c r="AC162" s="90"/>
      <c r="AD162" s="90"/>
      <c r="AE162" s="91"/>
      <c r="AF162" s="91"/>
      <c r="AG162" s="91"/>
    </row>
    <row r="163" spans="1:33" ht="14.25" x14ac:dyDescent="0.2">
      <c r="A163" s="65"/>
      <c r="B163" s="65"/>
      <c r="C163" s="65"/>
      <c r="D163" s="65"/>
      <c r="E163" s="91"/>
      <c r="F163" s="92"/>
      <c r="G163" s="91"/>
      <c r="H163" s="91"/>
      <c r="I163" s="91"/>
      <c r="J163" s="91"/>
      <c r="K163" s="91"/>
      <c r="L163" s="91"/>
      <c r="M163" s="91"/>
      <c r="N163" s="91"/>
      <c r="O163" s="91"/>
      <c r="P163" s="91"/>
      <c r="Q163" s="91"/>
      <c r="R163" s="91"/>
      <c r="S163" s="91"/>
      <c r="T163" s="91"/>
      <c r="U163" s="84"/>
      <c r="V163" s="65"/>
      <c r="W163" s="65"/>
      <c r="X163" s="65"/>
      <c r="Y163" s="65"/>
      <c r="Z163" s="65"/>
      <c r="AA163" s="65"/>
      <c r="AB163" s="65"/>
      <c r="AC163" s="90"/>
      <c r="AD163" s="90"/>
      <c r="AE163" s="91"/>
      <c r="AF163" s="91"/>
      <c r="AG163" s="91"/>
    </row>
    <row r="164" spans="1:33" x14ac:dyDescent="0.2">
      <c r="A164" s="84"/>
      <c r="B164" s="84"/>
      <c r="C164" s="84"/>
      <c r="D164" s="129">
        <f t="shared" ref="D164:AA164" si="6">SUM(D24:D143)</f>
        <v>1880813669.1575117</v>
      </c>
      <c r="E164" s="129">
        <f t="shared" si="6"/>
        <v>15063930.180000002</v>
      </c>
      <c r="F164" s="129">
        <f t="shared" si="6"/>
        <v>524811639</v>
      </c>
      <c r="G164" s="129">
        <f t="shared" si="6"/>
        <v>787689</v>
      </c>
      <c r="H164" s="129">
        <f t="shared" si="6"/>
        <v>215537732.31999996</v>
      </c>
      <c r="I164" s="129">
        <f t="shared" si="6"/>
        <v>77935</v>
      </c>
      <c r="J164" s="129">
        <f t="shared" si="6"/>
        <v>447908589.19000012</v>
      </c>
      <c r="K164" s="129">
        <f t="shared" si="6"/>
        <v>1381187.3099999996</v>
      </c>
      <c r="L164" s="129">
        <f t="shared" si="6"/>
        <v>9452</v>
      </c>
      <c r="M164" s="129">
        <f t="shared" si="6"/>
        <v>344048722.3499999</v>
      </c>
      <c r="N164" s="129">
        <f t="shared" si="6"/>
        <v>946679.82999999984</v>
      </c>
      <c r="O164" s="129">
        <f t="shared" si="6"/>
        <v>1158</v>
      </c>
      <c r="P164" s="129">
        <f t="shared" si="6"/>
        <v>288005696.88999999</v>
      </c>
      <c r="Q164" s="129">
        <f t="shared" si="6"/>
        <v>627041.36000000022</v>
      </c>
      <c r="R164" s="129">
        <f t="shared" si="6"/>
        <v>248</v>
      </c>
      <c r="S164" s="129">
        <f t="shared" si="6"/>
        <v>3622555.8400000012</v>
      </c>
      <c r="T164" s="129">
        <f t="shared" si="6"/>
        <v>0</v>
      </c>
      <c r="U164" s="129">
        <f t="shared" si="6"/>
        <v>6993</v>
      </c>
      <c r="V164" s="129">
        <f t="shared" si="6"/>
        <v>923773.1800000004</v>
      </c>
      <c r="W164" s="129">
        <f t="shared" si="6"/>
        <v>2520.5699999999997</v>
      </c>
      <c r="X164" s="129">
        <f>SUM(X24:X144)</f>
        <v>14139</v>
      </c>
      <c r="Y164" s="129">
        <f t="shared" si="6"/>
        <v>10532818.859999994</v>
      </c>
      <c r="Z164" s="129">
        <f t="shared" si="6"/>
        <v>28428.109999999997</v>
      </c>
      <c r="AA164" s="129">
        <f t="shared" si="6"/>
        <v>120</v>
      </c>
      <c r="AB164" s="140"/>
      <c r="AC164" s="129">
        <f>SUM(AC24:AC143)</f>
        <v>876602</v>
      </c>
      <c r="AD164" s="65"/>
      <c r="AE164" s="129">
        <f>SUM(AE24:AE143)</f>
        <v>49028597.400000028</v>
      </c>
      <c r="AF164" s="129">
        <f>SUM(AF24:AF143)</f>
        <v>141859.37999999995</v>
      </c>
      <c r="AG164" s="129">
        <f>SUM(AG24:AG143)</f>
        <v>420</v>
      </c>
    </row>
    <row r="165" spans="1:33" x14ac:dyDescent="0.2">
      <c r="A165" s="65"/>
      <c r="B165" s="65"/>
      <c r="C165" s="65"/>
      <c r="D165" s="129">
        <v>1880813669.1575117</v>
      </c>
      <c r="E165" s="129">
        <v>15063930.180000002</v>
      </c>
      <c r="F165" s="129">
        <v>524811639</v>
      </c>
      <c r="G165" s="129">
        <v>787689</v>
      </c>
      <c r="H165" s="129">
        <v>215537732.31999996</v>
      </c>
      <c r="I165" s="129">
        <v>77935</v>
      </c>
      <c r="J165" s="129">
        <v>447908589.19000012</v>
      </c>
      <c r="K165" s="129">
        <v>1381187.3099999996</v>
      </c>
      <c r="L165" s="129">
        <v>9452</v>
      </c>
      <c r="M165" s="129">
        <v>344048722.3499999</v>
      </c>
      <c r="N165" s="129">
        <v>946679.82999999984</v>
      </c>
      <c r="O165" s="129">
        <v>1158</v>
      </c>
      <c r="P165" s="129">
        <v>288005696.88999999</v>
      </c>
      <c r="Q165" s="129">
        <v>627041.36000000022</v>
      </c>
      <c r="R165" s="129">
        <v>248</v>
      </c>
      <c r="S165" s="129">
        <v>3622555.8400000012</v>
      </c>
      <c r="T165" s="129">
        <v>0</v>
      </c>
      <c r="U165" s="129">
        <v>6993</v>
      </c>
      <c r="V165" s="129">
        <v>923773.1800000004</v>
      </c>
      <c r="W165" s="129">
        <v>2520.5699999999997</v>
      </c>
      <c r="X165" s="129">
        <v>14027</v>
      </c>
      <c r="Y165" s="129">
        <v>10532818.859999994</v>
      </c>
      <c r="Z165" s="129">
        <v>28428.109999999997</v>
      </c>
      <c r="AA165" s="129">
        <v>120</v>
      </c>
      <c r="AB165" s="65"/>
      <c r="AC165" s="129">
        <f>SUM('Power Purchased Model'!L3:L86)</f>
        <v>629506</v>
      </c>
      <c r="AD165" s="65"/>
      <c r="AE165" s="129"/>
      <c r="AF165" s="129"/>
      <c r="AG165" s="129"/>
    </row>
    <row r="166" spans="1:33" x14ac:dyDescent="0.2">
      <c r="A166" s="65"/>
      <c r="B166" s="65"/>
      <c r="C166" s="65"/>
      <c r="D166" s="129">
        <f>D164-D165</f>
        <v>0</v>
      </c>
      <c r="E166" s="129">
        <f t="shared" ref="E166:F166" si="7">E164-E165</f>
        <v>0</v>
      </c>
      <c r="F166" s="129">
        <f t="shared" si="7"/>
        <v>0</v>
      </c>
      <c r="G166" s="129">
        <f t="shared" ref="G166" si="8">G164-G165</f>
        <v>0</v>
      </c>
      <c r="H166" s="129">
        <f t="shared" ref="H166" si="9">H164-H165</f>
        <v>0</v>
      </c>
      <c r="I166" s="129">
        <f t="shared" ref="I166" si="10">I164-I165</f>
        <v>0</v>
      </c>
      <c r="J166" s="129">
        <f t="shared" ref="J166" si="11">J164-J165</f>
        <v>0</v>
      </c>
      <c r="K166" s="129">
        <f t="shared" ref="K166" si="12">K164-K165</f>
        <v>0</v>
      </c>
      <c r="L166" s="129">
        <f t="shared" ref="L166" si="13">L164-L165</f>
        <v>0</v>
      </c>
      <c r="M166" s="129">
        <f t="shared" ref="M166" si="14">M164-M165</f>
        <v>0</v>
      </c>
      <c r="N166" s="129">
        <f t="shared" ref="N166" si="15">N164-N165</f>
        <v>0</v>
      </c>
      <c r="O166" s="129">
        <f t="shared" ref="O166" si="16">O164-O165</f>
        <v>0</v>
      </c>
      <c r="P166" s="129">
        <f t="shared" ref="P166" si="17">P164-P165</f>
        <v>0</v>
      </c>
      <c r="Q166" s="129">
        <f t="shared" ref="Q166" si="18">Q164-Q165</f>
        <v>0</v>
      </c>
      <c r="R166" s="129">
        <f t="shared" ref="R166" si="19">R164-R165</f>
        <v>0</v>
      </c>
      <c r="S166" s="129">
        <f t="shared" ref="S166" si="20">S164-S165</f>
        <v>0</v>
      </c>
      <c r="T166" s="129">
        <f t="shared" ref="T166" si="21">T164-T165</f>
        <v>0</v>
      </c>
      <c r="U166" s="129">
        <f t="shared" ref="U166" si="22">U164-U165</f>
        <v>0</v>
      </c>
      <c r="V166" s="129">
        <f t="shared" ref="V166" si="23">V164-V165</f>
        <v>0</v>
      </c>
      <c r="W166" s="129">
        <f t="shared" ref="W166" si="24">W164-W165</f>
        <v>0</v>
      </c>
      <c r="X166" s="129">
        <f t="shared" ref="X166" si="25">X164-X165</f>
        <v>112</v>
      </c>
      <c r="Y166" s="129">
        <f t="shared" ref="Y166" si="26">Y164-Y165</f>
        <v>0</v>
      </c>
      <c r="Z166" s="129">
        <f t="shared" ref="Z166" si="27">Z164-Z165</f>
        <v>0</v>
      </c>
      <c r="AA166" s="129">
        <f t="shared" ref="AA166:AC166" si="28">AA164-AA165</f>
        <v>0</v>
      </c>
      <c r="AB166" s="65"/>
      <c r="AC166" s="129">
        <f t="shared" si="28"/>
        <v>247096</v>
      </c>
      <c r="AD166" s="65"/>
      <c r="AE166" s="129"/>
      <c r="AF166" s="129"/>
      <c r="AG166" s="129"/>
    </row>
    <row r="167" spans="1:33" x14ac:dyDescent="0.2">
      <c r="A167" s="65"/>
      <c r="B167" s="65"/>
      <c r="C167" s="65"/>
      <c r="D167" s="65"/>
      <c r="E167" s="84"/>
      <c r="F167" s="89"/>
      <c r="G167" s="84"/>
      <c r="H167" s="65"/>
      <c r="I167" s="65"/>
      <c r="J167" s="65"/>
      <c r="K167" s="65"/>
      <c r="L167" s="65"/>
      <c r="M167" s="65"/>
      <c r="N167" s="65"/>
      <c r="O167" s="65"/>
      <c r="P167" s="65"/>
      <c r="Q167" s="65"/>
      <c r="R167" s="65"/>
      <c r="S167" s="65"/>
      <c r="T167" s="65"/>
      <c r="U167" s="65"/>
      <c r="V167" s="65"/>
      <c r="W167" s="65"/>
      <c r="X167" s="65"/>
      <c r="Y167" s="65"/>
      <c r="Z167" s="65"/>
      <c r="AA167" s="65"/>
      <c r="AB167" s="65"/>
      <c r="AC167" s="65"/>
      <c r="AD167" s="65"/>
      <c r="AE167" s="65"/>
      <c r="AF167" s="65"/>
      <c r="AG167" s="65"/>
    </row>
    <row r="168" spans="1:33" x14ac:dyDescent="0.2">
      <c r="F168" s="129">
        <f>SUM(F60:F143)</f>
        <v>376727338.50000006</v>
      </c>
      <c r="H168" s="129">
        <f>SUM(H60:H143)</f>
        <v>150080146.77000007</v>
      </c>
      <c r="J168" s="129">
        <f>SUM(J60:J143)</f>
        <v>317001314.19</v>
      </c>
      <c r="K168" s="129">
        <f>SUM(K60:K143)</f>
        <v>988399.51000000036</v>
      </c>
      <c r="M168" s="129">
        <f>SUM(M60:M143)</f>
        <v>221818638.10999998</v>
      </c>
      <c r="N168" s="129">
        <f>SUM(N60:N143)</f>
        <v>647311.80999999994</v>
      </c>
      <c r="P168" s="129">
        <f>SUM(P60:P143)</f>
        <v>178590010.00999993</v>
      </c>
      <c r="Q168" s="129">
        <f>SUM(Q60:Q143)</f>
        <v>420039.43</v>
      </c>
      <c r="S168" s="129">
        <f>SUM(S60:S143)</f>
        <v>2455659.3399999994</v>
      </c>
      <c r="V168" s="129">
        <f>SUM(V60:V143)</f>
        <v>596034.48000000021</v>
      </c>
      <c r="W168" s="129">
        <f>SUM(W60:W143)</f>
        <v>1623.5899999999992</v>
      </c>
      <c r="Y168" s="129">
        <f>SUM(Y60:Y143)</f>
        <v>6267848.9300000016</v>
      </c>
      <c r="Z168" s="129">
        <f>SUM(Z60:Z143)</f>
        <v>16934.389999999989</v>
      </c>
      <c r="AE168" s="129"/>
      <c r="AF168" s="129"/>
    </row>
    <row r="169" spans="1:33" x14ac:dyDescent="0.2">
      <c r="F169" s="141">
        <f>SUM('Rate Class Energy Model'!H3:H9)</f>
        <v>376727338.5</v>
      </c>
      <c r="H169" s="141">
        <f>SUM('Rate Class Energy Model'!I3:I9)</f>
        <v>150080146.77000004</v>
      </c>
      <c r="J169" s="141">
        <f>SUM('Rate Class Energy Model'!J3:J9)</f>
        <v>317001314.19</v>
      </c>
      <c r="K169" s="129">
        <f>SUM('Rate Class Load Model'!B2:B8)</f>
        <v>988399.51</v>
      </c>
      <c r="M169" s="141">
        <f>SUM('Rate Class Energy Model'!K3:K9)</f>
        <v>221818638.10999998</v>
      </c>
      <c r="N169" s="129">
        <f>SUM('Rate Class Load Model'!C2:C8)</f>
        <v>647311.81000000017</v>
      </c>
      <c r="P169" s="141">
        <f>SUM('Rate Class Energy Model'!L3:L9)</f>
        <v>178590010.01000002</v>
      </c>
      <c r="Q169" s="129">
        <f>SUM('Rate Class Load Model'!D2:D8)</f>
        <v>420039.43</v>
      </c>
      <c r="S169" s="141">
        <f>SUM('Rate Class Energy Model'!M3:M9)</f>
        <v>2455659.34</v>
      </c>
      <c r="V169" s="141">
        <f>SUM('Rate Class Energy Model'!N3:N9)</f>
        <v>596034.48</v>
      </c>
      <c r="W169" s="129">
        <f>SUM('Rate Class Load Model'!E2:E8)</f>
        <v>1623.5899999999997</v>
      </c>
      <c r="Y169" s="141">
        <f>SUM('Rate Class Energy Model'!O3:O9)</f>
        <v>6267848.9299999997</v>
      </c>
      <c r="Z169" s="129">
        <f>SUM('Rate Class Load Model'!F2:F8)</f>
        <v>16934.39</v>
      </c>
      <c r="AE169" s="141"/>
      <c r="AF169" s="129"/>
    </row>
    <row r="170" spans="1:33" x14ac:dyDescent="0.2">
      <c r="F170" s="141">
        <f>F168-F169</f>
        <v>0</v>
      </c>
      <c r="H170" s="141">
        <f>H168-H169</f>
        <v>0</v>
      </c>
      <c r="J170" s="141">
        <f>J168-J169</f>
        <v>0</v>
      </c>
      <c r="K170" s="141">
        <f>K168-K169</f>
        <v>0</v>
      </c>
      <c r="M170" s="141">
        <f>M168-M169</f>
        <v>0</v>
      </c>
      <c r="N170" s="141">
        <f>N168-N169</f>
        <v>0</v>
      </c>
      <c r="P170" s="141">
        <f>P168-P169</f>
        <v>0</v>
      </c>
      <c r="Q170" s="141">
        <f>Q168-Q169</f>
        <v>0</v>
      </c>
      <c r="S170" s="141">
        <f>S168-S169</f>
        <v>0</v>
      </c>
      <c r="V170" s="141">
        <f>V168-V169</f>
        <v>0</v>
      </c>
      <c r="W170" s="141">
        <f>W168-W169</f>
        <v>0</v>
      </c>
      <c r="Y170" s="141">
        <f>Y168-Y169</f>
        <v>0</v>
      </c>
      <c r="Z170" s="141">
        <f>Z168-Z169</f>
        <v>0</v>
      </c>
      <c r="AE170" s="141"/>
      <c r="AF170" s="141"/>
    </row>
    <row r="173" spans="1:33" x14ac:dyDescent="0.2">
      <c r="A173"/>
      <c r="B173"/>
      <c r="C173"/>
      <c r="D173"/>
      <c r="E173"/>
      <c r="F173"/>
      <c r="G173"/>
      <c r="H173"/>
      <c r="I173"/>
      <c r="J173"/>
      <c r="K173"/>
      <c r="L173"/>
      <c r="M173"/>
      <c r="N173"/>
      <c r="O173"/>
      <c r="P173"/>
      <c r="Q173"/>
    </row>
    <row r="174" spans="1:33" x14ac:dyDescent="0.2">
      <c r="A174"/>
      <c r="B174"/>
      <c r="C174"/>
      <c r="D174"/>
      <c r="E174"/>
      <c r="F174"/>
      <c r="G174"/>
      <c r="H174"/>
      <c r="I174"/>
      <c r="J174"/>
      <c r="K174"/>
      <c r="L174"/>
      <c r="M174"/>
      <c r="N174"/>
      <c r="O174"/>
      <c r="P174"/>
      <c r="Q174"/>
    </row>
    <row r="175" spans="1:33" x14ac:dyDescent="0.2">
      <c r="A175"/>
      <c r="B175"/>
      <c r="C175"/>
      <c r="D175"/>
      <c r="E175"/>
      <c r="F175"/>
      <c r="G175"/>
      <c r="H175"/>
      <c r="I175"/>
      <c r="J175"/>
      <c r="K175"/>
      <c r="L175"/>
      <c r="M175"/>
      <c r="N175"/>
      <c r="O175"/>
      <c r="P175"/>
      <c r="Q175"/>
    </row>
    <row r="176" spans="1:33" x14ac:dyDescent="0.2">
      <c r="A176"/>
      <c r="B176"/>
      <c r="C176"/>
      <c r="D176"/>
      <c r="E176"/>
      <c r="F176"/>
      <c r="G176"/>
      <c r="H176"/>
      <c r="I176"/>
      <c r="J176"/>
      <c r="K176"/>
      <c r="L176"/>
      <c r="M176"/>
      <c r="N176"/>
      <c r="O176"/>
      <c r="P176"/>
      <c r="Q176"/>
    </row>
    <row r="177" spans="1:17" x14ac:dyDescent="0.2">
      <c r="A177"/>
      <c r="B177"/>
      <c r="C177"/>
      <c r="D177"/>
      <c r="E177"/>
      <c r="F177"/>
      <c r="G177"/>
      <c r="H177"/>
      <c r="I177"/>
      <c r="J177"/>
      <c r="K177"/>
      <c r="L177"/>
      <c r="M177"/>
      <c r="N177"/>
      <c r="O177"/>
      <c r="P177"/>
      <c r="Q177"/>
    </row>
    <row r="178" spans="1:17" x14ac:dyDescent="0.2">
      <c r="A178"/>
      <c r="B178"/>
      <c r="C178"/>
      <c r="D178"/>
      <c r="E178"/>
      <c r="F178"/>
      <c r="G178"/>
      <c r="H178"/>
      <c r="I178"/>
      <c r="J178"/>
      <c r="K178"/>
      <c r="L178"/>
      <c r="M178"/>
      <c r="N178"/>
      <c r="O178"/>
      <c r="P178"/>
      <c r="Q178"/>
    </row>
  </sheetData>
  <mergeCells count="13">
    <mergeCell ref="AE21:AG21"/>
    <mergeCell ref="A3:I3"/>
    <mergeCell ref="F20:AA20"/>
    <mergeCell ref="A20:B20"/>
    <mergeCell ref="D20:E20"/>
    <mergeCell ref="Y21:AA21"/>
    <mergeCell ref="F21:G21"/>
    <mergeCell ref="H21:I21"/>
    <mergeCell ref="P21:R21"/>
    <mergeCell ref="S21:U21"/>
    <mergeCell ref="V21:X21"/>
    <mergeCell ref="M21:O21"/>
    <mergeCell ref="J21:L21"/>
  </mergeCells>
  <phoneticPr fontId="14" type="noConversion"/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tabColor rgb="FF92D050"/>
    <pageSetUpPr fitToPage="1"/>
  </sheetPr>
  <dimension ref="A1:M70"/>
  <sheetViews>
    <sheetView tabSelected="1"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H37" sqref="H37"/>
    </sheetView>
  </sheetViews>
  <sheetFormatPr defaultRowHeight="12.75" x14ac:dyDescent="0.2"/>
  <cols>
    <col min="1" max="1" width="42.5703125" customWidth="1"/>
    <col min="2" max="5" width="12.5703125" bestFit="1" customWidth="1"/>
    <col min="6" max="8" width="12.5703125" customWidth="1"/>
    <col min="9" max="10" width="12.5703125" bestFit="1" customWidth="1"/>
    <col min="12" max="12" width="12.5703125" customWidth="1"/>
    <col min="13" max="13" width="12.5703125" bestFit="1" customWidth="1"/>
  </cols>
  <sheetData>
    <row r="1" spans="1:11" ht="15.75" x14ac:dyDescent="0.25">
      <c r="A1" s="29" t="s">
        <v>141</v>
      </c>
    </row>
    <row r="2" spans="1:11" x14ac:dyDescent="0.2">
      <c r="I2" s="31" t="s">
        <v>67</v>
      </c>
      <c r="J2" s="31" t="s">
        <v>68</v>
      </c>
    </row>
    <row r="3" spans="1:11" ht="25.5" x14ac:dyDescent="0.2">
      <c r="B3" s="31" t="s">
        <v>55</v>
      </c>
      <c r="C3" s="31" t="s">
        <v>56</v>
      </c>
      <c r="D3" s="31" t="s">
        <v>58</v>
      </c>
      <c r="E3" s="31" t="s">
        <v>59</v>
      </c>
      <c r="F3" s="31" t="s">
        <v>64</v>
      </c>
      <c r="G3" s="31" t="s">
        <v>65</v>
      </c>
      <c r="H3" s="31" t="s">
        <v>66</v>
      </c>
      <c r="I3" s="31" t="s">
        <v>150</v>
      </c>
      <c r="J3" s="31" t="s">
        <v>106</v>
      </c>
    </row>
    <row r="4" spans="1:11" x14ac:dyDescent="0.2">
      <c r="A4" s="14" t="s">
        <v>47</v>
      </c>
      <c r="B4" s="21">
        <f>+'Power Purchased Model'!B116</f>
        <v>199907738.60000002</v>
      </c>
      <c r="C4" s="21">
        <f>+'Power Purchased Model'!B117</f>
        <v>187853870.12</v>
      </c>
      <c r="D4" s="21">
        <f>+'Power Purchased Model'!B118</f>
        <v>188394772.28</v>
      </c>
      <c r="E4" s="21">
        <f>+'Power Purchased Model'!B119</f>
        <v>175614761.14000005</v>
      </c>
      <c r="F4" s="21">
        <f>+'Power Purchased Model'!B120</f>
        <v>171542621.55000001</v>
      </c>
      <c r="G4" s="21">
        <f>+'Power Purchased Model'!B121</f>
        <v>176270206.56999999</v>
      </c>
      <c r="H4" s="21">
        <f>+'Power Purchased Model'!B122</f>
        <v>183346093.11000001</v>
      </c>
      <c r="I4" s="36">
        <f>'Power Purchased Model'!D123</f>
        <v>184342290.19570395</v>
      </c>
    </row>
    <row r="5" spans="1:11" x14ac:dyDescent="0.2">
      <c r="A5" s="14" t="s">
        <v>48</v>
      </c>
      <c r="B5" s="21">
        <f>+'Power Purchased Model'!Q116</f>
        <v>197658405.62876374</v>
      </c>
      <c r="C5" s="21">
        <f>+'Power Purchased Model'!Q117</f>
        <v>189908039.97402301</v>
      </c>
      <c r="D5" s="21">
        <f>+'Power Purchased Model'!Q118</f>
        <v>189326530.68950027</v>
      </c>
      <c r="E5" s="21">
        <f>+'Power Purchased Model'!Q119</f>
        <v>180123704.75016284</v>
      </c>
      <c r="F5" s="21">
        <f>+'Power Purchased Model'!Q120</f>
        <v>173979400.71751493</v>
      </c>
      <c r="G5" s="21">
        <f>+'Power Purchased Model'!Q121</f>
        <v>183089756.45345789</v>
      </c>
      <c r="H5" s="21">
        <f>+'Power Purchased Model'!Q122</f>
        <v>187517587.8824071</v>
      </c>
      <c r="I5" s="21">
        <f>+'Power Purchased Model'!Q123</f>
        <v>181348188.17161608</v>
      </c>
      <c r="J5" s="21">
        <f>+'Power Purchased Model'!Q124</f>
        <v>183578942.46915087</v>
      </c>
    </row>
    <row r="6" spans="1:11" x14ac:dyDescent="0.2">
      <c r="A6" s="14" t="s">
        <v>6</v>
      </c>
      <c r="B6" s="30">
        <f t="shared" ref="B6:D6" si="0">(B5-B4)/B4</f>
        <v>-1.1251855415847761E-2</v>
      </c>
      <c r="C6" s="30">
        <f t="shared" si="0"/>
        <v>1.093493497211858E-2</v>
      </c>
      <c r="D6" s="30">
        <f t="shared" si="0"/>
        <v>4.9457763515616754E-3</v>
      </c>
      <c r="E6" s="30">
        <f>(E5-E4)/E4</f>
        <v>2.5675197124051922E-2</v>
      </c>
      <c r="F6" s="30">
        <f>(F5-F4)/F4</f>
        <v>1.4205094602711696E-2</v>
      </c>
      <c r="G6" s="30">
        <f t="shared" ref="G6:I6" si="1">(G5-G4)/G4</f>
        <v>3.8688046131889774E-2</v>
      </c>
      <c r="H6" s="30">
        <f t="shared" si="1"/>
        <v>2.2752024336315482E-2</v>
      </c>
      <c r="I6" s="30">
        <f t="shared" si="1"/>
        <v>-1.6242078911514211E-2</v>
      </c>
    </row>
    <row r="7" spans="1:11" x14ac:dyDescent="0.2">
      <c r="A7" s="14"/>
      <c r="B7" s="30"/>
      <c r="C7" s="30"/>
      <c r="D7" s="30"/>
      <c r="E7" s="30"/>
      <c r="F7" s="30"/>
      <c r="G7" s="30"/>
      <c r="H7" s="30"/>
      <c r="I7" s="21"/>
      <c r="J7" s="21"/>
    </row>
    <row r="8" spans="1:11" x14ac:dyDescent="0.2">
      <c r="A8" s="14"/>
      <c r="B8" s="30"/>
      <c r="C8" s="30"/>
      <c r="D8" s="30"/>
      <c r="E8" s="30"/>
      <c r="F8" s="30"/>
      <c r="G8" s="30"/>
      <c r="H8" s="30"/>
      <c r="I8" s="36"/>
      <c r="J8" s="36"/>
    </row>
    <row r="9" spans="1:11" x14ac:dyDescent="0.2">
      <c r="A9" s="14"/>
      <c r="B9" s="30"/>
      <c r="C9" s="30"/>
      <c r="D9" s="30"/>
      <c r="E9" s="30"/>
      <c r="F9" s="30"/>
      <c r="G9" s="30"/>
      <c r="H9" s="30"/>
    </row>
    <row r="10" spans="1:11" x14ac:dyDescent="0.2">
      <c r="A10" s="14" t="s">
        <v>60</v>
      </c>
      <c r="B10" s="6">
        <f>'Rate Class Energy Model'!G3</f>
        <v>195938264.66</v>
      </c>
      <c r="C10" s="6">
        <f>'Rate Class Energy Model'!G4</f>
        <v>183826118.34999996</v>
      </c>
      <c r="D10" s="6">
        <f>'Rate Class Energy Model'!G5</f>
        <v>183750499.39999995</v>
      </c>
      <c r="E10" s="6">
        <f>'Rate Class Energy Model'!G6</f>
        <v>171687024.79999998</v>
      </c>
      <c r="F10" s="6">
        <f>'Rate Class Energy Model'!G7</f>
        <v>167477565.66000003</v>
      </c>
      <c r="G10" s="6">
        <f>'Rate Class Energy Model'!G8</f>
        <v>172196903.11000004</v>
      </c>
      <c r="H10" s="6">
        <f>'Rate Class Energy Model'!G9</f>
        <v>178660614.34999996</v>
      </c>
      <c r="I10" s="6">
        <f>'Rate Class Energy Model'!G10</f>
        <v>179892895.17287871</v>
      </c>
      <c r="J10" s="6">
        <f>'Rate Class Energy Model'!G11</f>
        <v>177837168.36557257</v>
      </c>
    </row>
    <row r="11" spans="1:11" x14ac:dyDescent="0.2">
      <c r="A11" s="14"/>
      <c r="I11" s="6"/>
      <c r="J11" s="6"/>
    </row>
    <row r="12" spans="1:11" ht="15.75" x14ac:dyDescent="0.25">
      <c r="A12" s="29" t="s">
        <v>49</v>
      </c>
      <c r="B12" s="1"/>
      <c r="E12" s="36"/>
    </row>
    <row r="13" spans="1:11" x14ac:dyDescent="0.2">
      <c r="A13" s="28" t="str">
        <f>'Rate Class Energy Model'!H2</f>
        <v>Residential</v>
      </c>
      <c r="B13" s="1"/>
      <c r="E13" s="6"/>
      <c r="F13" s="6"/>
      <c r="G13" s="6"/>
      <c r="H13" s="6"/>
      <c r="I13" s="6"/>
      <c r="J13" s="6"/>
    </row>
    <row r="14" spans="1:11" x14ac:dyDescent="0.2">
      <c r="A14" t="s">
        <v>41</v>
      </c>
      <c r="B14" s="6">
        <f>'Rate Class Customer Model'!B11</f>
        <v>6293.916666666667</v>
      </c>
      <c r="C14" s="6">
        <f>'Rate Class Customer Model'!B12</f>
        <v>6408.583333333333</v>
      </c>
      <c r="D14" s="6">
        <f>'Rate Class Customer Model'!B13</f>
        <v>6516.333333333333</v>
      </c>
      <c r="E14" s="6">
        <f>'Rate Class Customer Model'!B14</f>
        <v>6652</v>
      </c>
      <c r="F14" s="6">
        <f>'Rate Class Customer Model'!B15</f>
        <v>6823.416666666667</v>
      </c>
      <c r="G14" s="6">
        <f>'Rate Class Customer Model'!B16</f>
        <v>7107.416666666667</v>
      </c>
      <c r="H14" s="6">
        <f>'Rate Class Customer Model'!B17</f>
        <v>7417.333333333333</v>
      </c>
      <c r="I14" s="6">
        <f>'Rate Class Customer Model'!B18</f>
        <v>7589</v>
      </c>
      <c r="J14" s="6">
        <f>'Rate Class Customer Model'!B19</f>
        <v>7690.3840670080453</v>
      </c>
      <c r="K14" s="36"/>
    </row>
    <row r="15" spans="1:11" x14ac:dyDescent="0.2">
      <c r="A15" t="s">
        <v>42</v>
      </c>
      <c r="B15" s="35">
        <f>'Rate Class Energy Model'!H3</f>
        <v>50305889.600000009</v>
      </c>
      <c r="C15" s="6">
        <f>'Rate Class Energy Model'!H4</f>
        <v>48524267.109999999</v>
      </c>
      <c r="D15" s="6">
        <f>'Rate Class Energy Model'!H5</f>
        <v>52869436.35999997</v>
      </c>
      <c r="E15" s="6">
        <f>'Rate Class Energy Model'!H6</f>
        <v>51949016.819999948</v>
      </c>
      <c r="F15" s="6">
        <f>'Rate Class Energy Model'!H7</f>
        <v>55641421.240000024</v>
      </c>
      <c r="G15" s="6">
        <f>'Rate Class Energy Model'!H8</f>
        <v>57807950.240000054</v>
      </c>
      <c r="H15" s="6">
        <f>'Rate Class Energy Model'!H9</f>
        <v>59629357.129999965</v>
      </c>
      <c r="I15" s="6">
        <f>'Rate Class Energy Model'!H10</f>
        <v>59873386</v>
      </c>
      <c r="J15" s="6">
        <f>'Rate Class Energy Model'!H26</f>
        <v>58654994.872084022</v>
      </c>
      <c r="K15" s="36"/>
    </row>
    <row r="16" spans="1:11" x14ac:dyDescent="0.2">
      <c r="C16" s="36"/>
      <c r="D16" s="36"/>
      <c r="F16" s="36"/>
      <c r="G16" s="36"/>
      <c r="H16" s="36"/>
      <c r="I16" s="36"/>
      <c r="J16" s="36"/>
      <c r="K16" s="36"/>
    </row>
    <row r="17" spans="1:11" x14ac:dyDescent="0.2">
      <c r="A17" s="28" t="str">
        <f>'Rate Class Energy Model'!I2</f>
        <v>General Service &lt; 50 kW</v>
      </c>
      <c r="B17" s="1"/>
      <c r="C17" s="1"/>
      <c r="D17" s="6"/>
      <c r="E17" s="6"/>
      <c r="F17" s="6"/>
      <c r="G17" s="6"/>
      <c r="H17" s="6"/>
      <c r="I17" s="6"/>
      <c r="J17" s="6"/>
      <c r="K17" s="36"/>
    </row>
    <row r="18" spans="1:11" ht="13.5" customHeight="1" x14ac:dyDescent="0.2">
      <c r="A18" t="s">
        <v>41</v>
      </c>
      <c r="B18" s="6">
        <f>'Rate Class Customer Model'!C11</f>
        <v>637.25</v>
      </c>
      <c r="C18" s="6">
        <f>'Rate Class Customer Model'!C12</f>
        <v>642.08333333333337</v>
      </c>
      <c r="D18" s="6">
        <f>'Rate Class Customer Model'!C13</f>
        <v>648</v>
      </c>
      <c r="E18" s="6">
        <f>'Rate Class Customer Model'!C14</f>
        <v>654.83333333333337</v>
      </c>
      <c r="F18" s="6">
        <f>'Rate Class Customer Model'!C15</f>
        <v>664.91666666666663</v>
      </c>
      <c r="G18" s="6">
        <f>'Rate Class Customer Model'!C16</f>
        <v>672.33333333333337</v>
      </c>
      <c r="H18" s="6">
        <f>'Rate Class Customer Model'!C17</f>
        <v>682.25</v>
      </c>
      <c r="I18" s="6">
        <f>'Rate Class Customer Model'!C18</f>
        <v>686</v>
      </c>
      <c r="J18" s="6">
        <f>'Rate Class Customer Model'!C19</f>
        <v>709.14547207466467</v>
      </c>
      <c r="K18" s="36"/>
    </row>
    <row r="19" spans="1:11" x14ac:dyDescent="0.2">
      <c r="A19" t="s">
        <v>42</v>
      </c>
      <c r="B19" s="6">
        <f>'Rate Class Energy Model'!I3</f>
        <v>21381406.040000003</v>
      </c>
      <c r="C19" s="6">
        <f>'Rate Class Energy Model'!I4</f>
        <v>20751634.890000001</v>
      </c>
      <c r="D19" s="6">
        <f>'Rate Class Energy Model'!I5</f>
        <v>21318676.38000001</v>
      </c>
      <c r="E19" s="6">
        <f>'Rate Class Energy Model'!I6</f>
        <v>21167457.630000006</v>
      </c>
      <c r="F19" s="6">
        <f>'Rate Class Energy Model'!I7</f>
        <v>21397530.899999999</v>
      </c>
      <c r="G19" s="6">
        <f>'Rate Class Energy Model'!I8</f>
        <v>21062931.550000001</v>
      </c>
      <c r="H19" s="6">
        <f>'Rate Class Energy Model'!I9</f>
        <v>23000509.379999999</v>
      </c>
      <c r="I19" s="6">
        <f>'Rate Class Energy Model'!I10</f>
        <v>23287931</v>
      </c>
      <c r="J19" s="6">
        <f>'Rate Class Energy Model'!I26</f>
        <v>23272863.875422921</v>
      </c>
      <c r="K19" s="36"/>
    </row>
    <row r="20" spans="1:11" x14ac:dyDescent="0.2">
      <c r="D20" s="36"/>
      <c r="F20" s="36"/>
      <c r="G20" s="36"/>
      <c r="H20" s="36"/>
      <c r="I20" s="36"/>
      <c r="J20" s="36"/>
      <c r="K20" s="36"/>
    </row>
    <row r="21" spans="1:11" x14ac:dyDescent="0.2">
      <c r="A21" s="28" t="str">
        <f>'Rate Class Energy Model'!J2</f>
        <v>General Service 50 to 499 kW</v>
      </c>
      <c r="B21" s="1"/>
      <c r="C21" s="1"/>
      <c r="K21" s="36"/>
    </row>
    <row r="22" spans="1:11" x14ac:dyDescent="0.2">
      <c r="A22" t="s">
        <v>41</v>
      </c>
      <c r="B22" s="6">
        <f>'Rate Class Customer Model'!D11</f>
        <v>79.916666666666671</v>
      </c>
      <c r="C22" s="6">
        <f>'Rate Class Customer Model'!D12</f>
        <v>80.083333333333329</v>
      </c>
      <c r="D22" s="6">
        <f>'Rate Class Customer Model'!D13</f>
        <v>79.75</v>
      </c>
      <c r="E22" s="6">
        <f>'Rate Class Customer Model'!D14</f>
        <v>78.083333333333329</v>
      </c>
      <c r="F22" s="6">
        <f>'Rate Class Customer Model'!D15</f>
        <v>81</v>
      </c>
      <c r="G22" s="6">
        <f>'Rate Class Customer Model'!D16</f>
        <v>77.333333333333329</v>
      </c>
      <c r="H22" s="6">
        <f>'Rate Class Customer Model'!D17</f>
        <v>74.166666666666671</v>
      </c>
      <c r="I22" s="6">
        <f>'Rate Class Customer Model'!D18</f>
        <v>76</v>
      </c>
      <c r="J22" s="6">
        <f>'Rate Class Customer Model'!D19</f>
        <v>77.294967879557973</v>
      </c>
      <c r="K22" s="36"/>
    </row>
    <row r="23" spans="1:11" x14ac:dyDescent="0.2">
      <c r="A23" t="s">
        <v>42</v>
      </c>
      <c r="B23" s="6">
        <f>'Rate Class Energy Model'!J3</f>
        <v>44669118.74000001</v>
      </c>
      <c r="C23" s="6">
        <f>'Rate Class Energy Model'!J4</f>
        <v>42593613.240000002</v>
      </c>
      <c r="D23" s="6">
        <f>'Rate Class Energy Model'!J5</f>
        <v>42394829.209999993</v>
      </c>
      <c r="E23" s="6">
        <f>'Rate Class Energy Model'!J6</f>
        <v>42725411.180000007</v>
      </c>
      <c r="F23" s="6">
        <f>'Rate Class Energy Model'!J7</f>
        <v>43788589.379999995</v>
      </c>
      <c r="G23" s="6">
        <f>'Rate Class Energy Model'!J8</f>
        <v>46750239.970000006</v>
      </c>
      <c r="H23" s="6">
        <f>'Rate Class Energy Model'!J9</f>
        <v>54079512.469999991</v>
      </c>
      <c r="I23" s="6">
        <f>'Rate Class Energy Model'!J10</f>
        <v>57192547</v>
      </c>
      <c r="J23" s="6">
        <f>'Rate Class Energy Model'!J26</f>
        <v>56798561.211692415</v>
      </c>
      <c r="K23" s="36"/>
    </row>
    <row r="24" spans="1:11" x14ac:dyDescent="0.2">
      <c r="A24" t="s">
        <v>43</v>
      </c>
      <c r="B24" s="6">
        <f>'Rate Class Load Model'!B2</f>
        <v>143222.89000000001</v>
      </c>
      <c r="C24" s="6">
        <f>'Rate Class Load Model'!B3</f>
        <v>137627.43000000002</v>
      </c>
      <c r="D24" s="6">
        <f>'Rate Class Load Model'!B4</f>
        <v>131465.72999999998</v>
      </c>
      <c r="E24" s="6">
        <f>'Rate Class Load Model'!B5</f>
        <v>131386.22</v>
      </c>
      <c r="F24" s="6">
        <f>'Rate Class Load Model'!B6</f>
        <v>137702.44</v>
      </c>
      <c r="G24" s="6">
        <f>'Rate Class Load Model'!B7</f>
        <v>146508.41</v>
      </c>
      <c r="H24" s="6">
        <f>'Rate Class Load Model'!B8</f>
        <v>160486.38999999998</v>
      </c>
      <c r="I24" s="6">
        <f>'Rate Class Load Model'!B9</f>
        <v>155346</v>
      </c>
      <c r="J24" s="6">
        <f>'Rate Class Load Model'!B10</f>
        <v>178666.26397063988</v>
      </c>
      <c r="K24" s="36"/>
    </row>
    <row r="25" spans="1:11" x14ac:dyDescent="0.2">
      <c r="B25" s="6"/>
      <c r="C25" s="6"/>
      <c r="D25" s="6"/>
      <c r="E25" s="6"/>
      <c r="F25" s="6"/>
      <c r="H25" s="6"/>
      <c r="I25" s="6"/>
      <c r="J25" s="6"/>
      <c r="K25" s="36"/>
    </row>
    <row r="26" spans="1:11" x14ac:dyDescent="0.2">
      <c r="A26" s="28" t="str">
        <f>'Rate Class Energy Model'!K2</f>
        <v>General Service 500 to 1499 kW</v>
      </c>
      <c r="B26" s="1"/>
      <c r="C26" s="1"/>
      <c r="K26" s="36"/>
    </row>
    <row r="27" spans="1:11" x14ac:dyDescent="0.2">
      <c r="A27" t="s">
        <v>41</v>
      </c>
      <c r="B27" s="6">
        <f>'Rate Class Customer Model'!E11</f>
        <v>10</v>
      </c>
      <c r="C27" s="6">
        <f>'Rate Class Customer Model'!E12</f>
        <v>10.416666666666666</v>
      </c>
      <c r="D27" s="6">
        <f>'Rate Class Customer Model'!E13</f>
        <v>12.333333333333334</v>
      </c>
      <c r="E27" s="6">
        <f>'Rate Class Customer Model'!E14</f>
        <v>11.583333333333334</v>
      </c>
      <c r="F27" s="6">
        <f>'Rate Class Customer Model'!E15</f>
        <v>8</v>
      </c>
      <c r="G27" s="6">
        <f>'Rate Class Customer Model'!E16</f>
        <v>8.5</v>
      </c>
      <c r="H27" s="6">
        <f>'Rate Class Customer Model'!E17</f>
        <v>6</v>
      </c>
      <c r="I27" s="6">
        <f>'Rate Class Customer Model'!E18</f>
        <v>7</v>
      </c>
      <c r="J27" s="6">
        <f>'Rate Class Customer Model'!E19</f>
        <v>7</v>
      </c>
      <c r="K27" s="36"/>
    </row>
    <row r="28" spans="1:11" x14ac:dyDescent="0.2">
      <c r="A28" t="s">
        <v>42</v>
      </c>
      <c r="B28" s="6">
        <f>'Rate Class Energy Model'!K3</f>
        <v>42123343.190000005</v>
      </c>
      <c r="C28" s="6">
        <f>'Rate Class Energy Model'!K4</f>
        <v>39292384.899999991</v>
      </c>
      <c r="D28" s="6">
        <f>'Rate Class Energy Model'!K5</f>
        <v>36925221.219999999</v>
      </c>
      <c r="E28" s="6">
        <f>'Rate Class Energy Model'!K6</f>
        <v>28159132.399999999</v>
      </c>
      <c r="F28" s="6">
        <f>'Rate Class Energy Model'!K7</f>
        <v>25142092.139999997</v>
      </c>
      <c r="G28" s="6">
        <f>'Rate Class Energy Model'!K8</f>
        <v>27055986.100000001</v>
      </c>
      <c r="H28" s="6">
        <f>'Rate Class Energy Model'!K9</f>
        <v>23120478.16</v>
      </c>
      <c r="I28" s="6">
        <f>'Rate Class Energy Model'!K10</f>
        <v>21487526</v>
      </c>
      <c r="J28" s="6">
        <f>'Rate Class Energy Model'!K26</f>
        <v>21166791.227832042</v>
      </c>
      <c r="K28" s="36"/>
    </row>
    <row r="29" spans="1:11" x14ac:dyDescent="0.2">
      <c r="A29" t="s">
        <v>43</v>
      </c>
      <c r="B29" s="6">
        <f>'Rate Class Load Model'!C2</f>
        <v>103435.35</v>
      </c>
      <c r="C29" s="6">
        <f>'Rate Class Load Model'!C3</f>
        <v>106160.91</v>
      </c>
      <c r="D29" s="6">
        <f>'Rate Class Load Model'!C4</f>
        <v>113440.98000000003</v>
      </c>
      <c r="E29" s="6">
        <f>'Rate Class Load Model'!C5</f>
        <v>91315.26</v>
      </c>
      <c r="F29" s="6">
        <f>'Rate Class Load Model'!C6</f>
        <v>76762.569999999992</v>
      </c>
      <c r="G29" s="6">
        <f>'Rate Class Load Model'!C7</f>
        <v>82836.580000000016</v>
      </c>
      <c r="H29" s="6">
        <f>'Rate Class Load Model'!C8</f>
        <v>73360.160000000003</v>
      </c>
      <c r="I29" s="6">
        <f>'Rate Class Load Model'!C9</f>
        <v>63195</v>
      </c>
      <c r="J29" s="6">
        <f>'Rate Class Load Model'!C10</f>
        <v>62709.655889185429</v>
      </c>
      <c r="K29" s="36"/>
    </row>
    <row r="30" spans="1:11" x14ac:dyDescent="0.2">
      <c r="D30" s="6"/>
      <c r="E30" s="6"/>
      <c r="F30" s="6"/>
      <c r="G30" s="6"/>
      <c r="H30" s="6"/>
      <c r="I30" s="6"/>
      <c r="J30" s="6"/>
      <c r="K30" s="36"/>
    </row>
    <row r="31" spans="1:11" x14ac:dyDescent="0.2">
      <c r="A31" s="28" t="str">
        <f>'Rate Class Energy Model'!L2</f>
        <v>General Service 1500-4999 kW</v>
      </c>
      <c r="B31" s="1"/>
      <c r="C31" s="1"/>
      <c r="K31" s="36"/>
    </row>
    <row r="32" spans="1:11" x14ac:dyDescent="0.2">
      <c r="A32" t="s">
        <v>41</v>
      </c>
      <c r="B32" s="6">
        <f>'Rate Class Customer Model'!F11</f>
        <v>2</v>
      </c>
      <c r="C32" s="6">
        <f>'Rate Class Customer Model'!F12</f>
        <v>2</v>
      </c>
      <c r="D32" s="6">
        <f>'Rate Class Customer Model'!F13</f>
        <v>2</v>
      </c>
      <c r="E32" s="6">
        <f>'Rate Class Customer Model'!F14</f>
        <v>2</v>
      </c>
      <c r="F32" s="6">
        <f>'Rate Class Customer Model'!F15</f>
        <v>2</v>
      </c>
      <c r="G32" s="6">
        <f>'Rate Class Customer Model'!F16</f>
        <v>2</v>
      </c>
      <c r="H32" s="6">
        <f>'Rate Class Customer Model'!F17</f>
        <v>2</v>
      </c>
      <c r="I32" s="6">
        <f>'Rate Class Customer Model'!F18</f>
        <v>2</v>
      </c>
      <c r="J32" s="6">
        <f>'Rate Class Customer Model'!F19</f>
        <v>2</v>
      </c>
      <c r="K32" s="36"/>
    </row>
    <row r="33" spans="1:11" x14ac:dyDescent="0.2">
      <c r="A33" t="s">
        <v>42</v>
      </c>
      <c r="B33" s="6">
        <f>'Rate Class Energy Model'!L3</f>
        <v>35542048.920000002</v>
      </c>
      <c r="C33" s="6">
        <f>'Rate Class Energy Model'!L4</f>
        <v>30775849.759999998</v>
      </c>
      <c r="D33" s="6">
        <f>'Rate Class Energy Model'!L5</f>
        <v>28687524.48</v>
      </c>
      <c r="E33" s="6">
        <f>'Rate Class Energy Model'!L6</f>
        <v>26720406.400000002</v>
      </c>
      <c r="F33" s="6">
        <f>'Rate Class Energy Model'!L7</f>
        <v>20564790.800000001</v>
      </c>
      <c r="G33" s="6">
        <f>'Rate Class Energy Model'!L8</f>
        <v>18499236.399999999</v>
      </c>
      <c r="H33" s="6">
        <f>'Rate Class Energy Model'!L9</f>
        <v>17800153.25</v>
      </c>
      <c r="I33" s="6">
        <f>'Rate Class Energy Model'!L10</f>
        <v>17000470</v>
      </c>
      <c r="J33" s="6">
        <f>'Rate Class Energy Model'!L26</f>
        <v>16892922.005662471</v>
      </c>
      <c r="K33" s="36"/>
    </row>
    <row r="34" spans="1:11" x14ac:dyDescent="0.2">
      <c r="A34" t="s">
        <v>43</v>
      </c>
      <c r="B34" s="6">
        <f>'Rate Class Load Model'!D2</f>
        <v>72106.679999999993</v>
      </c>
      <c r="C34" s="6">
        <f>'Rate Class Load Model'!D3</f>
        <v>68624.840000000011</v>
      </c>
      <c r="D34" s="6">
        <f>'Rate Class Load Model'!D4</f>
        <v>66586</v>
      </c>
      <c r="E34" s="6">
        <f>'Rate Class Load Model'!D5</f>
        <v>60559.709999999992</v>
      </c>
      <c r="F34" s="6">
        <f>'Rate Class Load Model'!D6</f>
        <v>53164.5</v>
      </c>
      <c r="G34" s="6">
        <f>'Rate Class Load Model'!D7</f>
        <v>50923.430000000008</v>
      </c>
      <c r="H34" s="6">
        <f>'Rate Class Load Model'!D8</f>
        <v>48074.27</v>
      </c>
      <c r="I34" s="6">
        <f>'Rate Class Load Model'!D9</f>
        <v>42690</v>
      </c>
      <c r="J34" s="6">
        <f>'Rate Class Load Model'!D10</f>
        <v>40956.753360783812</v>
      </c>
      <c r="K34" s="36"/>
    </row>
    <row r="35" spans="1:11" x14ac:dyDescent="0.2">
      <c r="C35" s="6"/>
      <c r="D35" s="6"/>
      <c r="E35" s="6"/>
      <c r="F35" s="6"/>
      <c r="G35" s="6"/>
      <c r="H35" s="6"/>
      <c r="I35" s="6"/>
      <c r="J35" s="6"/>
      <c r="K35" s="36"/>
    </row>
    <row r="36" spans="1:11" x14ac:dyDescent="0.2">
      <c r="A36" s="28" t="str">
        <f>'Rate Class Energy Model'!M2</f>
        <v>Unmetered Scattered Load</v>
      </c>
      <c r="B36" s="1"/>
      <c r="C36" s="1"/>
      <c r="E36" s="1"/>
      <c r="H36" s="6"/>
      <c r="K36" s="36"/>
    </row>
    <row r="37" spans="1:11" x14ac:dyDescent="0.2">
      <c r="A37" t="s">
        <v>44</v>
      </c>
      <c r="B37" s="6">
        <f>'Rate Class Customer Model'!G11</f>
        <v>59.583333333333336</v>
      </c>
      <c r="C37" s="6">
        <f>'Rate Class Customer Model'!G12</f>
        <v>58.5</v>
      </c>
      <c r="D37" s="6">
        <f>'Rate Class Customer Model'!G13</f>
        <v>59.25</v>
      </c>
      <c r="E37" s="6">
        <f>'Rate Class Customer Model'!G14</f>
        <v>56.666666666666664</v>
      </c>
      <c r="F37" s="6">
        <f>'Rate Class Customer Model'!G15</f>
        <v>56.833333333333336</v>
      </c>
      <c r="G37" s="6">
        <f>'Rate Class Customer Model'!G16</f>
        <v>56.833333333333336</v>
      </c>
      <c r="H37" s="6">
        <f>'Rate Class Customer Model'!G17</f>
        <v>55.916666666666664</v>
      </c>
      <c r="I37" s="6">
        <f>'Rate Class Customer Model'!G18</f>
        <v>54</v>
      </c>
      <c r="J37" s="6">
        <f>'Rate Class Customer Model'!G19</f>
        <v>54</v>
      </c>
      <c r="K37" s="36"/>
    </row>
    <row r="38" spans="1:11" x14ac:dyDescent="0.2">
      <c r="A38" t="s">
        <v>42</v>
      </c>
      <c r="B38" s="6">
        <f>'Rate Class Energy Model'!M3</f>
        <v>386200.86999999994</v>
      </c>
      <c r="C38" s="6">
        <f>'Rate Class Energy Model'!M4</f>
        <v>367142.77</v>
      </c>
      <c r="D38" s="6">
        <f>'Rate Class Energy Model'!M5</f>
        <v>341865.81999999995</v>
      </c>
      <c r="E38" s="6">
        <f>'Rate Class Energy Model'!M6</f>
        <v>340304.06</v>
      </c>
      <c r="F38" s="6">
        <f>'Rate Class Energy Model'!M7</f>
        <v>340496.02</v>
      </c>
      <c r="G38" s="6">
        <f>'Rate Class Energy Model'!M8</f>
        <v>340759.81</v>
      </c>
      <c r="H38" s="6">
        <f>'Rate Class Energy Model'!M9</f>
        <v>338889.99</v>
      </c>
      <c r="I38" s="6">
        <f>'Rate Class Energy Model'!M10</f>
        <v>333947</v>
      </c>
      <c r="J38" s="6">
        <f>'Rate Class Energy Model'!M26</f>
        <v>333947</v>
      </c>
      <c r="K38" s="36"/>
    </row>
    <row r="39" spans="1:11" x14ac:dyDescent="0.2">
      <c r="E39" s="6"/>
      <c r="F39" s="6"/>
      <c r="H39" s="6"/>
      <c r="I39" s="6"/>
      <c r="J39" s="6"/>
    </row>
    <row r="40" spans="1:11" x14ac:dyDescent="0.2">
      <c r="A40" s="28" t="str">
        <f>'Rate Class Energy Model'!N2</f>
        <v>Sentinel Lighting</v>
      </c>
      <c r="B40" s="1"/>
      <c r="D40" s="1"/>
      <c r="H40" s="18"/>
    </row>
    <row r="41" spans="1:11" x14ac:dyDescent="0.2">
      <c r="A41" t="s">
        <v>44</v>
      </c>
      <c r="B41" s="6">
        <f>'Rate Class Customer Model'!H11</f>
        <v>118.5</v>
      </c>
      <c r="C41" s="6">
        <f>'Rate Class Customer Model'!H12</f>
        <v>113</v>
      </c>
      <c r="D41" s="6">
        <f>'Rate Class Customer Model'!H13</f>
        <v>112</v>
      </c>
      <c r="E41" s="6">
        <f>'Rate Class Customer Model'!H14</f>
        <v>112</v>
      </c>
      <c r="F41" s="6">
        <f>'Rate Class Customer Model'!H15</f>
        <v>112.08333333333333</v>
      </c>
      <c r="G41" s="6">
        <f>'Rate Class Customer Model'!H16</f>
        <v>112</v>
      </c>
      <c r="H41" s="6">
        <f>'Rate Class Customer Model'!H17</f>
        <v>112</v>
      </c>
      <c r="I41" s="6">
        <f>'Rate Class Customer Model'!H18</f>
        <v>112</v>
      </c>
      <c r="J41" s="6">
        <f>'Rate Class Customer Model'!H19</f>
        <v>112</v>
      </c>
    </row>
    <row r="42" spans="1:11" x14ac:dyDescent="0.2">
      <c r="A42" t="s">
        <v>42</v>
      </c>
      <c r="B42" s="6">
        <f>'Rate Class Energy Model'!N3</f>
        <v>102640.95</v>
      </c>
      <c r="C42" s="6">
        <f>'Rate Class Energy Model'!N4</f>
        <v>98397.14</v>
      </c>
      <c r="D42" s="6">
        <f>'Rate Class Energy Model'!N5</f>
        <v>95814.57</v>
      </c>
      <c r="E42" s="6">
        <f>'Rate Class Energy Model'!N6</f>
        <v>79644.31</v>
      </c>
      <c r="F42" s="6">
        <f>'Rate Class Energy Model'!N7</f>
        <v>75008.179999999993</v>
      </c>
      <c r="G42" s="6">
        <f>'Rate Class Energy Model'!N8</f>
        <v>72438</v>
      </c>
      <c r="H42" s="6">
        <f>'Rate Class Energy Model'!N9</f>
        <v>72091.330000000016</v>
      </c>
      <c r="I42" s="6">
        <f>'Rate Class Energy Model'!N10</f>
        <v>72340.172878717756</v>
      </c>
      <c r="J42" s="6">
        <f>'Rate Class Energy Model'!N26</f>
        <v>72340.172878717756</v>
      </c>
    </row>
    <row r="43" spans="1:11" x14ac:dyDescent="0.2">
      <c r="A43" t="s">
        <v>43</v>
      </c>
      <c r="B43" s="6">
        <f>'Rate Class Load Model'!E2</f>
        <v>282.01</v>
      </c>
      <c r="C43" s="6">
        <f>'Rate Class Load Model'!E3</f>
        <v>262.84999999999997</v>
      </c>
      <c r="D43" s="6">
        <f>'Rate Class Load Model'!E4</f>
        <v>256.44</v>
      </c>
      <c r="E43" s="6">
        <f>'Rate Class Load Model'!E5</f>
        <v>216.62</v>
      </c>
      <c r="F43" s="6">
        <f>'Rate Class Load Model'!E6</f>
        <v>202.49</v>
      </c>
      <c r="G43" s="6">
        <f>'Rate Class Load Model'!E7</f>
        <v>201.60999999999996</v>
      </c>
      <c r="H43" s="6">
        <f>'Rate Class Load Model'!E8</f>
        <v>201.57</v>
      </c>
      <c r="I43" s="6">
        <f>'Rate Class Load Model'!E9</f>
        <v>197.32265503190328</v>
      </c>
      <c r="J43" s="6">
        <f>'Rate Class Load Model'!E10</f>
        <v>197.32265503190328</v>
      </c>
    </row>
    <row r="45" spans="1:11" x14ac:dyDescent="0.2">
      <c r="A45" s="28" t="str">
        <f>'Rate Class Energy Model'!O2</f>
        <v xml:space="preserve">Street Lighting </v>
      </c>
      <c r="B45" s="1"/>
      <c r="C45" s="1"/>
      <c r="D45" s="1"/>
      <c r="E45" s="1"/>
    </row>
    <row r="46" spans="1:11" x14ac:dyDescent="0.2">
      <c r="A46" t="s">
        <v>127</v>
      </c>
      <c r="B46" s="6">
        <f>'Rate Class Customer Model'!I11</f>
        <v>1</v>
      </c>
      <c r="C46" s="6">
        <f>'Rate Class Customer Model'!I12</f>
        <v>1</v>
      </c>
      <c r="D46" s="6">
        <f>'Rate Class Customer Model'!I13</f>
        <v>1</v>
      </c>
      <c r="E46" s="6">
        <f>'Rate Class Customer Model'!I14</f>
        <v>1</v>
      </c>
      <c r="F46" s="6">
        <f>'Rate Class Customer Model'!I15</f>
        <v>1</v>
      </c>
      <c r="G46" s="6">
        <f>'Rate Class Customer Model'!I16</f>
        <v>1</v>
      </c>
      <c r="H46" s="6">
        <f>'Rate Class Customer Model'!I17</f>
        <v>1</v>
      </c>
      <c r="I46" s="6">
        <f>'Rate Class Customer Model'!I18</f>
        <v>1</v>
      </c>
      <c r="J46" s="6">
        <f>'Rate Class Customer Model'!I19</f>
        <v>1</v>
      </c>
    </row>
    <row r="47" spans="1:11" x14ac:dyDescent="0.2">
      <c r="A47" t="s">
        <v>42</v>
      </c>
      <c r="B47" s="6">
        <f>'Rate Class Energy Model'!O3</f>
        <v>1427616.35</v>
      </c>
      <c r="C47" s="6">
        <f>'Rate Class Energy Model'!O4</f>
        <v>1422828.54</v>
      </c>
      <c r="D47" s="6">
        <f>'Rate Class Energy Model'!O5</f>
        <v>1117131.3599999999</v>
      </c>
      <c r="E47" s="6">
        <f>'Rate Class Energy Model'!O6</f>
        <v>545652</v>
      </c>
      <c r="F47" s="6">
        <f>'Rate Class Energy Model'!O7</f>
        <v>527637</v>
      </c>
      <c r="G47" s="6">
        <f>'Rate Class Energy Model'!O8</f>
        <v>607361.03999999992</v>
      </c>
      <c r="H47" s="6">
        <f>'Rate Class Energy Model'!O9</f>
        <v>619622.6399999999</v>
      </c>
      <c r="I47" s="6">
        <f>'Rate Class Energy Model'!O10</f>
        <v>644748</v>
      </c>
      <c r="J47" s="6">
        <f>'Rate Class Energy Model'!O26</f>
        <v>644748</v>
      </c>
    </row>
    <row r="48" spans="1:11" x14ac:dyDescent="0.2">
      <c r="A48" t="s">
        <v>43</v>
      </c>
      <c r="B48" s="6">
        <f>'Rate Class Load Model'!F2</f>
        <v>3831.24</v>
      </c>
      <c r="C48" s="6">
        <f>'Rate Class Load Model'!F3</f>
        <v>3831.24</v>
      </c>
      <c r="D48" s="6">
        <f>'Rate Class Load Model'!F4</f>
        <v>3043.83</v>
      </c>
      <c r="E48" s="6">
        <f>'Rate Class Load Model'!F5</f>
        <v>1498</v>
      </c>
      <c r="F48" s="6">
        <f>'Rate Class Load Model'!F6</f>
        <v>1416</v>
      </c>
      <c r="G48" s="6">
        <f>'Rate Class Load Model'!F7</f>
        <v>1646.5600000000004</v>
      </c>
      <c r="H48" s="6">
        <f>'Rate Class Load Model'!F8</f>
        <v>1667.5200000000002</v>
      </c>
      <c r="I48" s="6">
        <f>'Rate Class Load Model'!F9</f>
        <v>1677</v>
      </c>
      <c r="J48" s="6">
        <f>'Rate Class Load Model'!F10</f>
        <v>1735.4400770751936</v>
      </c>
    </row>
    <row r="50" spans="1:13" x14ac:dyDescent="0.2">
      <c r="A50" s="28" t="s">
        <v>7</v>
      </c>
      <c r="B50" s="1"/>
      <c r="E50" s="44"/>
    </row>
    <row r="51" spans="1:13" x14ac:dyDescent="0.2">
      <c r="A51" t="s">
        <v>46</v>
      </c>
      <c r="B51" s="6">
        <f t="shared" ref="B51:J51" si="2">+B14+B18+B22+B27+B32+B37+B41+B46</f>
        <v>7202.166666666667</v>
      </c>
      <c r="C51" s="6">
        <f t="shared" si="2"/>
        <v>7315.6666666666661</v>
      </c>
      <c r="D51" s="6">
        <f t="shared" si="2"/>
        <v>7430.6666666666661</v>
      </c>
      <c r="E51" s="6">
        <f t="shared" si="2"/>
        <v>7568.1666666666661</v>
      </c>
      <c r="F51" s="6">
        <f t="shared" si="2"/>
        <v>7749.25</v>
      </c>
      <c r="G51" s="6">
        <f t="shared" si="2"/>
        <v>8037.4166666666661</v>
      </c>
      <c r="H51" s="6">
        <f t="shared" si="2"/>
        <v>8350.6666666666661</v>
      </c>
      <c r="I51" s="6">
        <f t="shared" si="2"/>
        <v>8527</v>
      </c>
      <c r="J51" s="6">
        <f t="shared" si="2"/>
        <v>8652.8245069622681</v>
      </c>
    </row>
    <row r="52" spans="1:13" x14ac:dyDescent="0.2">
      <c r="A52" t="s">
        <v>42</v>
      </c>
      <c r="B52" s="6">
        <f t="shared" ref="B52:J52" si="3">+B15+B19+B23+B28+B33+B38+B42+B47</f>
        <v>195938264.66</v>
      </c>
      <c r="C52" s="6">
        <f t="shared" si="3"/>
        <v>183826118.34999996</v>
      </c>
      <c r="D52" s="6">
        <f t="shared" si="3"/>
        <v>183750499.39999995</v>
      </c>
      <c r="E52" s="6">
        <f t="shared" si="3"/>
        <v>171687024.79999998</v>
      </c>
      <c r="F52" s="6">
        <f t="shared" si="3"/>
        <v>167477565.66000003</v>
      </c>
      <c r="G52" s="6">
        <f t="shared" si="3"/>
        <v>172196903.11000004</v>
      </c>
      <c r="H52" s="6">
        <f t="shared" si="3"/>
        <v>178660614.34999996</v>
      </c>
      <c r="I52" s="6">
        <f t="shared" si="3"/>
        <v>179892895.17287871</v>
      </c>
      <c r="J52" s="6">
        <f t="shared" si="3"/>
        <v>177837168.3655726</v>
      </c>
    </row>
    <row r="53" spans="1:13" x14ac:dyDescent="0.2">
      <c r="A53" t="s">
        <v>45</v>
      </c>
      <c r="B53" s="6">
        <f>B24+B29+B34+B43+B48</f>
        <v>322878.17000000004</v>
      </c>
      <c r="C53" s="6">
        <f t="shared" ref="C53:J53" si="4">C24+C29+C34+C43+C48</f>
        <v>316507.27</v>
      </c>
      <c r="D53" s="6">
        <f t="shared" si="4"/>
        <v>314792.98000000004</v>
      </c>
      <c r="E53" s="6">
        <f t="shared" si="4"/>
        <v>284975.80999999994</v>
      </c>
      <c r="F53" s="6">
        <f t="shared" si="4"/>
        <v>269248</v>
      </c>
      <c r="G53" s="6">
        <f t="shared" si="4"/>
        <v>282116.59000000003</v>
      </c>
      <c r="H53" s="6">
        <f t="shared" si="4"/>
        <v>283789.91000000003</v>
      </c>
      <c r="I53" s="6">
        <f t="shared" si="4"/>
        <v>263105.32265503192</v>
      </c>
      <c r="J53" s="6">
        <f t="shared" si="4"/>
        <v>284265.43595271627</v>
      </c>
    </row>
    <row r="54" spans="1:13" x14ac:dyDescent="0.2">
      <c r="B54" s="1"/>
      <c r="C54" s="1"/>
    </row>
    <row r="55" spans="1:13" x14ac:dyDescent="0.2">
      <c r="A55" t="s">
        <v>46</v>
      </c>
      <c r="B55" s="6">
        <f>'Rate Class Customer Model'!J11</f>
        <v>7202.166666666667</v>
      </c>
      <c r="C55" s="6">
        <f>'Rate Class Customer Model'!J12</f>
        <v>7315.6666666666661</v>
      </c>
      <c r="D55" s="6">
        <f>'Rate Class Customer Model'!J13</f>
        <v>7430.6666666666661</v>
      </c>
      <c r="E55" s="6">
        <f>'Rate Class Customer Model'!J14</f>
        <v>7568.1666666666661</v>
      </c>
      <c r="F55" s="6">
        <f>'Rate Class Customer Model'!J15</f>
        <v>7749.25</v>
      </c>
      <c r="G55" s="6">
        <f>'Rate Class Customer Model'!J16</f>
        <v>8037.4166666666661</v>
      </c>
      <c r="H55" s="6">
        <f>'Rate Class Customer Model'!J17</f>
        <v>8350.6666666666661</v>
      </c>
      <c r="I55" s="6">
        <f>'Rate Class Customer Model'!J18</f>
        <v>8527</v>
      </c>
      <c r="J55" s="6">
        <f>'Rate Class Customer Model'!J19</f>
        <v>8652.8245069622681</v>
      </c>
    </row>
    <row r="56" spans="1:13" x14ac:dyDescent="0.2">
      <c r="A56" t="s">
        <v>42</v>
      </c>
      <c r="B56" s="6">
        <f>'Rate Class Energy Model'!G3</f>
        <v>195938264.66</v>
      </c>
      <c r="C56" s="6">
        <f>'Rate Class Energy Model'!G4</f>
        <v>183826118.34999996</v>
      </c>
      <c r="D56" s="6">
        <f>'Rate Class Energy Model'!G5</f>
        <v>183750499.39999995</v>
      </c>
      <c r="E56" s="6">
        <f>'Rate Class Energy Model'!G6</f>
        <v>171687024.79999998</v>
      </c>
      <c r="F56" s="6">
        <f>'Rate Class Energy Model'!G7</f>
        <v>167477565.66000003</v>
      </c>
      <c r="G56" s="6">
        <f>'Rate Class Energy Model'!G8</f>
        <v>172196903.11000004</v>
      </c>
      <c r="H56" s="6">
        <f>'Rate Class Energy Model'!G9</f>
        <v>178660614.34999996</v>
      </c>
      <c r="I56" s="6">
        <f>'Rate Class Energy Model'!G10</f>
        <v>179892895.17287871</v>
      </c>
      <c r="J56" s="6">
        <f>'Rate Class Energy Model'!P26</f>
        <v>177837168.3655726</v>
      </c>
      <c r="L56" s="6"/>
      <c r="M56" s="36"/>
    </row>
    <row r="57" spans="1:13" x14ac:dyDescent="0.2">
      <c r="A57" t="s">
        <v>45</v>
      </c>
      <c r="B57" s="6">
        <f>'Rate Class Load Model'!G2</f>
        <v>322878.17000000004</v>
      </c>
      <c r="C57" s="6">
        <f>'Rate Class Load Model'!G3</f>
        <v>316507.27</v>
      </c>
      <c r="D57" s="6">
        <f>'Rate Class Load Model'!G4</f>
        <v>314792.98000000004</v>
      </c>
      <c r="E57" s="6">
        <f>'Rate Class Load Model'!G5</f>
        <v>284975.80999999994</v>
      </c>
      <c r="F57" s="6">
        <f>'Rate Class Load Model'!G6</f>
        <v>269248</v>
      </c>
      <c r="G57" s="6">
        <f>'Rate Class Load Model'!G7</f>
        <v>282116.59000000003</v>
      </c>
      <c r="H57" s="6">
        <f>'Rate Class Load Model'!G8</f>
        <v>283789.91000000003</v>
      </c>
      <c r="I57" s="6">
        <f>'Rate Class Load Model'!G9</f>
        <v>263105.32265503192</v>
      </c>
      <c r="J57" s="6">
        <f>'Rate Class Load Model'!G10</f>
        <v>284265.43595271627</v>
      </c>
    </row>
    <row r="59" spans="1:13" hidden="1" x14ac:dyDescent="0.2">
      <c r="A59" t="s">
        <v>46</v>
      </c>
      <c r="E59" s="6">
        <f>'Rate Class Load Model'!G9</f>
        <v>263105.32265503192</v>
      </c>
      <c r="F59" s="6" t="e">
        <f>#REF!</f>
        <v>#REF!</v>
      </c>
      <c r="G59" s="6"/>
      <c r="H59" s="6"/>
      <c r="I59" s="6" t="e">
        <f>#REF!</f>
        <v>#REF!</v>
      </c>
      <c r="J59" s="6" t="e">
        <f>#REF!</f>
        <v>#REF!</v>
      </c>
    </row>
    <row r="60" spans="1:13" hidden="1" x14ac:dyDescent="0.2">
      <c r="A60" t="s">
        <v>42</v>
      </c>
      <c r="E60" s="6">
        <f>'Rate Class Load Model'!G10</f>
        <v>284265.43595271627</v>
      </c>
      <c r="F60" s="6" t="e">
        <f>#REF!</f>
        <v>#REF!</v>
      </c>
      <c r="G60" s="6"/>
      <c r="H60" s="6"/>
      <c r="I60" s="6" t="e">
        <f>#REF!</f>
        <v>#REF!</v>
      </c>
      <c r="J60" s="6" t="e">
        <f>#REF!</f>
        <v>#REF!</v>
      </c>
    </row>
    <row r="61" spans="1:13" hidden="1" x14ac:dyDescent="0.2">
      <c r="A61" t="s">
        <v>45</v>
      </c>
      <c r="E61" s="6">
        <f>'Rate Class Load Model'!G11</f>
        <v>0</v>
      </c>
      <c r="F61" s="6" t="e">
        <f>#REF!</f>
        <v>#REF!</v>
      </c>
      <c r="G61" s="6"/>
      <c r="H61" s="6"/>
      <c r="I61" s="6" t="e">
        <f>#REF!</f>
        <v>#REF!</v>
      </c>
      <c r="J61" s="6" t="e">
        <f>#REF!</f>
        <v>#REF!</v>
      </c>
    </row>
    <row r="62" spans="1:13" hidden="1" x14ac:dyDescent="0.2">
      <c r="E62" s="6">
        <f>'Rate Class Load Model'!G12</f>
        <v>0</v>
      </c>
    </row>
    <row r="63" spans="1:13" hidden="1" x14ac:dyDescent="0.2">
      <c r="A63" t="s">
        <v>46</v>
      </c>
      <c r="E63" s="6" t="e">
        <f>'Rate Class Load Model'!#REF!</f>
        <v>#REF!</v>
      </c>
      <c r="F63" s="6" t="e">
        <f>#REF!-F59</f>
        <v>#REF!</v>
      </c>
      <c r="G63" s="6"/>
      <c r="H63" s="6"/>
      <c r="I63" s="6" t="e">
        <f>#REF!-I59</f>
        <v>#REF!</v>
      </c>
      <c r="J63" s="6" t="e">
        <f>#REF!-J59</f>
        <v>#REF!</v>
      </c>
    </row>
    <row r="64" spans="1:13" hidden="1" x14ac:dyDescent="0.2">
      <c r="A64" t="s">
        <v>42</v>
      </c>
      <c r="E64" s="6" t="e">
        <f>'Rate Class Load Model'!#REF!</f>
        <v>#REF!</v>
      </c>
      <c r="F64" s="6" t="e">
        <f>#REF!-F60</f>
        <v>#REF!</v>
      </c>
      <c r="G64" s="6"/>
      <c r="H64" s="6"/>
      <c r="I64" s="6" t="e">
        <f>#REF!-I60</f>
        <v>#REF!</v>
      </c>
      <c r="J64" s="6" t="e">
        <f>#REF!-J60</f>
        <v>#REF!</v>
      </c>
    </row>
    <row r="65" spans="1:10" hidden="1" x14ac:dyDescent="0.2">
      <c r="A65" t="s">
        <v>45</v>
      </c>
      <c r="E65" s="6" t="e">
        <f>'Rate Class Load Model'!#REF!</f>
        <v>#REF!</v>
      </c>
      <c r="F65" s="6" t="e">
        <f>#REF!-F61</f>
        <v>#REF!</v>
      </c>
      <c r="G65" s="6"/>
      <c r="H65" s="6"/>
      <c r="I65" s="6" t="e">
        <f>#REF!-I61</f>
        <v>#REF!</v>
      </c>
      <c r="J65" s="6" t="e">
        <f>#REF!-J61</f>
        <v>#REF!</v>
      </c>
    </row>
    <row r="66" spans="1:10" hidden="1" x14ac:dyDescent="0.2">
      <c r="E66" s="6">
        <f>'Rate Class Load Model'!G13</f>
        <v>0</v>
      </c>
    </row>
    <row r="67" spans="1:10" x14ac:dyDescent="0.2">
      <c r="A67" s="43" t="s">
        <v>12</v>
      </c>
      <c r="E67" s="6"/>
    </row>
    <row r="68" spans="1:10" x14ac:dyDescent="0.2">
      <c r="A68" t="s">
        <v>46</v>
      </c>
      <c r="B68" s="6">
        <f t="shared" ref="B68:J68" si="5">B51-B55</f>
        <v>0</v>
      </c>
      <c r="C68" s="6">
        <f t="shared" si="5"/>
        <v>0</v>
      </c>
      <c r="D68" s="6">
        <f t="shared" si="5"/>
        <v>0</v>
      </c>
      <c r="E68" s="6">
        <f t="shared" si="5"/>
        <v>0</v>
      </c>
      <c r="F68" s="6">
        <f t="shared" si="5"/>
        <v>0</v>
      </c>
      <c r="G68" s="6">
        <f t="shared" ref="G68:H68" si="6">G51-G55</f>
        <v>0</v>
      </c>
      <c r="H68" s="6">
        <f t="shared" si="6"/>
        <v>0</v>
      </c>
      <c r="I68" s="6">
        <f t="shared" si="5"/>
        <v>0</v>
      </c>
      <c r="J68" s="6">
        <f t="shared" si="5"/>
        <v>0</v>
      </c>
    </row>
    <row r="69" spans="1:10" x14ac:dyDescent="0.2">
      <c r="A69" t="s">
        <v>42</v>
      </c>
      <c r="B69" s="6">
        <f t="shared" ref="B69:J69" si="7">B52-B56</f>
        <v>0</v>
      </c>
      <c r="C69" s="6">
        <f t="shared" si="7"/>
        <v>0</v>
      </c>
      <c r="D69" s="6">
        <f t="shared" si="7"/>
        <v>0</v>
      </c>
      <c r="E69" s="6">
        <f t="shared" si="7"/>
        <v>0</v>
      </c>
      <c r="F69" s="6">
        <f t="shared" si="7"/>
        <v>0</v>
      </c>
      <c r="G69" s="6">
        <f t="shared" ref="G69:H69" si="8">G52-G56</f>
        <v>0</v>
      </c>
      <c r="H69" s="6">
        <f t="shared" si="8"/>
        <v>0</v>
      </c>
      <c r="I69" s="6">
        <f t="shared" si="7"/>
        <v>0</v>
      </c>
      <c r="J69" s="6">
        <f t="shared" si="7"/>
        <v>0</v>
      </c>
    </row>
    <row r="70" spans="1:10" x14ac:dyDescent="0.2">
      <c r="A70" t="s">
        <v>45</v>
      </c>
      <c r="B70" s="6">
        <f t="shared" ref="B70:J70" si="9">B53-B57</f>
        <v>0</v>
      </c>
      <c r="C70" s="6">
        <f t="shared" si="9"/>
        <v>0</v>
      </c>
      <c r="D70" s="6">
        <f t="shared" si="9"/>
        <v>0</v>
      </c>
      <c r="E70" s="6">
        <f t="shared" si="9"/>
        <v>0</v>
      </c>
      <c r="F70" s="6">
        <f t="shared" si="9"/>
        <v>0</v>
      </c>
      <c r="G70" s="6">
        <f t="shared" ref="G70:H70" si="10">G53-G57</f>
        <v>0</v>
      </c>
      <c r="H70" s="6">
        <f t="shared" si="10"/>
        <v>0</v>
      </c>
      <c r="I70" s="6">
        <f t="shared" si="9"/>
        <v>0</v>
      </c>
      <c r="J70" s="6">
        <f t="shared" si="9"/>
        <v>0</v>
      </c>
    </row>
  </sheetData>
  <phoneticPr fontId="0" type="noConversion"/>
  <pageMargins left="0.38" right="0.75" top="0.73" bottom="0.74" header="0.5" footer="0.5"/>
  <pageSetup scale="74" fitToHeight="2" orientation="landscape" r:id="rId1"/>
  <headerFooter alignWithMargins="0">
    <oddFooter>&amp;L&amp;Z&amp;F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  <pageSetUpPr fitToPage="1"/>
  </sheetPr>
  <dimension ref="A1:AI157"/>
  <sheetViews>
    <sheetView zoomScale="78" zoomScaleNormal="78" workbookViewId="0">
      <pane xSplit="1" ySplit="2" topLeftCell="B104" activePane="bottomRight" state="frozen"/>
      <selection pane="topRight" activeCell="C1" sqref="C1"/>
      <selection pane="bottomLeft" activeCell="A3" sqref="A3"/>
      <selection pane="bottomRight" activeCell="W115" sqref="W115:AE115"/>
    </sheetView>
  </sheetViews>
  <sheetFormatPr defaultRowHeight="12.75" x14ac:dyDescent="0.2"/>
  <cols>
    <col min="1" max="1" width="11.85546875" style="27" customWidth="1"/>
    <col min="2" max="7" width="16.85546875" style="6" customWidth="1"/>
    <col min="8" max="8" width="11.5703125" style="1" customWidth="1"/>
    <col min="9" max="9" width="13.42578125" style="1" customWidth="1"/>
    <col min="10" max="10" width="10.140625" style="1" customWidth="1"/>
    <col min="11" max="11" width="10.28515625" style="57" customWidth="1"/>
    <col min="12" max="13" width="13" style="1" customWidth="1"/>
    <col min="14" max="14" width="15.5703125" style="1" bestFit="1" customWidth="1"/>
    <col min="15" max="15" width="16" style="1" customWidth="1"/>
    <col min="16" max="16" width="18.28515625" style="1" bestFit="1" customWidth="1"/>
    <col min="17" max="17" width="15" style="1" bestFit="1" customWidth="1"/>
    <col min="18" max="18" width="17.85546875" style="1" bestFit="1" customWidth="1"/>
    <col min="19" max="19" width="11.42578125" style="1" customWidth="1"/>
    <col min="20" max="20" width="17.85546875" style="1" bestFit="1" customWidth="1"/>
    <col min="21" max="21" width="4.85546875" customWidth="1"/>
    <col min="22" max="22" width="44.42578125" customWidth="1"/>
    <col min="23" max="23" width="18.42578125" customWidth="1"/>
    <col min="24" max="28" width="12.5703125" customWidth="1"/>
    <col min="29" max="29" width="21.85546875" customWidth="1"/>
    <col min="30" max="30" width="12.5703125" customWidth="1"/>
    <col min="31" max="31" width="42.42578125" bestFit="1" customWidth="1"/>
    <col min="32" max="32" width="15.5703125" bestFit="1" customWidth="1"/>
    <col min="33" max="33" width="26.140625" bestFit="1" customWidth="1"/>
    <col min="34" max="34" width="23" bestFit="1" customWidth="1"/>
    <col min="37" max="37" width="40.5703125" bestFit="1" customWidth="1"/>
    <col min="38" max="38" width="42.85546875" bestFit="1" customWidth="1"/>
  </cols>
  <sheetData>
    <row r="1" spans="1:35" x14ac:dyDescent="0.2">
      <c r="AF1" s="105"/>
      <c r="AG1" s="105"/>
      <c r="AH1" s="105"/>
      <c r="AI1" s="105"/>
    </row>
    <row r="2" spans="1:35" ht="38.25" x14ac:dyDescent="0.2">
      <c r="A2" s="100"/>
      <c r="B2" s="101" t="s">
        <v>75</v>
      </c>
      <c r="C2" s="101" t="s">
        <v>107</v>
      </c>
      <c r="D2" s="101" t="s">
        <v>113</v>
      </c>
      <c r="E2" s="101" t="s">
        <v>115</v>
      </c>
      <c r="F2" s="101" t="s">
        <v>116</v>
      </c>
      <c r="G2" s="101" t="s">
        <v>117</v>
      </c>
      <c r="H2" s="102" t="s">
        <v>2</v>
      </c>
      <c r="I2" s="102" t="s">
        <v>3</v>
      </c>
      <c r="J2" s="102" t="s">
        <v>90</v>
      </c>
      <c r="K2" s="103" t="s">
        <v>13</v>
      </c>
      <c r="L2" s="102" t="s">
        <v>104</v>
      </c>
      <c r="M2" s="102" t="s">
        <v>114</v>
      </c>
      <c r="N2" s="102" t="s">
        <v>8</v>
      </c>
      <c r="O2" s="104" t="s">
        <v>118</v>
      </c>
      <c r="P2" s="102" t="s">
        <v>119</v>
      </c>
      <c r="Q2" s="131" t="s">
        <v>120</v>
      </c>
      <c r="R2" s="132" t="s">
        <v>121</v>
      </c>
      <c r="S2" s="132" t="s">
        <v>122</v>
      </c>
      <c r="T2" s="132" t="s">
        <v>123</v>
      </c>
      <c r="V2" t="s">
        <v>14</v>
      </c>
      <c r="AF2" s="105"/>
      <c r="AG2" s="105"/>
      <c r="AH2" s="105"/>
      <c r="AI2" s="105"/>
    </row>
    <row r="3" spans="1:35" ht="13.5" thickBot="1" x14ac:dyDescent="0.25">
      <c r="A3" s="47">
        <v>42400</v>
      </c>
      <c r="B3" s="48">
        <f>Inputs!D60</f>
        <v>17214578.510000002</v>
      </c>
      <c r="C3" s="48">
        <f>Inputs!E60</f>
        <v>62079.97</v>
      </c>
      <c r="D3" s="48">
        <f t="shared" ref="D3:D31" si="0">B3+C3</f>
        <v>17276658.48</v>
      </c>
      <c r="E3" s="48">
        <f>Inputs!AE60</f>
        <v>1398553.38</v>
      </c>
      <c r="F3" s="48">
        <v>4160319.42</v>
      </c>
      <c r="G3" s="48">
        <f>D3-E3-F3</f>
        <v>11717785.680000002</v>
      </c>
      <c r="H3" s="48">
        <f>'Weather Analysis'!E8</f>
        <v>699.50000000000023</v>
      </c>
      <c r="I3" s="48">
        <f>'Weather Analysis'!E27</f>
        <v>0</v>
      </c>
      <c r="J3" s="48">
        <v>31</v>
      </c>
      <c r="K3" s="110">
        <v>0</v>
      </c>
      <c r="L3" s="48">
        <f>Inputs!G60+Inputs!I60+Inputs!L60+Inputs!O60+Inputs!R60+Inputs!AA60</f>
        <v>6973</v>
      </c>
      <c r="M3" s="48">
        <v>0</v>
      </c>
      <c r="N3" s="48">
        <f>$W$18+$W$19*H3+$W$20*I3+$W$21*J3+$W$22*K3+$W$23*L3+M3*$W$24</f>
        <v>11043919.34765701</v>
      </c>
      <c r="O3" s="32">
        <f>N3-G3</f>
        <v>-673866.33234299161</v>
      </c>
      <c r="P3" s="41">
        <f>O3/G3</f>
        <v>-5.7507992614436648E-2</v>
      </c>
      <c r="Q3" s="133">
        <f t="shared" ref="Q3:Q4" si="1">ABS(P3)</f>
        <v>5.7507992614436648E-2</v>
      </c>
      <c r="R3" s="134">
        <f t="shared" ref="R3:R66" si="2">O3*O3</f>
        <v>454095833865.3952</v>
      </c>
      <c r="S3" s="134"/>
      <c r="T3" s="134"/>
      <c r="AF3" s="105"/>
      <c r="AG3" s="105"/>
      <c r="AH3" s="105"/>
      <c r="AI3" s="105"/>
    </row>
    <row r="4" spans="1:35" x14ac:dyDescent="0.2">
      <c r="A4" s="47">
        <v>42429</v>
      </c>
      <c r="B4" s="48">
        <f>Inputs!D61</f>
        <v>16327741.550000001</v>
      </c>
      <c r="C4" s="48">
        <f>Inputs!E61</f>
        <v>71513.490000000005</v>
      </c>
      <c r="D4" s="48">
        <f t="shared" si="0"/>
        <v>16399255.040000001</v>
      </c>
      <c r="E4" s="48">
        <f>Inputs!AE61</f>
        <v>1222410.74</v>
      </c>
      <c r="F4" s="48">
        <v>4296011.57</v>
      </c>
      <c r="G4" s="48">
        <f t="shared" ref="G4:G67" si="3">D4-E4-F4</f>
        <v>10880832.73</v>
      </c>
      <c r="H4" s="48">
        <f>'Weather Analysis'!E9</f>
        <v>603.99999999999989</v>
      </c>
      <c r="I4" s="48">
        <f>'Weather Analysis'!E28</f>
        <v>0</v>
      </c>
      <c r="J4" s="48">
        <v>29</v>
      </c>
      <c r="K4" s="110">
        <v>0</v>
      </c>
      <c r="L4" s="48">
        <f>Inputs!G61+Inputs!I61+Inputs!L61+Inputs!O61+Inputs!R61+Inputs!AA61</f>
        <v>6976</v>
      </c>
      <c r="M4" s="48">
        <v>0</v>
      </c>
      <c r="N4" s="48">
        <f t="shared" ref="N4:N67" si="4">$W$18+$W$19*H4+$W$20*I4+$W$21*J4+$W$22*K4+$W$23*L4+M4*$W$24</f>
        <v>10174033.0448335</v>
      </c>
      <c r="O4" s="32">
        <f t="shared" ref="O4:O67" si="5">N4-G4</f>
        <v>-706799.68516650051</v>
      </c>
      <c r="P4" s="41">
        <f t="shared" ref="P4:P67" si="6">O4/G4</f>
        <v>-6.4958234604393233E-2</v>
      </c>
      <c r="Q4" s="133">
        <f t="shared" si="1"/>
        <v>6.4958234604393233E-2</v>
      </c>
      <c r="R4" s="134">
        <f t="shared" si="2"/>
        <v>499565794951.46423</v>
      </c>
      <c r="S4" s="134">
        <f t="shared" ref="S4:S67" si="7">O4-O3</f>
        <v>-32933.352823508903</v>
      </c>
      <c r="T4" s="134">
        <f t="shared" ref="T4:T67" si="8">S4*S4</f>
        <v>1084605728.197722</v>
      </c>
      <c r="V4" s="114" t="s">
        <v>15</v>
      </c>
      <c r="W4" s="114"/>
      <c r="AF4" s="105"/>
      <c r="AG4" s="105"/>
      <c r="AH4" s="105"/>
      <c r="AI4" s="105"/>
    </row>
    <row r="5" spans="1:35" x14ac:dyDescent="0.2">
      <c r="A5" s="47">
        <v>42460</v>
      </c>
      <c r="B5" s="48">
        <f>Inputs!D62</f>
        <v>16387708.84</v>
      </c>
      <c r="C5" s="48">
        <f>Inputs!E62</f>
        <v>128194.3</v>
      </c>
      <c r="D5" s="48">
        <f t="shared" si="0"/>
        <v>16515903.140000001</v>
      </c>
      <c r="E5" s="48">
        <f>Inputs!AE62</f>
        <v>1328244.3800000001</v>
      </c>
      <c r="F5" s="48">
        <v>4380082.97</v>
      </c>
      <c r="G5" s="48">
        <f t="shared" si="3"/>
        <v>10807575.789999999</v>
      </c>
      <c r="H5" s="48">
        <f>'Weather Analysis'!E10</f>
        <v>466.50000000000006</v>
      </c>
      <c r="I5" s="48">
        <f>'Weather Analysis'!E29</f>
        <v>0</v>
      </c>
      <c r="J5" s="48">
        <v>31</v>
      </c>
      <c r="K5" s="110">
        <v>1</v>
      </c>
      <c r="L5" s="48">
        <f>Inputs!G62+Inputs!I62+Inputs!L62+Inputs!O62+Inputs!R62+Inputs!AA62</f>
        <v>6984</v>
      </c>
      <c r="M5" s="48">
        <v>0</v>
      </c>
      <c r="N5" s="48">
        <f t="shared" si="4"/>
        <v>10187513.671871291</v>
      </c>
      <c r="O5" s="32">
        <f t="shared" si="5"/>
        <v>-620062.11812870763</v>
      </c>
      <c r="P5" s="41">
        <f t="shared" si="6"/>
        <v>-5.7372914164750696E-2</v>
      </c>
      <c r="Q5" s="12">
        <f t="shared" ref="Q5:Q30" si="9">ABS(P5)</f>
        <v>5.7372914164750696E-2</v>
      </c>
      <c r="R5" s="134">
        <f t="shared" si="2"/>
        <v>384477030338.2594</v>
      </c>
      <c r="S5" s="134">
        <f t="shared" si="7"/>
        <v>86737.567037792876</v>
      </c>
      <c r="T5" s="134">
        <f t="shared" si="8"/>
        <v>7523405535.6356134</v>
      </c>
      <c r="V5" t="s">
        <v>16</v>
      </c>
      <c r="W5">
        <v>0.94958405121549483</v>
      </c>
      <c r="AF5" s="105"/>
      <c r="AG5" s="105"/>
      <c r="AH5" s="105"/>
      <c r="AI5" s="105"/>
    </row>
    <row r="6" spans="1:35" x14ac:dyDescent="0.2">
      <c r="A6" s="47">
        <v>42490</v>
      </c>
      <c r="B6" s="48">
        <f>Inputs!D63</f>
        <v>15295315.789999999</v>
      </c>
      <c r="C6" s="48">
        <f>Inputs!E63</f>
        <v>189041.49</v>
      </c>
      <c r="D6" s="48">
        <f t="shared" si="0"/>
        <v>15484357.279999999</v>
      </c>
      <c r="E6" s="48">
        <f>Inputs!AE63</f>
        <v>1253861.8099999998</v>
      </c>
      <c r="F6" s="48">
        <v>4125931.53</v>
      </c>
      <c r="G6" s="48">
        <f t="shared" si="3"/>
        <v>10104563.939999999</v>
      </c>
      <c r="H6" s="48">
        <f>'Weather Analysis'!E11</f>
        <v>391.09999999999997</v>
      </c>
      <c r="I6" s="48">
        <f>'Weather Analysis'!E30</f>
        <v>0</v>
      </c>
      <c r="J6" s="48">
        <v>30</v>
      </c>
      <c r="K6" s="110">
        <v>1</v>
      </c>
      <c r="L6" s="48">
        <f>Inputs!G63+Inputs!I63+Inputs!L63+Inputs!O63+Inputs!R63+Inputs!AA63</f>
        <v>6995</v>
      </c>
      <c r="M6" s="48">
        <v>0</v>
      </c>
      <c r="N6" s="48">
        <f t="shared" si="4"/>
        <v>9727591.3953703456</v>
      </c>
      <c r="O6" s="32">
        <f t="shared" si="5"/>
        <v>-376972.54462965392</v>
      </c>
      <c r="P6" s="41">
        <f t="shared" si="6"/>
        <v>-3.7307156139352801E-2</v>
      </c>
      <c r="Q6" s="12">
        <f t="shared" si="9"/>
        <v>3.7307156139352801E-2</v>
      </c>
      <c r="R6" s="134">
        <f t="shared" si="2"/>
        <v>142108299404.55643</v>
      </c>
      <c r="S6" s="134">
        <f t="shared" si="7"/>
        <v>243089.57349905372</v>
      </c>
      <c r="T6" s="134">
        <f t="shared" si="8"/>
        <v>59092540743.951836</v>
      </c>
      <c r="V6" t="s">
        <v>17</v>
      </c>
      <c r="W6">
        <v>0.90170987032283145</v>
      </c>
      <c r="AF6" s="105"/>
      <c r="AG6" s="105"/>
      <c r="AH6" s="105"/>
      <c r="AI6" s="105"/>
    </row>
    <row r="7" spans="1:35" x14ac:dyDescent="0.2">
      <c r="A7" s="47">
        <v>42521</v>
      </c>
      <c r="B7" s="48">
        <f>Inputs!D64</f>
        <v>15349497.890000001</v>
      </c>
      <c r="C7" s="48">
        <f>Inputs!E64</f>
        <v>239387.64</v>
      </c>
      <c r="D7" s="48">
        <f t="shared" si="0"/>
        <v>15588885.530000001</v>
      </c>
      <c r="E7" s="48">
        <f>Inputs!AE64</f>
        <v>1195532.79</v>
      </c>
      <c r="F7" s="48">
        <v>4159261.96</v>
      </c>
      <c r="G7" s="48">
        <f t="shared" si="3"/>
        <v>10234090.780000001</v>
      </c>
      <c r="H7" s="48">
        <f>'Weather Analysis'!E12</f>
        <v>148.19999999999996</v>
      </c>
      <c r="I7" s="48">
        <f>'Weather Analysis'!E31</f>
        <v>25.8</v>
      </c>
      <c r="J7" s="48">
        <v>31</v>
      </c>
      <c r="K7" s="110">
        <v>1</v>
      </c>
      <c r="L7" s="48">
        <f>Inputs!G64+Inputs!I64+Inputs!L64+Inputs!O64+Inputs!R64+Inputs!AA64</f>
        <v>7003</v>
      </c>
      <c r="M7" s="48">
        <v>0</v>
      </c>
      <c r="N7" s="48">
        <f t="shared" si="4"/>
        <v>10433765.345482303</v>
      </c>
      <c r="O7" s="32">
        <f t="shared" si="5"/>
        <v>199674.56548230164</v>
      </c>
      <c r="P7" s="41">
        <f t="shared" si="6"/>
        <v>1.9510728385614497E-2</v>
      </c>
      <c r="Q7" s="12">
        <f t="shared" si="9"/>
        <v>1.9510728385614497E-2</v>
      </c>
      <c r="R7" s="134">
        <f t="shared" si="2"/>
        <v>39869932100.545967</v>
      </c>
      <c r="S7" s="134">
        <f t="shared" si="7"/>
        <v>576647.11011195555</v>
      </c>
      <c r="T7" s="134">
        <f t="shared" si="8"/>
        <v>332521889600.46979</v>
      </c>
      <c r="V7" t="s">
        <v>18</v>
      </c>
      <c r="W7">
        <v>0.89550207265901038</v>
      </c>
      <c r="AF7" s="105"/>
      <c r="AG7" s="105"/>
      <c r="AH7" s="105"/>
      <c r="AI7" s="105"/>
    </row>
    <row r="8" spans="1:35" x14ac:dyDescent="0.2">
      <c r="A8" s="47">
        <v>42551</v>
      </c>
      <c r="B8" s="48">
        <f>Inputs!D65</f>
        <v>16760016.93</v>
      </c>
      <c r="C8" s="48">
        <f>Inputs!E65</f>
        <v>264615.24</v>
      </c>
      <c r="D8" s="48">
        <f t="shared" si="0"/>
        <v>17024632.169999998</v>
      </c>
      <c r="E8" s="48">
        <f>Inputs!AE65</f>
        <v>1306218.8199999998</v>
      </c>
      <c r="F8" s="48">
        <v>4271213.41</v>
      </c>
      <c r="G8" s="48">
        <f t="shared" si="3"/>
        <v>11447199.939999998</v>
      </c>
      <c r="H8" s="48">
        <f>'Weather Analysis'!E13</f>
        <v>42.5</v>
      </c>
      <c r="I8" s="48">
        <f>'Weather Analysis'!E32</f>
        <v>43.8</v>
      </c>
      <c r="J8" s="48">
        <v>30</v>
      </c>
      <c r="K8" s="110">
        <v>0</v>
      </c>
      <c r="L8" s="48">
        <f>Inputs!G65+Inputs!I65+Inputs!L65+Inputs!O65+Inputs!R65+Inputs!AA65</f>
        <v>7015</v>
      </c>
      <c r="M8" s="48">
        <v>0</v>
      </c>
      <c r="N8" s="48">
        <f t="shared" si="4"/>
        <v>10933319.628460491</v>
      </c>
      <c r="O8" s="32">
        <f t="shared" si="5"/>
        <v>-513880.31153950654</v>
      </c>
      <c r="P8" s="41">
        <f t="shared" si="6"/>
        <v>-4.4891354587408963E-2</v>
      </c>
      <c r="Q8" s="12">
        <f t="shared" si="9"/>
        <v>4.4891354587408963E-2</v>
      </c>
      <c r="R8" s="134">
        <f t="shared" si="2"/>
        <v>264072974587.94031</v>
      </c>
      <c r="S8" s="134">
        <f t="shared" si="7"/>
        <v>-713554.87702180818</v>
      </c>
      <c r="T8" s="134">
        <f t="shared" si="8"/>
        <v>509160562521.60779</v>
      </c>
      <c r="V8" t="s">
        <v>19</v>
      </c>
      <c r="W8">
        <v>468285.26709255105</v>
      </c>
      <c r="AF8" s="105"/>
      <c r="AG8" s="105"/>
      <c r="AH8" s="105"/>
      <c r="AI8" s="105"/>
    </row>
    <row r="9" spans="1:35" ht="13.5" thickBot="1" x14ac:dyDescent="0.25">
      <c r="A9" s="47">
        <v>42582</v>
      </c>
      <c r="B9" s="48">
        <f>Inputs!D66</f>
        <v>17584612.699999999</v>
      </c>
      <c r="C9" s="48">
        <f>Inputs!E66</f>
        <v>249446.96</v>
      </c>
      <c r="D9" s="48">
        <f t="shared" si="0"/>
        <v>17834059.66</v>
      </c>
      <c r="E9" s="48">
        <f>Inputs!AE66</f>
        <v>1366765.55</v>
      </c>
      <c r="F9" s="48">
        <v>3813952.6999999997</v>
      </c>
      <c r="G9" s="48">
        <f t="shared" si="3"/>
        <v>12653341.41</v>
      </c>
      <c r="H9" s="48">
        <f>'Weather Analysis'!E14</f>
        <v>4.4000000000000004</v>
      </c>
      <c r="I9" s="48">
        <f>'Weather Analysis'!E33</f>
        <v>109.1</v>
      </c>
      <c r="J9" s="48">
        <v>31</v>
      </c>
      <c r="K9" s="110">
        <v>0</v>
      </c>
      <c r="L9" s="48">
        <f>Inputs!G66+Inputs!I66+Inputs!L66+Inputs!O66+Inputs!R66+Inputs!AA66</f>
        <v>7029</v>
      </c>
      <c r="M9" s="48">
        <v>0</v>
      </c>
      <c r="N9" s="48">
        <f t="shared" si="4"/>
        <v>13080122.93956111</v>
      </c>
      <c r="O9" s="32">
        <f t="shared" si="5"/>
        <v>426781.52956110984</v>
      </c>
      <c r="P9" s="41">
        <f t="shared" si="6"/>
        <v>3.3728761102092941E-2</v>
      </c>
      <c r="Q9" s="12">
        <f t="shared" si="9"/>
        <v>3.3728761102092941E-2</v>
      </c>
      <c r="R9" s="134">
        <f t="shared" si="2"/>
        <v>182142473974.52048</v>
      </c>
      <c r="S9" s="134">
        <f t="shared" si="7"/>
        <v>940661.84110061638</v>
      </c>
      <c r="T9" s="134">
        <f t="shared" si="8"/>
        <v>884844699302.80127</v>
      </c>
      <c r="V9" s="112" t="s">
        <v>20</v>
      </c>
      <c r="W9" s="112">
        <v>102</v>
      </c>
      <c r="AF9" s="105"/>
      <c r="AG9" s="105"/>
      <c r="AH9" s="105"/>
      <c r="AI9" s="105"/>
    </row>
    <row r="10" spans="1:35" x14ac:dyDescent="0.2">
      <c r="A10" s="47">
        <v>42613</v>
      </c>
      <c r="B10" s="48">
        <f>Inputs!D67</f>
        <v>20027554.73</v>
      </c>
      <c r="C10" s="48">
        <f>Inputs!E67</f>
        <v>228668.65</v>
      </c>
      <c r="D10" s="48">
        <f t="shared" si="0"/>
        <v>20256223.379999999</v>
      </c>
      <c r="E10" s="48">
        <f>Inputs!AE67</f>
        <v>1456378.23</v>
      </c>
      <c r="F10" s="48">
        <v>4753916.74</v>
      </c>
      <c r="G10" s="48">
        <f t="shared" si="3"/>
        <v>14045928.409999998</v>
      </c>
      <c r="H10" s="48">
        <f>'Weather Analysis'!E15</f>
        <v>0.7</v>
      </c>
      <c r="I10" s="48">
        <f>'Weather Analysis'!E34</f>
        <v>124.20000000000002</v>
      </c>
      <c r="J10" s="48">
        <v>31</v>
      </c>
      <c r="K10" s="110">
        <v>0</v>
      </c>
      <c r="L10" s="48">
        <f>Inputs!G67+Inputs!I67+Inputs!L67+Inputs!O67+Inputs!R67+Inputs!AA67</f>
        <v>7045</v>
      </c>
      <c r="M10" s="48">
        <v>0</v>
      </c>
      <c r="N10" s="48">
        <f t="shared" si="4"/>
        <v>13527243.992799312</v>
      </c>
      <c r="O10" s="32">
        <f t="shared" si="5"/>
        <v>-518684.41720068641</v>
      </c>
      <c r="P10" s="41">
        <f t="shared" si="6"/>
        <v>-3.6927741766888761E-2</v>
      </c>
      <c r="Q10" s="12">
        <f t="shared" si="9"/>
        <v>3.6927741766888761E-2</v>
      </c>
      <c r="R10" s="134">
        <f t="shared" si="2"/>
        <v>269033524646.8157</v>
      </c>
      <c r="S10" s="134">
        <f t="shared" si="7"/>
        <v>-945465.94676179625</v>
      </c>
      <c r="T10" s="134">
        <f t="shared" si="8"/>
        <v>893905856486.17969</v>
      </c>
      <c r="AF10" s="105"/>
      <c r="AG10" s="105"/>
      <c r="AH10" s="105"/>
      <c r="AI10" s="105"/>
    </row>
    <row r="11" spans="1:35" ht="13.5" thickBot="1" x14ac:dyDescent="0.25">
      <c r="A11" s="47">
        <v>42643</v>
      </c>
      <c r="B11" s="48">
        <f>Inputs!D68</f>
        <v>17024200.449999999</v>
      </c>
      <c r="C11" s="48">
        <f>Inputs!E68</f>
        <v>191588.72</v>
      </c>
      <c r="D11" s="48">
        <f t="shared" si="0"/>
        <v>17215789.169999998</v>
      </c>
      <c r="E11" s="48">
        <f>Inputs!AE68</f>
        <v>1349320.0799999998</v>
      </c>
      <c r="F11" s="48">
        <v>4536643.54</v>
      </c>
      <c r="G11" s="48">
        <f t="shared" si="3"/>
        <v>11329825.549999997</v>
      </c>
      <c r="H11" s="48">
        <f>'Weather Analysis'!E16</f>
        <v>40.9</v>
      </c>
      <c r="I11" s="48">
        <f>'Weather Analysis'!E35</f>
        <v>40.000000000000007</v>
      </c>
      <c r="J11" s="48">
        <v>30</v>
      </c>
      <c r="K11" s="110">
        <v>1</v>
      </c>
      <c r="L11" s="48">
        <f>Inputs!G68+Inputs!I68+Inputs!L68+Inputs!O68+Inputs!R68+Inputs!AA68</f>
        <v>7053</v>
      </c>
      <c r="M11" s="48">
        <v>0</v>
      </c>
      <c r="N11" s="48">
        <f t="shared" si="4"/>
        <v>10397607.426863747</v>
      </c>
      <c r="O11" s="32">
        <f t="shared" si="5"/>
        <v>-932218.1231362503</v>
      </c>
      <c r="P11" s="41">
        <f t="shared" si="6"/>
        <v>-8.2280006785828266E-2</v>
      </c>
      <c r="Q11" s="12">
        <f t="shared" si="9"/>
        <v>8.2280006785828266E-2</v>
      </c>
      <c r="R11" s="134">
        <f t="shared" si="2"/>
        <v>869030629103.6731</v>
      </c>
      <c r="S11" s="134">
        <f t="shared" si="7"/>
        <v>-413533.70593556389</v>
      </c>
      <c r="T11" s="134">
        <f t="shared" si="8"/>
        <v>171010125944.80142</v>
      </c>
      <c r="V11" t="s">
        <v>21</v>
      </c>
    </row>
    <row r="12" spans="1:35" x14ac:dyDescent="0.2">
      <c r="A12" s="47">
        <v>42674</v>
      </c>
      <c r="B12" s="48">
        <f>Inputs!D69</f>
        <v>15911420.27</v>
      </c>
      <c r="C12" s="48">
        <f>Inputs!E69</f>
        <v>132639.69</v>
      </c>
      <c r="D12" s="48">
        <f t="shared" si="0"/>
        <v>16044059.959999999</v>
      </c>
      <c r="E12" s="48">
        <f>Inputs!AE69</f>
        <v>1234720.6599999999</v>
      </c>
      <c r="F12" s="48">
        <v>4536507.6399999997</v>
      </c>
      <c r="G12" s="48">
        <f t="shared" si="3"/>
        <v>10272831.66</v>
      </c>
      <c r="H12" s="48">
        <f>'Weather Analysis'!E17</f>
        <v>212.90000000000003</v>
      </c>
      <c r="I12" s="48">
        <f>'Weather Analysis'!E36</f>
        <v>3.3</v>
      </c>
      <c r="J12" s="48">
        <v>31</v>
      </c>
      <c r="K12" s="110">
        <v>1</v>
      </c>
      <c r="L12" s="48">
        <f>Inputs!G69+Inputs!I69+Inputs!L69+Inputs!O69+Inputs!R69+Inputs!AA69</f>
        <v>7064</v>
      </c>
      <c r="M12" s="48">
        <v>0</v>
      </c>
      <c r="N12" s="48">
        <f t="shared" si="4"/>
        <v>10035723.684365239</v>
      </c>
      <c r="O12" s="32">
        <f t="shared" si="5"/>
        <v>-237107.97563476115</v>
      </c>
      <c r="P12" s="41">
        <f t="shared" si="6"/>
        <v>-2.308107282220968E-2</v>
      </c>
      <c r="Q12" s="12">
        <f t="shared" si="9"/>
        <v>2.308107282220968E-2</v>
      </c>
      <c r="R12" s="134">
        <f t="shared" si="2"/>
        <v>56220192109.614487</v>
      </c>
      <c r="S12" s="134">
        <f t="shared" si="7"/>
        <v>695110.14750148915</v>
      </c>
      <c r="T12" s="134">
        <f t="shared" si="8"/>
        <v>483178117159.54199</v>
      </c>
      <c r="V12" s="113"/>
      <c r="W12" s="113" t="s">
        <v>25</v>
      </c>
      <c r="X12" s="113" t="s">
        <v>26</v>
      </c>
      <c r="Y12" s="113" t="s">
        <v>27</v>
      </c>
      <c r="Z12" s="113" t="s">
        <v>28</v>
      </c>
      <c r="AA12" s="113" t="s">
        <v>29</v>
      </c>
    </row>
    <row r="13" spans="1:35" x14ac:dyDescent="0.2">
      <c r="A13" s="47">
        <v>42704</v>
      </c>
      <c r="B13" s="48">
        <f>Inputs!D70</f>
        <v>15908144.58</v>
      </c>
      <c r="C13" s="48">
        <f>Inputs!E70</f>
        <v>91505.37</v>
      </c>
      <c r="D13" s="48">
        <f t="shared" si="0"/>
        <v>15999649.949999999</v>
      </c>
      <c r="E13" s="48">
        <f>Inputs!AE70</f>
        <v>1266138.96</v>
      </c>
      <c r="F13" s="48">
        <v>4373435.6499999994</v>
      </c>
      <c r="G13" s="48">
        <f t="shared" si="3"/>
        <v>10360075.34</v>
      </c>
      <c r="H13" s="48">
        <f>'Weather Analysis'!E18</f>
        <v>364.5</v>
      </c>
      <c r="I13" s="48">
        <f>'Weather Analysis'!E37</f>
        <v>0</v>
      </c>
      <c r="J13" s="48">
        <v>30</v>
      </c>
      <c r="K13" s="110">
        <v>0</v>
      </c>
      <c r="L13" s="48">
        <f>Inputs!G70+Inputs!I70+Inputs!L70+Inputs!O70+Inputs!R70+Inputs!AA70</f>
        <v>7067</v>
      </c>
      <c r="M13" s="48">
        <v>0</v>
      </c>
      <c r="N13" s="48">
        <f t="shared" si="4"/>
        <v>10336828.693553299</v>
      </c>
      <c r="O13" s="32">
        <f t="shared" si="5"/>
        <v>-23246.646446701139</v>
      </c>
      <c r="P13" s="41">
        <f t="shared" si="6"/>
        <v>-2.2438684742905682E-3</v>
      </c>
      <c r="Q13" s="12">
        <f t="shared" si="9"/>
        <v>2.2438684742905682E-3</v>
      </c>
      <c r="R13" s="134">
        <f t="shared" si="2"/>
        <v>540406571.01792276</v>
      </c>
      <c r="S13" s="134">
        <f t="shared" si="7"/>
        <v>213861.32918806002</v>
      </c>
      <c r="T13" s="134">
        <f t="shared" si="8"/>
        <v>45736668122.083771</v>
      </c>
      <c r="V13" t="s">
        <v>22</v>
      </c>
      <c r="W13">
        <v>6</v>
      </c>
      <c r="X13">
        <v>191117963834378.84</v>
      </c>
      <c r="Y13">
        <v>31852993972396.473</v>
      </c>
      <c r="Z13">
        <v>145.25439119544197</v>
      </c>
      <c r="AA13">
        <v>1.366542954917963E-45</v>
      </c>
    </row>
    <row r="14" spans="1:35" x14ac:dyDescent="0.2">
      <c r="A14" s="47">
        <v>42735</v>
      </c>
      <c r="B14" s="48">
        <f>Inputs!D71</f>
        <v>16116946.359999999</v>
      </c>
      <c r="C14" s="48">
        <f>Inputs!E71</f>
        <v>14828.03</v>
      </c>
      <c r="D14" s="48">
        <f t="shared" si="0"/>
        <v>16131774.389999999</v>
      </c>
      <c r="E14" s="48">
        <f>Inputs!AE71</f>
        <v>1137069.6299999999</v>
      </c>
      <c r="F14" s="48">
        <v>3672969.6100000003</v>
      </c>
      <c r="G14" s="48">
        <f t="shared" si="3"/>
        <v>11321735.149999999</v>
      </c>
      <c r="H14" s="48">
        <f>'Weather Analysis'!E19</f>
        <v>645.10000000000014</v>
      </c>
      <c r="I14" s="48">
        <f>'Weather Analysis'!E38</f>
        <v>0</v>
      </c>
      <c r="J14" s="48">
        <v>31</v>
      </c>
      <c r="K14" s="110">
        <v>0</v>
      </c>
      <c r="L14" s="48">
        <f>Inputs!G71+Inputs!I71+Inputs!L71+Inputs!O71+Inputs!R71+Inputs!AA71</f>
        <v>7085</v>
      </c>
      <c r="M14" s="48">
        <v>0</v>
      </c>
      <c r="N14" s="48">
        <f t="shared" si="4"/>
        <v>11185274.687946063</v>
      </c>
      <c r="O14" s="32">
        <f t="shared" si="5"/>
        <v>-136460.46205393597</v>
      </c>
      <c r="P14" s="41">
        <f t="shared" si="6"/>
        <v>-1.2052963635519772E-2</v>
      </c>
      <c r="Q14" s="12">
        <f t="shared" si="9"/>
        <v>1.2052963635519772E-2</v>
      </c>
      <c r="R14" s="134">
        <f t="shared" si="2"/>
        <v>18621457703.973701</v>
      </c>
      <c r="S14" s="134">
        <f t="shared" si="7"/>
        <v>-113213.81560723484</v>
      </c>
      <c r="T14" s="134">
        <f t="shared" si="8"/>
        <v>12817368044.34897</v>
      </c>
      <c r="V14" t="s">
        <v>23</v>
      </c>
      <c r="W14">
        <v>95</v>
      </c>
      <c r="X14">
        <v>20832653680714.477</v>
      </c>
      <c r="Y14">
        <v>219291091375.94186</v>
      </c>
    </row>
    <row r="15" spans="1:35" ht="13.5" thickBot="1" x14ac:dyDescent="0.25">
      <c r="A15" s="47">
        <v>42766</v>
      </c>
      <c r="B15" s="48">
        <f>Inputs!D72</f>
        <v>17123786.129999999</v>
      </c>
      <c r="C15" s="48">
        <f>Inputs!E72</f>
        <v>40918.46</v>
      </c>
      <c r="D15" s="48">
        <f t="shared" si="0"/>
        <v>17164704.59</v>
      </c>
      <c r="E15" s="48">
        <f>Inputs!AE72</f>
        <v>1299339.8</v>
      </c>
      <c r="F15" s="48">
        <v>4258095.4399999995</v>
      </c>
      <c r="G15" s="48">
        <f t="shared" si="3"/>
        <v>11607269.35</v>
      </c>
      <c r="H15" s="48">
        <f>'Weather Analysis'!F8</f>
        <v>605.4</v>
      </c>
      <c r="I15" s="48">
        <f>'Weather Analysis'!F27</f>
        <v>0</v>
      </c>
      <c r="J15" s="48">
        <v>31</v>
      </c>
      <c r="K15" s="110">
        <v>0</v>
      </c>
      <c r="L15" s="48">
        <f>Inputs!G72+Inputs!I72+Inputs!L72+Inputs!O72+Inputs!R72+Inputs!AA72</f>
        <v>7094</v>
      </c>
      <c r="M15" s="48">
        <v>0</v>
      </c>
      <c r="N15" s="48">
        <f t="shared" si="4"/>
        <v>11139936.202553809</v>
      </c>
      <c r="O15" s="32">
        <f t="shared" si="5"/>
        <v>-467333.14744619094</v>
      </c>
      <c r="P15" s="41">
        <f t="shared" si="6"/>
        <v>-4.0262109317398667E-2</v>
      </c>
      <c r="Q15" s="12">
        <f t="shared" si="9"/>
        <v>4.0262109317398667E-2</v>
      </c>
      <c r="R15" s="134">
        <f t="shared" si="2"/>
        <v>218400270701.96323</v>
      </c>
      <c r="S15" s="134">
        <f t="shared" si="7"/>
        <v>-330872.68539225496</v>
      </c>
      <c r="T15" s="134">
        <f t="shared" si="8"/>
        <v>109476733938.68213</v>
      </c>
      <c r="V15" s="112" t="s">
        <v>7</v>
      </c>
      <c r="W15" s="112">
        <v>101</v>
      </c>
      <c r="X15" s="112">
        <v>211950617515093.31</v>
      </c>
      <c r="Y15" s="112"/>
      <c r="Z15" s="112"/>
      <c r="AA15" s="112"/>
    </row>
    <row r="16" spans="1:35" ht="13.5" thickBot="1" x14ac:dyDescent="0.25">
      <c r="A16" s="47">
        <v>42794</v>
      </c>
      <c r="B16" s="48">
        <f>Inputs!D73</f>
        <v>15034182.73</v>
      </c>
      <c r="C16" s="48">
        <f>Inputs!E73</f>
        <v>98842.77</v>
      </c>
      <c r="D16" s="48">
        <f t="shared" si="0"/>
        <v>15133025.5</v>
      </c>
      <c r="E16" s="48">
        <f>Inputs!AE73</f>
        <v>1201380.51</v>
      </c>
      <c r="F16" s="48">
        <v>3901375.5300000003</v>
      </c>
      <c r="G16" s="48">
        <f t="shared" si="3"/>
        <v>10030269.460000001</v>
      </c>
      <c r="H16" s="48">
        <f>'Weather Analysis'!F9</f>
        <v>507.69999999999993</v>
      </c>
      <c r="I16" s="48">
        <f>'Weather Analysis'!F28</f>
        <v>0</v>
      </c>
      <c r="J16" s="48">
        <v>28</v>
      </c>
      <c r="K16" s="110">
        <v>0</v>
      </c>
      <c r="L16" s="48">
        <f>Inputs!G73+Inputs!I73+Inputs!L73+Inputs!O73+Inputs!R73+Inputs!AA73</f>
        <v>7111</v>
      </c>
      <c r="M16" s="48">
        <v>0</v>
      </c>
      <c r="N16" s="48">
        <f t="shared" si="4"/>
        <v>9933728.1586788855</v>
      </c>
      <c r="O16" s="32">
        <f t="shared" si="5"/>
        <v>-96541.301321115345</v>
      </c>
      <c r="P16" s="41">
        <f t="shared" si="6"/>
        <v>-9.6249957896061677E-3</v>
      </c>
      <c r="Q16" s="12">
        <f t="shared" si="9"/>
        <v>9.6249957896061677E-3</v>
      </c>
      <c r="R16" s="134">
        <f t="shared" si="2"/>
        <v>9320222860.7743874</v>
      </c>
      <c r="S16" s="134">
        <f t="shared" si="7"/>
        <v>370791.84612507559</v>
      </c>
      <c r="T16" s="134">
        <f t="shared" si="8"/>
        <v>137486593152.84174</v>
      </c>
    </row>
    <row r="17" spans="1:30" x14ac:dyDescent="0.2">
      <c r="A17" s="47">
        <v>42825</v>
      </c>
      <c r="B17" s="48">
        <f>Inputs!D74</f>
        <v>16518332.300000001</v>
      </c>
      <c r="C17" s="48">
        <f>Inputs!E74</f>
        <v>144381.45000000001</v>
      </c>
      <c r="D17" s="48">
        <f t="shared" si="0"/>
        <v>16662713.75</v>
      </c>
      <c r="E17" s="48">
        <f>Inputs!AE74</f>
        <v>1325848.7599999998</v>
      </c>
      <c r="F17" s="48">
        <v>4291491.49</v>
      </c>
      <c r="G17" s="48">
        <f t="shared" si="3"/>
        <v>11045373.5</v>
      </c>
      <c r="H17" s="48">
        <f>'Weather Analysis'!F10</f>
        <v>568.4</v>
      </c>
      <c r="I17" s="48">
        <f>'Weather Analysis'!F29</f>
        <v>0</v>
      </c>
      <c r="J17" s="48">
        <v>31</v>
      </c>
      <c r="K17" s="110">
        <v>1</v>
      </c>
      <c r="L17" s="48">
        <f>Inputs!G74+Inputs!I74+Inputs!L74+Inputs!O74+Inputs!R74+Inputs!AA74</f>
        <v>7115</v>
      </c>
      <c r="M17" s="48">
        <v>0</v>
      </c>
      <c r="N17" s="48">
        <f t="shared" si="4"/>
        <v>10618499.051269904</v>
      </c>
      <c r="O17" s="32">
        <f t="shared" si="5"/>
        <v>-426874.44873009622</v>
      </c>
      <c r="P17" s="41">
        <f t="shared" si="6"/>
        <v>-3.8647353005319032E-2</v>
      </c>
      <c r="Q17" s="12">
        <f t="shared" si="9"/>
        <v>3.8647353005319032E-2</v>
      </c>
      <c r="R17" s="134">
        <f t="shared" si="2"/>
        <v>182221794978.62354</v>
      </c>
      <c r="S17" s="134">
        <f t="shared" si="7"/>
        <v>-330333.14740898088</v>
      </c>
      <c r="T17" s="134">
        <f t="shared" si="8"/>
        <v>109119988277.12349</v>
      </c>
      <c r="V17" s="113"/>
      <c r="W17" s="113" t="s">
        <v>30</v>
      </c>
      <c r="X17" s="113" t="s">
        <v>19</v>
      </c>
      <c r="Y17" s="113" t="s">
        <v>31</v>
      </c>
      <c r="Z17" s="113" t="s">
        <v>32</v>
      </c>
      <c r="AA17" s="113" t="s">
        <v>33</v>
      </c>
      <c r="AB17" s="113" t="s">
        <v>34</v>
      </c>
      <c r="AC17" s="113" t="s">
        <v>145</v>
      </c>
      <c r="AD17" s="113" t="s">
        <v>146</v>
      </c>
    </row>
    <row r="18" spans="1:30" x14ac:dyDescent="0.2">
      <c r="A18" s="47">
        <v>42855</v>
      </c>
      <c r="B18" s="48">
        <f>Inputs!D75</f>
        <v>13982812.939999999</v>
      </c>
      <c r="C18" s="48">
        <f>Inputs!E75</f>
        <v>180225.96</v>
      </c>
      <c r="D18" s="48">
        <f t="shared" si="0"/>
        <v>14163038.9</v>
      </c>
      <c r="E18" s="48">
        <f>Inputs!AE75</f>
        <v>1205713.79</v>
      </c>
      <c r="F18" s="48">
        <v>3567728.34</v>
      </c>
      <c r="G18" s="48">
        <f t="shared" si="3"/>
        <v>9389596.7699999996</v>
      </c>
      <c r="H18" s="48">
        <f>'Weather Analysis'!F11</f>
        <v>255.80000000000004</v>
      </c>
      <c r="I18" s="48">
        <f>'Weather Analysis'!F30</f>
        <v>0</v>
      </c>
      <c r="J18" s="48">
        <v>30</v>
      </c>
      <c r="K18" s="110">
        <v>1</v>
      </c>
      <c r="L18" s="48">
        <f>Inputs!G75+Inputs!I75+Inputs!L75+Inputs!O75+Inputs!R75+Inputs!AA75</f>
        <v>7119</v>
      </c>
      <c r="M18" s="48">
        <v>0</v>
      </c>
      <c r="N18" s="48">
        <f t="shared" si="4"/>
        <v>9763612.8485969193</v>
      </c>
      <c r="O18" s="32">
        <f t="shared" si="5"/>
        <v>374016.07859691978</v>
      </c>
      <c r="P18" s="41">
        <f t="shared" si="6"/>
        <v>3.9833028803953612E-2</v>
      </c>
      <c r="Q18" s="12">
        <f t="shared" si="9"/>
        <v>3.9833028803953612E-2</v>
      </c>
      <c r="R18" s="134">
        <f t="shared" si="2"/>
        <v>139888027049.01727</v>
      </c>
      <c r="S18" s="134">
        <f t="shared" si="7"/>
        <v>800890.527327016</v>
      </c>
      <c r="T18" s="134">
        <f t="shared" si="8"/>
        <v>641425636762.14575</v>
      </c>
      <c r="V18" t="s">
        <v>24</v>
      </c>
      <c r="W18">
        <v>-15517366.883225877</v>
      </c>
      <c r="X18">
        <v>1955639.3141741171</v>
      </c>
      <c r="Y18">
        <v>-7.9346773051445796</v>
      </c>
      <c r="Z18">
        <v>4.1320138499705718E-12</v>
      </c>
      <c r="AA18">
        <v>-19399801.794184845</v>
      </c>
      <c r="AB18">
        <v>-11634931.972266909</v>
      </c>
      <c r="AC18">
        <v>-19399801.794184845</v>
      </c>
      <c r="AD18">
        <v>-11634931.972266909</v>
      </c>
    </row>
    <row r="19" spans="1:30" x14ac:dyDescent="0.2">
      <c r="A19" s="47">
        <v>42886</v>
      </c>
      <c r="B19" s="48">
        <f>Inputs!D76</f>
        <v>15061646.42</v>
      </c>
      <c r="C19" s="48">
        <f>Inputs!E76</f>
        <v>211937.72</v>
      </c>
      <c r="D19" s="48">
        <f t="shared" si="0"/>
        <v>15273584.140000001</v>
      </c>
      <c r="E19" s="48">
        <f>Inputs!AE76</f>
        <v>1314156.01</v>
      </c>
      <c r="F19" s="48">
        <v>3987885.81</v>
      </c>
      <c r="G19" s="48">
        <f t="shared" si="3"/>
        <v>9971542.3200000003</v>
      </c>
      <c r="H19" s="48">
        <f>'Weather Analysis'!F12</f>
        <v>194.60000000000002</v>
      </c>
      <c r="I19" s="48">
        <f>'Weather Analysis'!F31</f>
        <v>7.3</v>
      </c>
      <c r="J19" s="48">
        <v>31</v>
      </c>
      <c r="K19" s="110">
        <v>1</v>
      </c>
      <c r="L19" s="48">
        <f>Inputs!G76+Inputs!I76+Inputs!L76+Inputs!O76+Inputs!R76+Inputs!AA76</f>
        <v>7125</v>
      </c>
      <c r="M19" s="48">
        <v>0</v>
      </c>
      <c r="N19" s="48">
        <f t="shared" si="4"/>
        <v>10242255.107275339</v>
      </c>
      <c r="O19" s="32">
        <f t="shared" si="5"/>
        <v>270712.78727533855</v>
      </c>
      <c r="P19" s="41">
        <f t="shared" si="6"/>
        <v>2.7148537165847232E-2</v>
      </c>
      <c r="Q19" s="12">
        <f t="shared" si="9"/>
        <v>2.7148537165847232E-2</v>
      </c>
      <c r="R19" s="134">
        <f t="shared" si="2"/>
        <v>73285413194.382706</v>
      </c>
      <c r="S19" s="134">
        <f t="shared" si="7"/>
        <v>-103303.29132158123</v>
      </c>
      <c r="T19" s="134">
        <f t="shared" si="8"/>
        <v>10671569997.871479</v>
      </c>
      <c r="V19" t="s">
        <v>2</v>
      </c>
      <c r="W19">
        <v>1604.8595902076861</v>
      </c>
      <c r="X19">
        <v>338.95106242253007</v>
      </c>
      <c r="Y19">
        <v>4.7347825929133629</v>
      </c>
      <c r="Z19">
        <v>7.6501570590017121E-6</v>
      </c>
      <c r="AA19">
        <v>931.9566533941038</v>
      </c>
      <c r="AB19">
        <v>2277.7625270212684</v>
      </c>
      <c r="AC19">
        <v>931.9566533941038</v>
      </c>
      <c r="AD19">
        <v>2277.7625270212684</v>
      </c>
    </row>
    <row r="20" spans="1:30" x14ac:dyDescent="0.2">
      <c r="A20" s="47">
        <v>42916</v>
      </c>
      <c r="B20" s="48">
        <f>Inputs!D77</f>
        <v>16237904.83</v>
      </c>
      <c r="C20" s="48">
        <f>Inputs!E77</f>
        <v>236828.58</v>
      </c>
      <c r="D20" s="48">
        <f t="shared" si="0"/>
        <v>16474733.41</v>
      </c>
      <c r="E20" s="48">
        <f>Inputs!AE77</f>
        <v>1376051.22</v>
      </c>
      <c r="F20" s="48">
        <v>3867008.4699999997</v>
      </c>
      <c r="G20" s="48">
        <f t="shared" si="3"/>
        <v>11231673.719999999</v>
      </c>
      <c r="H20" s="48">
        <f>'Weather Analysis'!F13</f>
        <v>37.400000000000006</v>
      </c>
      <c r="I20" s="48">
        <f>'Weather Analysis'!F32</f>
        <v>59.6</v>
      </c>
      <c r="J20" s="48">
        <v>30</v>
      </c>
      <c r="K20" s="110">
        <v>0</v>
      </c>
      <c r="L20" s="48">
        <f>Inputs!G77+Inputs!I77+Inputs!L77+Inputs!O77+Inputs!R77+Inputs!AA77</f>
        <v>7136</v>
      </c>
      <c r="M20" s="48">
        <v>0</v>
      </c>
      <c r="N20" s="48">
        <f t="shared" si="4"/>
        <v>11612050.782894362</v>
      </c>
      <c r="O20" s="32">
        <f t="shared" si="5"/>
        <v>380377.06289436296</v>
      </c>
      <c r="P20" s="41">
        <f t="shared" si="6"/>
        <v>3.3866463038098565E-2</v>
      </c>
      <c r="Q20" s="12">
        <f t="shared" si="9"/>
        <v>3.3866463038098565E-2</v>
      </c>
      <c r="R20" s="134">
        <f t="shared" si="2"/>
        <v>144686709976.14215</v>
      </c>
      <c r="S20" s="134">
        <f t="shared" si="7"/>
        <v>109664.27561902441</v>
      </c>
      <c r="T20" s="134">
        <f t="shared" si="8"/>
        <v>12026253347.045351</v>
      </c>
      <c r="V20" t="s">
        <v>3</v>
      </c>
      <c r="W20">
        <v>27840.620000543426</v>
      </c>
      <c r="X20">
        <v>2480.9856263013626</v>
      </c>
      <c r="Y20">
        <v>11.221596653120494</v>
      </c>
      <c r="Z20">
        <v>4.1782893897927143E-19</v>
      </c>
      <c r="AA20">
        <v>22915.240796245933</v>
      </c>
      <c r="AB20">
        <v>32765.999204840919</v>
      </c>
      <c r="AC20">
        <v>22915.240796245933</v>
      </c>
      <c r="AD20">
        <v>32765.999204840919</v>
      </c>
    </row>
    <row r="21" spans="1:30" x14ac:dyDescent="0.2">
      <c r="A21" s="47">
        <v>42947</v>
      </c>
      <c r="B21" s="48">
        <f>Inputs!D78</f>
        <v>16605648.27</v>
      </c>
      <c r="C21" s="48">
        <f>Inputs!E78</f>
        <v>225248.93</v>
      </c>
      <c r="D21" s="48">
        <f t="shared" si="0"/>
        <v>16830897.199999999</v>
      </c>
      <c r="E21" s="48">
        <f>Inputs!AE78</f>
        <v>1358368.19</v>
      </c>
      <c r="F21" s="48">
        <v>3233481.45</v>
      </c>
      <c r="G21" s="48">
        <f t="shared" si="3"/>
        <v>12239047.559999999</v>
      </c>
      <c r="H21" s="48">
        <f>'Weather Analysis'!F14</f>
        <v>0.8</v>
      </c>
      <c r="I21" s="48">
        <f>'Weather Analysis'!F33</f>
        <v>78.300000000000011</v>
      </c>
      <c r="J21" s="48">
        <v>31</v>
      </c>
      <c r="K21" s="110">
        <v>0</v>
      </c>
      <c r="L21" s="48">
        <f>Inputs!G78+Inputs!I78+Inputs!L78+Inputs!O78+Inputs!R78+Inputs!AA78</f>
        <v>7145</v>
      </c>
      <c r="M21" s="48">
        <v>0</v>
      </c>
      <c r="N21" s="48">
        <f t="shared" si="4"/>
        <v>12453680.468944417</v>
      </c>
      <c r="O21" s="32">
        <f t="shared" si="5"/>
        <v>214632.90894441865</v>
      </c>
      <c r="P21" s="41">
        <f t="shared" si="6"/>
        <v>1.7536732976337798E-2</v>
      </c>
      <c r="Q21" s="12">
        <f t="shared" si="9"/>
        <v>1.7536732976337798E-2</v>
      </c>
      <c r="R21" s="134">
        <f t="shared" si="2"/>
        <v>46067285601.943108</v>
      </c>
      <c r="S21" s="134">
        <f t="shared" si="7"/>
        <v>-165744.1539499443</v>
      </c>
      <c r="T21" s="134">
        <f t="shared" si="8"/>
        <v>27471124568.582836</v>
      </c>
      <c r="V21" t="s">
        <v>90</v>
      </c>
      <c r="W21">
        <v>361373.5127025033</v>
      </c>
      <c r="X21">
        <v>61040.350071870896</v>
      </c>
      <c r="Y21">
        <v>5.9202398458889958</v>
      </c>
      <c r="Z21">
        <v>5.0932993728936912E-8</v>
      </c>
      <c r="AA21">
        <v>240193.09646799474</v>
      </c>
      <c r="AB21">
        <v>482553.92893701186</v>
      </c>
      <c r="AC21">
        <v>240193.09646799474</v>
      </c>
      <c r="AD21">
        <v>482553.92893701186</v>
      </c>
    </row>
    <row r="22" spans="1:30" x14ac:dyDescent="0.2">
      <c r="A22" s="47">
        <v>42978</v>
      </c>
      <c r="B22" s="48">
        <f>Inputs!D79</f>
        <v>16791868.32</v>
      </c>
      <c r="C22" s="48">
        <f>Inputs!E79</f>
        <v>209082.47</v>
      </c>
      <c r="D22" s="48">
        <f t="shared" si="0"/>
        <v>17000950.789999999</v>
      </c>
      <c r="E22" s="48">
        <f>Inputs!AE79</f>
        <v>1152624.01</v>
      </c>
      <c r="F22" s="48">
        <v>3878368.4</v>
      </c>
      <c r="G22" s="48">
        <f t="shared" si="3"/>
        <v>11969958.379999999</v>
      </c>
      <c r="H22" s="48">
        <f>'Weather Analysis'!F15</f>
        <v>23.500000000000004</v>
      </c>
      <c r="I22" s="48">
        <f>'Weather Analysis'!F34</f>
        <v>43.300000000000004</v>
      </c>
      <c r="J22" s="48">
        <v>31</v>
      </c>
      <c r="K22" s="110">
        <v>0</v>
      </c>
      <c r="L22" s="48">
        <f>Inputs!G79+Inputs!I79+Inputs!L79+Inputs!O79+Inputs!R79+Inputs!AA79</f>
        <v>7160</v>
      </c>
      <c r="M22" s="48">
        <v>0</v>
      </c>
      <c r="N22" s="48">
        <f t="shared" si="4"/>
        <v>11546313.148854768</v>
      </c>
      <c r="O22" s="32">
        <f t="shared" si="5"/>
        <v>-423645.23114523105</v>
      </c>
      <c r="P22" s="41">
        <f t="shared" si="6"/>
        <v>-3.539237294701697E-2</v>
      </c>
      <c r="Q22" s="12">
        <f t="shared" si="9"/>
        <v>3.539237294701697E-2</v>
      </c>
      <c r="R22" s="134">
        <f t="shared" si="2"/>
        <v>179475281872.09625</v>
      </c>
      <c r="S22" s="134">
        <f t="shared" si="7"/>
        <v>-638278.14008964971</v>
      </c>
      <c r="T22" s="134">
        <f t="shared" si="8"/>
        <v>407398984116.30249</v>
      </c>
      <c r="V22" t="s">
        <v>13</v>
      </c>
      <c r="W22">
        <v>-504931.04057053849</v>
      </c>
      <c r="X22">
        <v>125584.76107825078</v>
      </c>
      <c r="Y22">
        <v>-4.0206394170381889</v>
      </c>
      <c r="Z22">
        <v>1.1632767859182408E-4</v>
      </c>
      <c r="AA22">
        <v>-754248.31352613401</v>
      </c>
      <c r="AB22">
        <v>-255613.767614943</v>
      </c>
      <c r="AC22">
        <v>-754248.31352613401</v>
      </c>
      <c r="AD22">
        <v>-255613.767614943</v>
      </c>
    </row>
    <row r="23" spans="1:30" x14ac:dyDescent="0.2">
      <c r="A23" s="47">
        <v>43008</v>
      </c>
      <c r="B23" s="48">
        <f>Inputs!D80</f>
        <v>15184922.210000001</v>
      </c>
      <c r="C23" s="48">
        <f>Inputs!E80</f>
        <v>202752.04</v>
      </c>
      <c r="D23" s="48">
        <f t="shared" si="0"/>
        <v>15387674.25</v>
      </c>
      <c r="E23" s="48">
        <f>Inputs!AE80</f>
        <v>1015208.41</v>
      </c>
      <c r="F23" s="48">
        <v>3513213.06</v>
      </c>
      <c r="G23" s="48">
        <f t="shared" si="3"/>
        <v>10859252.779999999</v>
      </c>
      <c r="H23" s="48">
        <f>'Weather Analysis'!F16</f>
        <v>71.399999999999991</v>
      </c>
      <c r="I23" s="48">
        <f>'Weather Analysis'!F35</f>
        <v>52.9</v>
      </c>
      <c r="J23" s="48">
        <v>30</v>
      </c>
      <c r="K23" s="110">
        <v>1</v>
      </c>
      <c r="L23" s="48">
        <f>Inputs!G80+Inputs!I80+Inputs!L80+Inputs!O80+Inputs!R80+Inputs!AA80</f>
        <v>7167</v>
      </c>
      <c r="M23" s="48">
        <v>0</v>
      </c>
      <c r="N23" s="48">
        <f t="shared" si="4"/>
        <v>11038442.553332662</v>
      </c>
      <c r="O23" s="32">
        <f t="shared" si="5"/>
        <v>179189.77333266288</v>
      </c>
      <c r="P23" s="41">
        <f t="shared" si="6"/>
        <v>1.6501114483925192E-2</v>
      </c>
      <c r="Q23" s="12">
        <f t="shared" si="9"/>
        <v>1.6501114483925192E-2</v>
      </c>
      <c r="R23" s="134">
        <f t="shared" si="2"/>
        <v>32108974867.011101</v>
      </c>
      <c r="S23" s="134">
        <f t="shared" si="7"/>
        <v>602835.00447789393</v>
      </c>
      <c r="T23" s="134">
        <f t="shared" si="8"/>
        <v>363410042623.86243</v>
      </c>
      <c r="V23" t="s">
        <v>104</v>
      </c>
      <c r="W23">
        <v>2041.6044821102837</v>
      </c>
      <c r="X23">
        <v>96.918946736914521</v>
      </c>
      <c r="Y23">
        <v>21.065070874657749</v>
      </c>
      <c r="Z23">
        <v>1.4274882249424089E-37</v>
      </c>
      <c r="AA23">
        <v>1849.1960458421283</v>
      </c>
      <c r="AB23">
        <v>2234.0129183784393</v>
      </c>
      <c r="AC23">
        <v>1849.1960458421283</v>
      </c>
      <c r="AD23">
        <v>2234.0129183784393</v>
      </c>
    </row>
    <row r="24" spans="1:30" ht="13.5" thickBot="1" x14ac:dyDescent="0.25">
      <c r="A24" s="47">
        <v>43039</v>
      </c>
      <c r="B24" s="48">
        <f>Inputs!D81</f>
        <v>14823920.949999999</v>
      </c>
      <c r="C24" s="48">
        <f>Inputs!E81</f>
        <v>127443.61</v>
      </c>
      <c r="D24" s="48">
        <f t="shared" si="0"/>
        <v>14951364.559999999</v>
      </c>
      <c r="E24" s="48">
        <f>Inputs!AE81</f>
        <v>941287.92</v>
      </c>
      <c r="F24" s="48">
        <v>3734043.4200000004</v>
      </c>
      <c r="G24" s="48">
        <f t="shared" si="3"/>
        <v>10276033.219999999</v>
      </c>
      <c r="H24" s="48">
        <f>'Weather Analysis'!F17</f>
        <v>184.39999999999998</v>
      </c>
      <c r="I24" s="48">
        <f>'Weather Analysis'!F36</f>
        <v>4.6000000000000005</v>
      </c>
      <c r="J24" s="48">
        <v>31</v>
      </c>
      <c r="K24" s="110">
        <v>1</v>
      </c>
      <c r="L24" s="48">
        <f>Inputs!G81+Inputs!I81+Inputs!L81+Inputs!O81+Inputs!R81+Inputs!AA81</f>
        <v>7177</v>
      </c>
      <c r="M24" s="48">
        <v>0</v>
      </c>
      <c r="N24" s="48">
        <f t="shared" si="4"/>
        <v>10256879.298523489</v>
      </c>
      <c r="O24" s="32">
        <f t="shared" si="5"/>
        <v>-19153.921476509422</v>
      </c>
      <c r="P24" s="41">
        <f t="shared" si="6"/>
        <v>-1.8639411790953148E-3</v>
      </c>
      <c r="Q24" s="12">
        <f t="shared" si="9"/>
        <v>1.8639411790953148E-3</v>
      </c>
      <c r="R24" s="134">
        <f t="shared" si="2"/>
        <v>366872707.92828888</v>
      </c>
      <c r="S24" s="134">
        <f t="shared" si="7"/>
        <v>-198343.6948091723</v>
      </c>
      <c r="T24" s="134">
        <f t="shared" si="8"/>
        <v>39340221270.554085</v>
      </c>
      <c r="V24" s="112" t="s">
        <v>114</v>
      </c>
      <c r="W24" s="112">
        <v>-1746158.5069323629</v>
      </c>
      <c r="X24" s="112">
        <v>339539.75484008068</v>
      </c>
      <c r="Y24" s="112">
        <v>-5.1427218228239093</v>
      </c>
      <c r="Z24" s="112">
        <v>1.4504432290539119E-6</v>
      </c>
      <c r="AA24" s="112">
        <v>-2420230.1459586434</v>
      </c>
      <c r="AB24" s="112">
        <v>-1072086.8679060822</v>
      </c>
      <c r="AC24" s="112">
        <v>-2420230.1459586434</v>
      </c>
      <c r="AD24" s="112">
        <v>-1072086.8679060822</v>
      </c>
    </row>
    <row r="25" spans="1:30" x14ac:dyDescent="0.2">
      <c r="A25" s="47">
        <v>43069</v>
      </c>
      <c r="B25" s="48">
        <f>Inputs!D82</f>
        <v>15176795.18</v>
      </c>
      <c r="C25" s="48">
        <f>Inputs!E82</f>
        <v>76466.039999999994</v>
      </c>
      <c r="D25" s="48">
        <f t="shared" si="0"/>
        <v>15253261.219999999</v>
      </c>
      <c r="E25" s="48">
        <f>Inputs!AE82</f>
        <v>892084.91999999993</v>
      </c>
      <c r="F25" s="48">
        <v>3835597.14</v>
      </c>
      <c r="G25" s="48">
        <f t="shared" si="3"/>
        <v>10525579.159999998</v>
      </c>
      <c r="H25" s="48">
        <f>'Weather Analysis'!F18</f>
        <v>447.5</v>
      </c>
      <c r="I25" s="48">
        <f>'Weather Analysis'!F37</f>
        <v>0</v>
      </c>
      <c r="J25" s="48">
        <v>30</v>
      </c>
      <c r="K25" s="110">
        <v>0</v>
      </c>
      <c r="L25" s="48">
        <f>Inputs!G82+Inputs!I82+Inputs!L82+Inputs!O82+Inputs!R82+Inputs!AA82</f>
        <v>7191</v>
      </c>
      <c r="M25" s="48">
        <v>0</v>
      </c>
      <c r="N25" s="48">
        <f t="shared" si="4"/>
        <v>10723190.995322211</v>
      </c>
      <c r="O25" s="32">
        <f t="shared" si="5"/>
        <v>197611.83532221243</v>
      </c>
      <c r="P25" s="41">
        <f t="shared" si="6"/>
        <v>1.8774438187039624E-2</v>
      </c>
      <c r="Q25" s="12">
        <f t="shared" si="9"/>
        <v>1.8774438187039624E-2</v>
      </c>
      <c r="R25" s="134">
        <f t="shared" si="2"/>
        <v>39050437459.4132</v>
      </c>
      <c r="S25" s="134">
        <f t="shared" si="7"/>
        <v>216765.75679872185</v>
      </c>
      <c r="T25" s="134">
        <f t="shared" si="8"/>
        <v>46987393320.522629</v>
      </c>
    </row>
    <row r="26" spans="1:30" x14ac:dyDescent="0.2">
      <c r="A26" s="47">
        <v>43100</v>
      </c>
      <c r="B26" s="48">
        <f>Inputs!D83</f>
        <v>15312049.84</v>
      </c>
      <c r="C26" s="48">
        <f>Inputs!E83</f>
        <v>29462.42</v>
      </c>
      <c r="D26" s="48">
        <f t="shared" si="0"/>
        <v>15341512.26</v>
      </c>
      <c r="E26" s="48">
        <f>Inputs!AE83</f>
        <v>768931.66999999993</v>
      </c>
      <c r="F26" s="48">
        <v>3124271.8600000003</v>
      </c>
      <c r="G26" s="48">
        <f t="shared" si="3"/>
        <v>11448308.73</v>
      </c>
      <c r="H26" s="48">
        <f>'Weather Analysis'!F19</f>
        <v>730</v>
      </c>
      <c r="I26" s="48">
        <f>'Weather Analysis'!F38</f>
        <v>0</v>
      </c>
      <c r="J26" s="48">
        <v>31</v>
      </c>
      <c r="K26" s="110">
        <v>0</v>
      </c>
      <c r="L26" s="48">
        <f>Inputs!G83+Inputs!I83+Inputs!L83+Inputs!O83+Inputs!R83+Inputs!AA83</f>
        <v>7190</v>
      </c>
      <c r="M26" s="48">
        <v>0</v>
      </c>
      <c r="N26" s="48">
        <f t="shared" si="4"/>
        <v>11535895.737776276</v>
      </c>
      <c r="O26" s="32">
        <f t="shared" si="5"/>
        <v>87587.007776275277</v>
      </c>
      <c r="P26" s="41">
        <f t="shared" si="6"/>
        <v>7.6506504010287356E-3</v>
      </c>
      <c r="Q26" s="12">
        <f t="shared" si="9"/>
        <v>7.6506504010287356E-3</v>
      </c>
      <c r="R26" s="134">
        <f t="shared" si="2"/>
        <v>7671483931.2013063</v>
      </c>
      <c r="S26" s="134">
        <f t="shared" si="7"/>
        <v>-110024.82754593715</v>
      </c>
      <c r="T26" s="134">
        <f t="shared" si="8"/>
        <v>12105462676.51321</v>
      </c>
    </row>
    <row r="27" spans="1:30" x14ac:dyDescent="0.2">
      <c r="A27" s="47">
        <v>43131</v>
      </c>
      <c r="B27" s="48">
        <f>Inputs!D84</f>
        <v>16892328.899999995</v>
      </c>
      <c r="C27" s="48">
        <f>Inputs!E84</f>
        <v>37099.270000000004</v>
      </c>
      <c r="D27" s="48">
        <f t="shared" si="0"/>
        <v>16929428.169999994</v>
      </c>
      <c r="E27" s="48">
        <f>Inputs!AE84</f>
        <v>920893.58000000007</v>
      </c>
      <c r="F27" s="48">
        <v>3911965.81</v>
      </c>
      <c r="G27" s="48">
        <f t="shared" si="3"/>
        <v>12096568.779999994</v>
      </c>
      <c r="H27" s="48">
        <f>'Weather Analysis'!G8</f>
        <v>764.80000000000007</v>
      </c>
      <c r="I27" s="48">
        <f>'Weather Analysis'!G27</f>
        <v>0</v>
      </c>
      <c r="J27" s="48">
        <v>31</v>
      </c>
      <c r="K27" s="110">
        <v>0</v>
      </c>
      <c r="L27" s="48">
        <f>Inputs!G84+Inputs!I84+Inputs!L84+Inputs!O84+Inputs!R84+Inputs!AA84</f>
        <v>7199</v>
      </c>
      <c r="M27" s="48">
        <v>0</v>
      </c>
      <c r="N27" s="48">
        <f>$W$18+$W$19*H27+$W$20*I27+$W$21*J27+$W$22*K27+$W$23*L27+M27*$W$24</f>
        <v>11610119.291854495</v>
      </c>
      <c r="O27" s="32">
        <f t="shared" si="5"/>
        <v>-486449.48814549856</v>
      </c>
      <c r="P27" s="41">
        <f t="shared" si="6"/>
        <v>-4.0213840552022949E-2</v>
      </c>
      <c r="Q27" s="12">
        <f t="shared" si="9"/>
        <v>4.0213840552022949E-2</v>
      </c>
      <c r="R27" s="134">
        <f t="shared" si="2"/>
        <v>236633104517.01755</v>
      </c>
      <c r="S27" s="134">
        <f t="shared" si="7"/>
        <v>-574036.49592177384</v>
      </c>
      <c r="T27" s="134">
        <f t="shared" si="8"/>
        <v>329517898650.14868</v>
      </c>
    </row>
    <row r="28" spans="1:30" x14ac:dyDescent="0.2">
      <c r="A28" s="47">
        <v>43159</v>
      </c>
      <c r="B28" s="48">
        <f>Inputs!D85</f>
        <v>14940711.98</v>
      </c>
      <c r="C28" s="48">
        <f>Inputs!E85</f>
        <v>50870.44</v>
      </c>
      <c r="D28" s="48">
        <f t="shared" si="0"/>
        <v>14991582.42</v>
      </c>
      <c r="E28" s="48">
        <f>Inputs!AE85</f>
        <v>760193.62</v>
      </c>
      <c r="F28" s="48">
        <v>3678957.04</v>
      </c>
      <c r="G28" s="48">
        <f t="shared" si="3"/>
        <v>10552431.760000002</v>
      </c>
      <c r="H28" s="48">
        <f>'Weather Analysis'!G9</f>
        <v>585</v>
      </c>
      <c r="I28" s="48">
        <f>'Weather Analysis'!G28</f>
        <v>0</v>
      </c>
      <c r="J28" s="48">
        <v>28</v>
      </c>
      <c r="K28" s="110">
        <v>0</v>
      </c>
      <c r="L28" s="48">
        <f>Inputs!G85+Inputs!I85+Inputs!L85+Inputs!O85+Inputs!R85+Inputs!AA85</f>
        <v>7202</v>
      </c>
      <c r="M28" s="48">
        <v>0</v>
      </c>
      <c r="N28" s="48">
        <f>$W$18+$W$19*H28+$W$20*I28+$W$21*J28+$W$22*K28+$W$23*L28+M28*$W$24</f>
        <v>10243569.812873976</v>
      </c>
      <c r="O28" s="32">
        <f t="shared" si="5"/>
        <v>-308861.94712602533</v>
      </c>
      <c r="P28" s="41">
        <f t="shared" si="6"/>
        <v>-2.926926742106933E-2</v>
      </c>
      <c r="Q28" s="12">
        <f t="shared" si="9"/>
        <v>2.926926742106933E-2</v>
      </c>
      <c r="R28" s="134">
        <f t="shared" si="2"/>
        <v>95395702382.479675</v>
      </c>
      <c r="S28" s="134">
        <f t="shared" si="7"/>
        <v>177587.54101947322</v>
      </c>
      <c r="T28" s="134">
        <f t="shared" si="8"/>
        <v>31537334725.343086</v>
      </c>
      <c r="V28" t="s">
        <v>136</v>
      </c>
      <c r="W28" s="143">
        <f>T87</f>
        <v>16438527458152.951</v>
      </c>
    </row>
    <row r="29" spans="1:30" x14ac:dyDescent="0.2">
      <c r="A29" s="47">
        <v>43190</v>
      </c>
      <c r="B29" s="48">
        <f>Inputs!D86</f>
        <v>15870053.460000001</v>
      </c>
      <c r="C29" s="48">
        <f>Inputs!E86</f>
        <v>157401.99</v>
      </c>
      <c r="D29" s="48">
        <f t="shared" si="0"/>
        <v>16027455.450000001</v>
      </c>
      <c r="E29" s="48">
        <f>Inputs!AE86</f>
        <v>806290.22000000009</v>
      </c>
      <c r="F29" s="48">
        <v>3925852.3400000003</v>
      </c>
      <c r="G29" s="48">
        <f t="shared" si="3"/>
        <v>11295312.890000001</v>
      </c>
      <c r="H29" s="48">
        <f>'Weather Analysis'!G10</f>
        <v>591.50000000000011</v>
      </c>
      <c r="I29" s="48">
        <f>'Weather Analysis'!G29</f>
        <v>0</v>
      </c>
      <c r="J29" s="48">
        <v>31</v>
      </c>
      <c r="K29" s="110">
        <v>1</v>
      </c>
      <c r="L29" s="48">
        <f>Inputs!G86+Inputs!I86+Inputs!L86+Inputs!O86+Inputs!R86+Inputs!AA86</f>
        <v>7212</v>
      </c>
      <c r="M29" s="48">
        <v>0</v>
      </c>
      <c r="N29" s="48">
        <f t="shared" si="4"/>
        <v>10853606.942568399</v>
      </c>
      <c r="O29" s="32">
        <f t="shared" si="5"/>
        <v>-441705.94743160158</v>
      </c>
      <c r="P29" s="41">
        <f t="shared" si="6"/>
        <v>-3.910524230122514E-2</v>
      </c>
      <c r="Q29" s="12">
        <f t="shared" si="9"/>
        <v>3.910524230122514E-2</v>
      </c>
      <c r="R29" s="134">
        <f t="shared" si="2"/>
        <v>195104143996.44879</v>
      </c>
      <c r="S29" s="134">
        <f t="shared" si="7"/>
        <v>-132844.00030557625</v>
      </c>
      <c r="T29" s="134">
        <f t="shared" si="8"/>
        <v>17647528417.187943</v>
      </c>
      <c r="V29" t="s">
        <v>137</v>
      </c>
      <c r="W29" s="143">
        <f>R87</f>
        <v>15623549459794.395</v>
      </c>
    </row>
    <row r="30" spans="1:30" x14ac:dyDescent="0.2">
      <c r="A30" s="47">
        <v>43220</v>
      </c>
      <c r="B30" s="48">
        <f>Inputs!D87</f>
        <v>14690754.840000002</v>
      </c>
      <c r="C30" s="48">
        <f>Inputs!E87</f>
        <v>155665.48000000001</v>
      </c>
      <c r="D30" s="48">
        <f t="shared" si="0"/>
        <v>14846420.320000002</v>
      </c>
      <c r="E30" s="48">
        <f>Inputs!AE87</f>
        <v>722326.02</v>
      </c>
      <c r="F30" s="48">
        <v>3713769.13</v>
      </c>
      <c r="G30" s="48">
        <f t="shared" si="3"/>
        <v>10410325.170000002</v>
      </c>
      <c r="H30" s="48">
        <f>'Weather Analysis'!G11</f>
        <v>454.2000000000001</v>
      </c>
      <c r="I30" s="48">
        <f>'Weather Analysis'!G30</f>
        <v>0</v>
      </c>
      <c r="J30" s="48">
        <v>30</v>
      </c>
      <c r="K30" s="110">
        <v>1</v>
      </c>
      <c r="L30" s="48">
        <f>Inputs!G87+Inputs!I87+Inputs!L87+Inputs!O87+Inputs!R87+Inputs!AA87</f>
        <v>7220</v>
      </c>
      <c r="M30" s="48">
        <v>0</v>
      </c>
      <c r="N30" s="48">
        <f t="shared" si="4"/>
        <v>10288219.043987263</v>
      </c>
      <c r="O30" s="32">
        <f t="shared" si="5"/>
        <v>-122106.12601273879</v>
      </c>
      <c r="P30" s="41">
        <f t="shared" si="6"/>
        <v>-1.1729328721125698E-2</v>
      </c>
      <c r="Q30" s="12">
        <f t="shared" si="9"/>
        <v>1.1729328721125698E-2</v>
      </c>
      <c r="R30" s="134">
        <f t="shared" si="2"/>
        <v>14909906009.838846</v>
      </c>
      <c r="S30" s="134">
        <f t="shared" si="7"/>
        <v>319599.82141886279</v>
      </c>
      <c r="T30" s="134">
        <f t="shared" si="8"/>
        <v>102144045850.96898</v>
      </c>
    </row>
    <row r="31" spans="1:30" x14ac:dyDescent="0.2">
      <c r="A31" s="47">
        <v>43251</v>
      </c>
      <c r="B31" s="48">
        <f>Inputs!D88</f>
        <v>15199975.959999999</v>
      </c>
      <c r="C31" s="48">
        <f>Inputs!E88</f>
        <v>229192.52000000002</v>
      </c>
      <c r="D31" s="48">
        <f t="shared" si="0"/>
        <v>15429168.479999999</v>
      </c>
      <c r="E31" s="48">
        <f>Inputs!AE88</f>
        <v>825640.29</v>
      </c>
      <c r="F31" s="48">
        <v>3812144.22</v>
      </c>
      <c r="G31" s="48">
        <f t="shared" si="3"/>
        <v>10791383.969999997</v>
      </c>
      <c r="H31" s="48">
        <f>'Weather Analysis'!G12</f>
        <v>83.5</v>
      </c>
      <c r="I31" s="48">
        <f>'Weather Analysis'!G31</f>
        <v>36.900000000000006</v>
      </c>
      <c r="J31" s="48">
        <v>31</v>
      </c>
      <c r="K31" s="110">
        <v>1</v>
      </c>
      <c r="L31" s="48">
        <f>Inputs!G88+Inputs!I88+Inputs!L88+Inputs!O88+Inputs!R88+Inputs!AA88</f>
        <v>7230</v>
      </c>
      <c r="M31" s="48">
        <v>0</v>
      </c>
      <c r="N31" s="48">
        <f t="shared" si="4"/>
        <v>11102406.02944093</v>
      </c>
      <c r="O31" s="32">
        <f t="shared" si="5"/>
        <v>311022.05944093317</v>
      </c>
      <c r="P31" s="41">
        <f t="shared" si="6"/>
        <v>2.8821331935326665E-2</v>
      </c>
      <c r="Q31" s="12">
        <f t="shared" ref="Q31:Q86" si="10">ABS(P31)</f>
        <v>2.8821331935326665E-2</v>
      </c>
      <c r="R31" s="134">
        <f t="shared" si="2"/>
        <v>96734721458.879364</v>
      </c>
      <c r="S31" s="134">
        <f t="shared" si="7"/>
        <v>433128.18545367196</v>
      </c>
      <c r="T31" s="134">
        <f t="shared" si="8"/>
        <v>187600025034.39044</v>
      </c>
      <c r="V31" t="s">
        <v>138</v>
      </c>
      <c r="W31" s="156">
        <f>W28/W29</f>
        <v>1.0521634344651207</v>
      </c>
    </row>
    <row r="32" spans="1:30" x14ac:dyDescent="0.2">
      <c r="A32" s="47">
        <v>43281</v>
      </c>
      <c r="B32" s="48">
        <f>Inputs!D89</f>
        <v>15726339.940000001</v>
      </c>
      <c r="C32" s="48">
        <f>Inputs!E89</f>
        <v>208452.3</v>
      </c>
      <c r="D32" s="48">
        <f t="shared" ref="D32:D95" si="11">B32+C32</f>
        <v>15934792.240000002</v>
      </c>
      <c r="E32" s="48">
        <f>Inputs!AE89</f>
        <v>784226.41</v>
      </c>
      <c r="F32" s="48">
        <v>3559018.29</v>
      </c>
      <c r="G32" s="48">
        <f t="shared" si="3"/>
        <v>11591547.540000003</v>
      </c>
      <c r="H32" s="48">
        <f>'Weather Analysis'!G13</f>
        <v>22.600000000000005</v>
      </c>
      <c r="I32" s="48">
        <f>'Weather Analysis'!G32</f>
        <v>45.9</v>
      </c>
      <c r="J32" s="48">
        <v>30</v>
      </c>
      <c r="K32" s="110">
        <v>0</v>
      </c>
      <c r="L32" s="48">
        <f>Inputs!G89+Inputs!I89+Inputs!L89+Inputs!O89+Inputs!R89+Inputs!AA89</f>
        <v>7247</v>
      </c>
      <c r="M32" s="48">
        <v>0</v>
      </c>
      <c r="N32" s="48">
        <f t="shared" si="4"/>
        <v>11433500.464466084</v>
      </c>
      <c r="O32" s="32">
        <f t="shared" si="5"/>
        <v>-158047.07553391904</v>
      </c>
      <c r="P32" s="41">
        <f t="shared" si="6"/>
        <v>-1.3634682943630407E-2</v>
      </c>
      <c r="Q32" s="12">
        <f t="shared" si="10"/>
        <v>1.3634682943630407E-2</v>
      </c>
      <c r="R32" s="134">
        <f t="shared" si="2"/>
        <v>24978878084.82431</v>
      </c>
      <c r="S32" s="134">
        <f t="shared" si="7"/>
        <v>-469069.1349748522</v>
      </c>
      <c r="T32" s="134">
        <f t="shared" si="8"/>
        <v>220025853386.05612</v>
      </c>
    </row>
    <row r="33" spans="1:20" x14ac:dyDescent="0.2">
      <c r="A33" s="47">
        <v>43312</v>
      </c>
      <c r="B33" s="48">
        <f>Inputs!D90</f>
        <v>17253025.84</v>
      </c>
      <c r="C33" s="48">
        <f>Inputs!E90</f>
        <v>237873.48</v>
      </c>
      <c r="D33" s="48">
        <f t="shared" si="11"/>
        <v>17490899.32</v>
      </c>
      <c r="E33" s="48">
        <f>Inputs!AE90</f>
        <v>792777.92999999993</v>
      </c>
      <c r="F33" s="48">
        <v>3396535.0500000003</v>
      </c>
      <c r="G33" s="48">
        <f t="shared" si="3"/>
        <v>13301586.34</v>
      </c>
      <c r="H33" s="48">
        <f>'Weather Analysis'!G14</f>
        <v>3.6</v>
      </c>
      <c r="I33" s="48">
        <f>'Weather Analysis'!G33</f>
        <v>91.499999999999986</v>
      </c>
      <c r="J33" s="48">
        <v>31</v>
      </c>
      <c r="K33" s="110">
        <v>0</v>
      </c>
      <c r="L33" s="48">
        <f>Inputs!G90+Inputs!I90+Inputs!L90+Inputs!O90+Inputs!R90+Inputs!AA90</f>
        <v>7270</v>
      </c>
      <c r="M33" s="48">
        <v>0</v>
      </c>
      <c r="N33" s="48">
        <f t="shared" si="4"/>
        <v>13080870.820067955</v>
      </c>
      <c r="O33" s="32">
        <f t="shared" si="5"/>
        <v>-220715.51993204467</v>
      </c>
      <c r="P33" s="41">
        <f t="shared" si="6"/>
        <v>-1.6593172745743699E-2</v>
      </c>
      <c r="Q33" s="12">
        <f t="shared" si="10"/>
        <v>1.6593172745743699E-2</v>
      </c>
      <c r="R33" s="134">
        <f t="shared" si="2"/>
        <v>48715340738.87281</v>
      </c>
      <c r="S33" s="134">
        <f t="shared" si="7"/>
        <v>-62668.444398125634</v>
      </c>
      <c r="T33" s="134">
        <f t="shared" si="8"/>
        <v>3927333923.2809639</v>
      </c>
    </row>
    <row r="34" spans="1:20" x14ac:dyDescent="0.2">
      <c r="A34" s="47">
        <v>43343</v>
      </c>
      <c r="B34" s="48">
        <f>Inputs!D91</f>
        <v>17560844.650000006</v>
      </c>
      <c r="C34" s="48">
        <f>Inputs!E91</f>
        <v>198710.13</v>
      </c>
      <c r="D34" s="48">
        <f t="shared" si="11"/>
        <v>17759554.780000005</v>
      </c>
      <c r="E34" s="48">
        <f>Inputs!AE91</f>
        <v>827923.55</v>
      </c>
      <c r="F34" s="48">
        <v>3522903.7199999997</v>
      </c>
      <c r="G34" s="48">
        <f t="shared" si="3"/>
        <v>13408727.510000005</v>
      </c>
      <c r="H34" s="48">
        <f>'Weather Analysis'!G15</f>
        <v>3.5999999999999996</v>
      </c>
      <c r="I34" s="48">
        <f>'Weather Analysis'!G34</f>
        <v>107.3</v>
      </c>
      <c r="J34" s="48">
        <v>31</v>
      </c>
      <c r="K34" s="110">
        <v>0</v>
      </c>
      <c r="L34" s="48">
        <f>Inputs!G91+Inputs!I91+Inputs!L91+Inputs!O91+Inputs!R91+Inputs!AA91</f>
        <v>7289</v>
      </c>
      <c r="M34" s="48">
        <v>0</v>
      </c>
      <c r="N34" s="48">
        <f t="shared" si="4"/>
        <v>13559543.101236638</v>
      </c>
      <c r="O34" s="32">
        <f t="shared" si="5"/>
        <v>150815.59123663232</v>
      </c>
      <c r="P34" s="41">
        <f t="shared" si="6"/>
        <v>1.1247569251008834E-2</v>
      </c>
      <c r="Q34" s="12">
        <f t="shared" si="10"/>
        <v>1.1247569251008834E-2</v>
      </c>
      <c r="R34" s="134">
        <f t="shared" si="2"/>
        <v>22745342560.054966</v>
      </c>
      <c r="S34" s="134">
        <f t="shared" si="7"/>
        <v>371531.11116867699</v>
      </c>
      <c r="T34" s="134">
        <f t="shared" si="8"/>
        <v>138035366566.23181</v>
      </c>
    </row>
    <row r="35" spans="1:20" x14ac:dyDescent="0.2">
      <c r="A35" s="47">
        <v>43373</v>
      </c>
      <c r="B35" s="48">
        <f>Inputs!D92</f>
        <v>15504314.149999997</v>
      </c>
      <c r="C35" s="48">
        <f>Inputs!E92</f>
        <v>151817.58000000002</v>
      </c>
      <c r="D35" s="48">
        <f t="shared" si="11"/>
        <v>15656131.729999997</v>
      </c>
      <c r="E35" s="48">
        <f>Inputs!AE92</f>
        <v>797357.40999999992</v>
      </c>
      <c r="F35" s="48">
        <v>3371795.6599999997</v>
      </c>
      <c r="G35" s="48">
        <f t="shared" si="3"/>
        <v>11486978.659999996</v>
      </c>
      <c r="H35" s="48">
        <f>'Weather Analysis'!G16</f>
        <v>68.699999999999989</v>
      </c>
      <c r="I35" s="48">
        <f>'Weather Analysis'!G35</f>
        <v>58.699999999999996</v>
      </c>
      <c r="J35" s="48">
        <v>30</v>
      </c>
      <c r="K35" s="110">
        <v>1</v>
      </c>
      <c r="L35" s="48">
        <f>Inputs!G92+Inputs!I92+Inputs!L92+Inputs!O92+Inputs!R92+Inputs!AA92</f>
        <v>7297</v>
      </c>
      <c r="M35" s="48">
        <v>0</v>
      </c>
      <c r="N35" s="48">
        <f t="shared" si="4"/>
        <v>11460993.61111659</v>
      </c>
      <c r="O35" s="32">
        <f t="shared" si="5"/>
        <v>-25985.048883406445</v>
      </c>
      <c r="P35" s="41">
        <f t="shared" si="6"/>
        <v>-2.2621308572541958E-3</v>
      </c>
      <c r="Q35" s="12">
        <f t="shared" si="10"/>
        <v>2.2621308572541958E-3</v>
      </c>
      <c r="R35" s="134">
        <f t="shared" si="2"/>
        <v>675222765.47302258</v>
      </c>
      <c r="S35" s="134">
        <f t="shared" si="7"/>
        <v>-176800.64012003876</v>
      </c>
      <c r="T35" s="134">
        <f t="shared" si="8"/>
        <v>31258466346.855461</v>
      </c>
    </row>
    <row r="36" spans="1:20" x14ac:dyDescent="0.2">
      <c r="A36" s="47">
        <v>43404</v>
      </c>
      <c r="B36" s="48">
        <f>Inputs!D93</f>
        <v>15079922.620000003</v>
      </c>
      <c r="C36" s="48">
        <f>Inputs!E93</f>
        <v>103570.98</v>
      </c>
      <c r="D36" s="48">
        <f t="shared" si="11"/>
        <v>15183493.600000003</v>
      </c>
      <c r="E36" s="48">
        <f>Inputs!AE93</f>
        <v>847707.74</v>
      </c>
      <c r="F36" s="48">
        <v>3547208.5700000003</v>
      </c>
      <c r="G36" s="48">
        <f t="shared" si="3"/>
        <v>10788577.290000003</v>
      </c>
      <c r="H36" s="48">
        <f>'Weather Analysis'!G17</f>
        <v>293.89999999999998</v>
      </c>
      <c r="I36" s="48">
        <f>'Weather Analysis'!G36</f>
        <v>8.9</v>
      </c>
      <c r="J36" s="48">
        <v>31</v>
      </c>
      <c r="K36" s="110">
        <v>1</v>
      </c>
      <c r="L36" s="48">
        <f>Inputs!G93+Inputs!I93+Inputs!L93+Inputs!O93+Inputs!R93+Inputs!AA93</f>
        <v>7309</v>
      </c>
      <c r="M36" s="48">
        <v>0</v>
      </c>
      <c r="N36" s="48">
        <f t="shared" si="4"/>
        <v>10821817.881292125</v>
      </c>
      <c r="O36" s="32">
        <f t="shared" si="5"/>
        <v>33240.591292122379</v>
      </c>
      <c r="P36" s="41">
        <f t="shared" si="6"/>
        <v>3.0810912689046852E-3</v>
      </c>
      <c r="Q36" s="12">
        <f t="shared" si="10"/>
        <v>3.0810912689046852E-3</v>
      </c>
      <c r="R36" s="134">
        <f t="shared" si="2"/>
        <v>1104936909.4499221</v>
      </c>
      <c r="S36" s="134">
        <f t="shared" si="7"/>
        <v>59225.640175528824</v>
      </c>
      <c r="T36" s="134">
        <f t="shared" si="8"/>
        <v>3507676454.2012138</v>
      </c>
    </row>
    <row r="37" spans="1:20" x14ac:dyDescent="0.2">
      <c r="A37" s="47">
        <v>43434</v>
      </c>
      <c r="B37" s="48">
        <f>Inputs!D94</f>
        <v>15240429.750000002</v>
      </c>
      <c r="C37" s="48">
        <f>Inputs!E94</f>
        <v>36530.949999999997</v>
      </c>
      <c r="D37" s="48">
        <f t="shared" si="11"/>
        <v>15276960.700000001</v>
      </c>
      <c r="E37" s="48">
        <f>Inputs!AE94</f>
        <v>844669.66999999993</v>
      </c>
      <c r="F37" s="48">
        <v>3441518.25</v>
      </c>
      <c r="G37" s="48">
        <f t="shared" si="3"/>
        <v>10990772.780000001</v>
      </c>
      <c r="H37" s="48">
        <f>'Weather Analysis'!G18</f>
        <v>526.9</v>
      </c>
      <c r="I37" s="48">
        <f>'Weather Analysis'!G37</f>
        <v>0</v>
      </c>
      <c r="J37" s="48">
        <v>30</v>
      </c>
      <c r="K37" s="110">
        <v>0</v>
      </c>
      <c r="L37" s="48">
        <f>Inputs!G94+Inputs!I94+Inputs!L94+Inputs!O94+Inputs!R94+Inputs!AA94</f>
        <v>7309</v>
      </c>
      <c r="M37" s="48">
        <v>0</v>
      </c>
      <c r="N37" s="48">
        <f t="shared" si="4"/>
        <v>11091526.175673716</v>
      </c>
      <c r="O37" s="32">
        <f t="shared" si="5"/>
        <v>100753.39567371458</v>
      </c>
      <c r="P37" s="41">
        <f t="shared" si="6"/>
        <v>9.1670893112317225E-3</v>
      </c>
      <c r="Q37" s="12">
        <f t="shared" si="10"/>
        <v>9.1670893112317225E-3</v>
      </c>
      <c r="R37" s="134">
        <f t="shared" si="2"/>
        <v>10151246739.784088</v>
      </c>
      <c r="S37" s="134">
        <f t="shared" si="7"/>
        <v>67512.804381592199</v>
      </c>
      <c r="T37" s="134">
        <f t="shared" si="8"/>
        <v>4557978755.4671345</v>
      </c>
    </row>
    <row r="38" spans="1:20" x14ac:dyDescent="0.2">
      <c r="A38" s="47">
        <v>43465</v>
      </c>
      <c r="B38" s="48">
        <f>Inputs!D95</f>
        <v>14436070.189999999</v>
      </c>
      <c r="C38" s="48">
        <f>Inputs!E95</f>
        <v>31997.420000000002</v>
      </c>
      <c r="D38" s="48">
        <f t="shared" si="11"/>
        <v>14468067.609999999</v>
      </c>
      <c r="E38" s="48">
        <f>Inputs!AE95</f>
        <v>620430.38</v>
      </c>
      <c r="F38" s="48">
        <v>2779734.3800000004</v>
      </c>
      <c r="G38" s="48">
        <f t="shared" si="3"/>
        <v>11067902.849999998</v>
      </c>
      <c r="H38" s="48">
        <f>'Weather Analysis'!G19</f>
        <v>573.5</v>
      </c>
      <c r="I38" s="48">
        <f>'Weather Analysis'!G38</f>
        <v>0</v>
      </c>
      <c r="J38" s="48">
        <v>31</v>
      </c>
      <c r="K38" s="110">
        <v>0</v>
      </c>
      <c r="L38" s="48">
        <f>Inputs!G95+Inputs!I95+Inputs!L95+Inputs!O95+Inputs!R95+Inputs!AA95</f>
        <v>7329</v>
      </c>
      <c r="M38" s="48">
        <v>0</v>
      </c>
      <c r="N38" s="48">
        <f t="shared" si="4"/>
        <v>11568518.234922102</v>
      </c>
      <c r="O38" s="32">
        <f t="shared" si="5"/>
        <v>500615.38492210396</v>
      </c>
      <c r="P38" s="41">
        <f t="shared" si="6"/>
        <v>4.5231277479283627E-2</v>
      </c>
      <c r="Q38" s="12">
        <f t="shared" si="10"/>
        <v>4.5231277479283627E-2</v>
      </c>
      <c r="R38" s="134">
        <f t="shared" si="2"/>
        <v>250615763620.7063</v>
      </c>
      <c r="S38" s="134">
        <f t="shared" si="7"/>
        <v>399861.98924838938</v>
      </c>
      <c r="T38" s="134">
        <f t="shared" si="8"/>
        <v>159889610445.67908</v>
      </c>
    </row>
    <row r="39" spans="1:20" x14ac:dyDescent="0.2">
      <c r="A39" s="47">
        <v>43496</v>
      </c>
      <c r="B39" s="48">
        <f>Inputs!D96</f>
        <v>16295154.600000001</v>
      </c>
      <c r="C39" s="48">
        <f>Inputs!E96</f>
        <v>46539.969999999994</v>
      </c>
      <c r="D39" s="48">
        <f t="shared" si="11"/>
        <v>16341694.570000002</v>
      </c>
      <c r="E39" s="48">
        <f>Inputs!AE96</f>
        <v>407405.83</v>
      </c>
      <c r="F39" s="48">
        <v>3683035.57</v>
      </c>
      <c r="G39" s="48">
        <f t="shared" si="3"/>
        <v>12251253.170000002</v>
      </c>
      <c r="H39" s="48">
        <f>'Weather Analysis'!H8</f>
        <v>778.9</v>
      </c>
      <c r="I39" s="48">
        <f>'Weather Analysis'!H27</f>
        <v>0</v>
      </c>
      <c r="J39" s="48">
        <v>31</v>
      </c>
      <c r="K39" s="110">
        <v>0</v>
      </c>
      <c r="L39" s="48">
        <f>Inputs!G96+Inputs!I96+Inputs!L96+Inputs!O96+Inputs!R96+Inputs!AA96</f>
        <v>7335</v>
      </c>
      <c r="M39" s="48">
        <v>0</v>
      </c>
      <c r="N39" s="48">
        <f t="shared" si="4"/>
        <v>11910406.021643423</v>
      </c>
      <c r="O39" s="32">
        <f t="shared" si="5"/>
        <v>-340847.14835657924</v>
      </c>
      <c r="P39" s="41">
        <f t="shared" si="6"/>
        <v>-2.7821410889722002E-2</v>
      </c>
      <c r="Q39" s="12">
        <f t="shared" si="10"/>
        <v>2.7821410889722002E-2</v>
      </c>
      <c r="R39" s="134">
        <f t="shared" si="2"/>
        <v>116176778542.81194</v>
      </c>
      <c r="S39" s="134">
        <f t="shared" si="7"/>
        <v>-841462.5332786832</v>
      </c>
      <c r="T39" s="134">
        <f t="shared" si="8"/>
        <v>708059194911.77905</v>
      </c>
    </row>
    <row r="40" spans="1:20" x14ac:dyDescent="0.2">
      <c r="A40" s="47">
        <v>43524</v>
      </c>
      <c r="B40" s="48">
        <f>Inputs!D97</f>
        <v>14247811.720000001</v>
      </c>
      <c r="C40" s="48">
        <f>Inputs!E97</f>
        <v>62626.71</v>
      </c>
      <c r="D40" s="48">
        <f t="shared" si="11"/>
        <v>14310438.430000002</v>
      </c>
      <c r="E40" s="48">
        <f>Inputs!AE97</f>
        <v>332490.93</v>
      </c>
      <c r="F40" s="48">
        <v>3240575.56</v>
      </c>
      <c r="G40" s="48">
        <f t="shared" si="3"/>
        <v>10737371.940000001</v>
      </c>
      <c r="H40" s="48">
        <f>'Weather Analysis'!H9</f>
        <v>636.20000000000005</v>
      </c>
      <c r="I40" s="48">
        <f>'Weather Analysis'!H28</f>
        <v>0</v>
      </c>
      <c r="J40" s="48">
        <v>28</v>
      </c>
      <c r="K40" s="110">
        <v>0</v>
      </c>
      <c r="L40" s="48">
        <f>Inputs!G97+Inputs!I97+Inputs!L97+Inputs!O97+Inputs!R97+Inputs!AA97</f>
        <v>7343</v>
      </c>
      <c r="M40" s="48">
        <v>0</v>
      </c>
      <c r="N40" s="48">
        <f t="shared" si="4"/>
        <v>10613604.855870157</v>
      </c>
      <c r="O40" s="32">
        <f t="shared" si="5"/>
        <v>-123767.08412984386</v>
      </c>
      <c r="P40" s="41">
        <f t="shared" si="6"/>
        <v>-1.1526757648095763E-2</v>
      </c>
      <c r="Q40" s="12">
        <f t="shared" si="10"/>
        <v>1.1526757648095763E-2</v>
      </c>
      <c r="R40" s="134">
        <f t="shared" si="2"/>
        <v>15318291114.003849</v>
      </c>
      <c r="S40" s="134">
        <f t="shared" si="7"/>
        <v>217080.06422673538</v>
      </c>
      <c r="T40" s="134">
        <f t="shared" si="8"/>
        <v>47123754284.683556</v>
      </c>
    </row>
    <row r="41" spans="1:20" x14ac:dyDescent="0.2">
      <c r="A41" s="47">
        <v>43555</v>
      </c>
      <c r="B41" s="48">
        <f>Inputs!D98</f>
        <v>14861723.25</v>
      </c>
      <c r="C41" s="48">
        <f>Inputs!E98</f>
        <v>152139.06</v>
      </c>
      <c r="D41" s="48">
        <f t="shared" si="11"/>
        <v>15013862.310000001</v>
      </c>
      <c r="E41" s="48">
        <f>Inputs!AE98</f>
        <v>257080.83</v>
      </c>
      <c r="F41" s="48">
        <v>3459058.4499999997</v>
      </c>
      <c r="G41" s="48">
        <f t="shared" si="3"/>
        <v>11297723.030000001</v>
      </c>
      <c r="H41" s="48">
        <f>'Weather Analysis'!H10</f>
        <v>617</v>
      </c>
      <c r="I41" s="48">
        <f>'Weather Analysis'!H29</f>
        <v>0</v>
      </c>
      <c r="J41" s="48">
        <v>31</v>
      </c>
      <c r="K41" s="110">
        <v>1</v>
      </c>
      <c r="L41" s="48">
        <f>Inputs!G98+Inputs!I98+Inputs!L98+Inputs!O98+Inputs!R98+Inputs!AA98</f>
        <v>7347</v>
      </c>
      <c r="M41" s="48">
        <v>0</v>
      </c>
      <c r="N41" s="48">
        <f t="shared" si="4"/>
        <v>11170147.467203584</v>
      </c>
      <c r="O41" s="32">
        <f t="shared" si="5"/>
        <v>-127575.56279641762</v>
      </c>
      <c r="P41" s="41">
        <f t="shared" si="6"/>
        <v>-1.1292148201691009E-2</v>
      </c>
      <c r="Q41" s="12">
        <f t="shared" si="10"/>
        <v>1.1292148201691009E-2</v>
      </c>
      <c r="R41" s="134">
        <f t="shared" si="2"/>
        <v>16275524222.822697</v>
      </c>
      <c r="S41" s="134">
        <f t="shared" si="7"/>
        <v>-3808.4786665737629</v>
      </c>
      <c r="T41" s="134">
        <f t="shared" si="8"/>
        <v>14504509.753747467</v>
      </c>
    </row>
    <row r="42" spans="1:20" x14ac:dyDescent="0.2">
      <c r="A42" s="47">
        <v>43585</v>
      </c>
      <c r="B42" s="48">
        <f>Inputs!D99</f>
        <v>13124081.850000001</v>
      </c>
      <c r="C42" s="48">
        <f>Inputs!E99</f>
        <v>151196.49</v>
      </c>
      <c r="D42" s="48">
        <f t="shared" si="11"/>
        <v>13275278.340000002</v>
      </c>
      <c r="E42" s="48">
        <f>Inputs!AE99</f>
        <v>203874.13</v>
      </c>
      <c r="F42" s="48">
        <v>3178346.6399999997</v>
      </c>
      <c r="G42" s="48">
        <f t="shared" si="3"/>
        <v>9893057.5700000003</v>
      </c>
      <c r="H42" s="48">
        <f>'Weather Analysis'!H11</f>
        <v>346.60000000000014</v>
      </c>
      <c r="I42" s="48">
        <f>'Weather Analysis'!H30</f>
        <v>0</v>
      </c>
      <c r="J42" s="48">
        <v>30</v>
      </c>
      <c r="K42" s="110">
        <v>1</v>
      </c>
      <c r="L42" s="48">
        <f>Inputs!G99+Inputs!I99+Inputs!L99+Inputs!O99+Inputs!R99+Inputs!AA99</f>
        <v>7358</v>
      </c>
      <c r="M42" s="48">
        <v>0</v>
      </c>
      <c r="N42" s="48">
        <f t="shared" si="4"/>
        <v>10397277.570612134</v>
      </c>
      <c r="O42" s="32">
        <f t="shared" si="5"/>
        <v>504220.00061213411</v>
      </c>
      <c r="P42" s="41">
        <f t="shared" si="6"/>
        <v>5.0967054122998914E-2</v>
      </c>
      <c r="Q42" s="12">
        <f t="shared" si="10"/>
        <v>5.0967054122998914E-2</v>
      </c>
      <c r="R42" s="134">
        <f t="shared" si="2"/>
        <v>254237809017.30054</v>
      </c>
      <c r="S42" s="134">
        <f t="shared" si="7"/>
        <v>631795.56340855174</v>
      </c>
      <c r="T42" s="134">
        <f t="shared" si="8"/>
        <v>399165633942.72931</v>
      </c>
    </row>
    <row r="43" spans="1:20" x14ac:dyDescent="0.2">
      <c r="A43" s="47">
        <v>43616</v>
      </c>
      <c r="B43" s="48">
        <f>Inputs!D100</f>
        <v>13301422.26</v>
      </c>
      <c r="C43" s="48">
        <f>Inputs!E100</f>
        <v>191845.86</v>
      </c>
      <c r="D43" s="48">
        <f t="shared" si="11"/>
        <v>13493268.119999999</v>
      </c>
      <c r="E43" s="48">
        <f>Inputs!AE100</f>
        <v>178685.52999999997</v>
      </c>
      <c r="F43" s="48">
        <v>3335680.38</v>
      </c>
      <c r="G43" s="48">
        <f t="shared" si="3"/>
        <v>9978902.2100000009</v>
      </c>
      <c r="H43" s="48">
        <f>'Weather Analysis'!H12</f>
        <v>184.20000000000002</v>
      </c>
      <c r="I43" s="48">
        <f>'Weather Analysis'!H31</f>
        <v>2.2000000000000002</v>
      </c>
      <c r="J43" s="48">
        <v>31</v>
      </c>
      <c r="K43" s="110">
        <v>1</v>
      </c>
      <c r="L43" s="48">
        <f>Inputs!G100+Inputs!I100+Inputs!L100+Inputs!O100+Inputs!R100+Inputs!AA100</f>
        <v>7367</v>
      </c>
      <c r="M43" s="48">
        <v>0</v>
      </c>
      <c r="N43" s="48">
        <f t="shared" si="4"/>
        <v>10577645.690205099</v>
      </c>
      <c r="O43" s="32">
        <f t="shared" si="5"/>
        <v>598743.48020509817</v>
      </c>
      <c r="P43" s="41">
        <f t="shared" si="6"/>
        <v>6.000093673681748E-2</v>
      </c>
      <c r="Q43" s="12">
        <f t="shared" si="10"/>
        <v>6.000093673681748E-2</v>
      </c>
      <c r="R43" s="134">
        <f t="shared" si="2"/>
        <v>358493755088.11279</v>
      </c>
      <c r="S43" s="134">
        <f t="shared" si="7"/>
        <v>94523.479592964053</v>
      </c>
      <c r="T43" s="134">
        <f t="shared" si="8"/>
        <v>8934688194.3614922</v>
      </c>
    </row>
    <row r="44" spans="1:20" x14ac:dyDescent="0.2">
      <c r="A44" s="47">
        <v>43646</v>
      </c>
      <c r="B44" s="48">
        <f>Inputs!D101</f>
        <v>14098153.719999997</v>
      </c>
      <c r="C44" s="48">
        <f>Inputs!E101</f>
        <v>205535.26000000004</v>
      </c>
      <c r="D44" s="48">
        <f t="shared" si="11"/>
        <v>14303688.979999997</v>
      </c>
      <c r="E44" s="48">
        <f>Inputs!AE101</f>
        <v>166608.38999999998</v>
      </c>
      <c r="F44" s="48">
        <v>3264723.41</v>
      </c>
      <c r="G44" s="48">
        <f t="shared" si="3"/>
        <v>10872357.179999996</v>
      </c>
      <c r="H44" s="48">
        <f>'Weather Analysis'!H13</f>
        <v>37.800000000000004</v>
      </c>
      <c r="I44" s="48">
        <f>'Weather Analysis'!H32</f>
        <v>30.2</v>
      </c>
      <c r="J44" s="48">
        <v>30</v>
      </c>
      <c r="K44" s="110">
        <v>0</v>
      </c>
      <c r="L44" s="48">
        <f>Inputs!G101+Inputs!I101+Inputs!L101+Inputs!O101+Inputs!R101+Inputs!AA101</f>
        <v>7382</v>
      </c>
      <c r="M44" s="48">
        <v>0</v>
      </c>
      <c r="N44" s="48">
        <f t="shared" si="4"/>
        <v>11296413.201313598</v>
      </c>
      <c r="O44" s="32">
        <f t="shared" si="5"/>
        <v>424056.0213136021</v>
      </c>
      <c r="P44" s="41">
        <f t="shared" si="6"/>
        <v>3.9003135593601079E-2</v>
      </c>
      <c r="Q44" s="12">
        <f t="shared" si="10"/>
        <v>3.9003135593601079E-2</v>
      </c>
      <c r="R44" s="134">
        <f t="shared" si="2"/>
        <v>179823509212.32217</v>
      </c>
      <c r="S44" s="134">
        <f t="shared" si="7"/>
        <v>-174687.45889149606</v>
      </c>
      <c r="T44" s="134">
        <f t="shared" si="8"/>
        <v>30515708293.968128</v>
      </c>
    </row>
    <row r="45" spans="1:20" x14ac:dyDescent="0.2">
      <c r="A45" s="47">
        <v>43677</v>
      </c>
      <c r="B45" s="48">
        <f>Inputs!D102</f>
        <v>17237421.399999999</v>
      </c>
      <c r="C45" s="48">
        <f>Inputs!E102</f>
        <v>234680.17</v>
      </c>
      <c r="D45" s="48">
        <f t="shared" si="11"/>
        <v>17472101.57</v>
      </c>
      <c r="E45" s="48">
        <f>Inputs!AE102</f>
        <v>181458.09</v>
      </c>
      <c r="F45" s="48">
        <v>3433936.9</v>
      </c>
      <c r="G45" s="48">
        <f t="shared" si="3"/>
        <v>13856706.58</v>
      </c>
      <c r="H45" s="48">
        <f>'Weather Analysis'!H14</f>
        <v>0</v>
      </c>
      <c r="I45" s="48">
        <f>'Weather Analysis'!H33</f>
        <v>127.19999999999999</v>
      </c>
      <c r="J45" s="48">
        <v>31</v>
      </c>
      <c r="K45" s="110">
        <v>0</v>
      </c>
      <c r="L45" s="48">
        <f>Inputs!G102+Inputs!I102+Inputs!L102+Inputs!O102+Inputs!R102+Inputs!AA102</f>
        <v>7383</v>
      </c>
      <c r="M45" s="48">
        <v>0</v>
      </c>
      <c r="N45" s="48">
        <f t="shared" si="4"/>
        <v>14299704.766041072</v>
      </c>
      <c r="O45" s="32">
        <f t="shared" si="5"/>
        <v>442998.18604107201</v>
      </c>
      <c r="P45" s="41">
        <f t="shared" si="6"/>
        <v>3.1969947799895752E-2</v>
      </c>
      <c r="Q45" s="12">
        <f t="shared" si="10"/>
        <v>3.1969947799895752E-2</v>
      </c>
      <c r="R45" s="134">
        <f t="shared" si="2"/>
        <v>196247392835.68024</v>
      </c>
      <c r="S45" s="134">
        <f t="shared" si="7"/>
        <v>18942.164727469906</v>
      </c>
      <c r="T45" s="134">
        <f t="shared" si="8"/>
        <v>358805604.56260508</v>
      </c>
    </row>
    <row r="46" spans="1:20" x14ac:dyDescent="0.2">
      <c r="A46" s="47">
        <v>43708</v>
      </c>
      <c r="B46" s="48">
        <f>Inputs!D103</f>
        <v>16150313.539999997</v>
      </c>
      <c r="C46" s="48">
        <f>Inputs!E103</f>
        <v>220608.79000000004</v>
      </c>
      <c r="D46" s="48">
        <f t="shared" si="11"/>
        <v>16370922.329999998</v>
      </c>
      <c r="E46" s="48">
        <f>Inputs!AE103</f>
        <v>182486.43</v>
      </c>
      <c r="F46" s="48">
        <v>3410964.21</v>
      </c>
      <c r="G46" s="48">
        <f t="shared" si="3"/>
        <v>12777471.689999998</v>
      </c>
      <c r="H46" s="48">
        <f>'Weather Analysis'!H15</f>
        <v>11.099999999999998</v>
      </c>
      <c r="I46" s="48">
        <f>'Weather Analysis'!H34</f>
        <v>66.5</v>
      </c>
      <c r="J46" s="48">
        <v>31</v>
      </c>
      <c r="K46" s="110">
        <v>0</v>
      </c>
      <c r="L46" s="48">
        <f>Inputs!G103+Inputs!I103+Inputs!L103+Inputs!O103+Inputs!R103+Inputs!AA103</f>
        <v>7409</v>
      </c>
      <c r="M46" s="48">
        <v>0</v>
      </c>
      <c r="N46" s="48">
        <f t="shared" si="4"/>
        <v>12680674.78999426</v>
      </c>
      <c r="O46" s="32">
        <f t="shared" si="5"/>
        <v>-96796.90000573732</v>
      </c>
      <c r="P46" s="41">
        <f t="shared" si="6"/>
        <v>-7.5755910366440684E-3</v>
      </c>
      <c r="Q46" s="12">
        <f t="shared" si="10"/>
        <v>7.5755910366440684E-3</v>
      </c>
      <c r="R46" s="134">
        <f t="shared" si="2"/>
        <v>9369639850.7207088</v>
      </c>
      <c r="S46" s="134">
        <f t="shared" si="7"/>
        <v>-539795.08604680933</v>
      </c>
      <c r="T46" s="134">
        <f t="shared" si="8"/>
        <v>291378734920.28229</v>
      </c>
    </row>
    <row r="47" spans="1:20" x14ac:dyDescent="0.2">
      <c r="A47" s="47">
        <v>43738</v>
      </c>
      <c r="B47" s="48">
        <f>Inputs!D104</f>
        <v>14159844.92</v>
      </c>
      <c r="C47" s="48">
        <f>Inputs!E104</f>
        <v>176014.12</v>
      </c>
      <c r="D47" s="48">
        <f t="shared" si="11"/>
        <v>14335859.039999999</v>
      </c>
      <c r="E47" s="48">
        <f>Inputs!AE104</f>
        <v>174129.58999999997</v>
      </c>
      <c r="F47" s="48">
        <v>3388939.5999999996</v>
      </c>
      <c r="G47" s="48">
        <f t="shared" si="3"/>
        <v>10772789.85</v>
      </c>
      <c r="H47" s="48">
        <f>'Weather Analysis'!H16</f>
        <v>47.999999999999986</v>
      </c>
      <c r="I47" s="48">
        <f>'Weather Analysis'!H35</f>
        <v>23.6</v>
      </c>
      <c r="J47" s="48">
        <v>30</v>
      </c>
      <c r="K47" s="110">
        <v>1</v>
      </c>
      <c r="L47" s="48">
        <f>Inputs!G104+Inputs!I104+Inputs!L104+Inputs!O104+Inputs!R104+Inputs!AA104</f>
        <v>7446</v>
      </c>
      <c r="M47" s="48">
        <v>0</v>
      </c>
      <c r="N47" s="48">
        <f t="shared" si="4"/>
        <v>10754766.323414652</v>
      </c>
      <c r="O47" s="32">
        <f t="shared" si="5"/>
        <v>-18023.52658534795</v>
      </c>
      <c r="P47" s="41">
        <f t="shared" si="6"/>
        <v>-1.6730602598126381E-3</v>
      </c>
      <c r="Q47" s="12">
        <f t="shared" si="10"/>
        <v>1.6730602598126381E-3</v>
      </c>
      <c r="R47" s="134">
        <f t="shared" si="2"/>
        <v>324847510.57274437</v>
      </c>
      <c r="S47" s="134">
        <f t="shared" si="7"/>
        <v>78773.373420389369</v>
      </c>
      <c r="T47" s="134">
        <f t="shared" si="8"/>
        <v>6205244360.0281067</v>
      </c>
    </row>
    <row r="48" spans="1:20" x14ac:dyDescent="0.2">
      <c r="A48" s="47">
        <v>43769</v>
      </c>
      <c r="B48" s="48">
        <f>Inputs!D105</f>
        <v>13763436.57</v>
      </c>
      <c r="C48" s="48">
        <f>Inputs!E105</f>
        <v>131016.67999999998</v>
      </c>
      <c r="D48" s="48">
        <f t="shared" si="11"/>
        <v>13894453.25</v>
      </c>
      <c r="E48" s="48">
        <f>Inputs!AE105</f>
        <v>182414.28999999998</v>
      </c>
      <c r="F48" s="48">
        <v>3391531.8600000003</v>
      </c>
      <c r="G48" s="48">
        <f t="shared" si="3"/>
        <v>10320507.100000001</v>
      </c>
      <c r="H48" s="48">
        <f>'Weather Analysis'!H17</f>
        <v>248.3</v>
      </c>
      <c r="I48" s="48">
        <f>'Weather Analysis'!H36</f>
        <v>4.4000000000000004</v>
      </c>
      <c r="J48" s="48">
        <v>31</v>
      </c>
      <c r="K48" s="110">
        <v>1</v>
      </c>
      <c r="L48" s="48">
        <f>Inputs!G105+Inputs!I105+Inputs!L105+Inputs!O105+Inputs!R105+Inputs!AA105</f>
        <v>7456</v>
      </c>
      <c r="M48" s="48">
        <v>0</v>
      </c>
      <c r="N48" s="48">
        <f t="shared" si="4"/>
        <v>10923469.352846421</v>
      </c>
      <c r="O48" s="32">
        <f t="shared" si="5"/>
        <v>602962.25284641981</v>
      </c>
      <c r="P48" s="41">
        <f t="shared" si="6"/>
        <v>5.8423704087798137E-2</v>
      </c>
      <c r="Q48" s="12">
        <f t="shared" si="10"/>
        <v>5.8423704087798137E-2</v>
      </c>
      <c r="R48" s="134">
        <f t="shared" si="2"/>
        <v>363563478357.62988</v>
      </c>
      <c r="S48" s="134">
        <f t="shared" si="7"/>
        <v>620985.77943176776</v>
      </c>
      <c r="T48" s="134">
        <f t="shared" si="8"/>
        <v>385623338256.4801</v>
      </c>
    </row>
    <row r="49" spans="1:20" x14ac:dyDescent="0.2">
      <c r="A49" s="47">
        <v>43799</v>
      </c>
      <c r="B49" s="48">
        <f>Inputs!D106</f>
        <v>14270971.950000003</v>
      </c>
      <c r="C49" s="48">
        <f>Inputs!E106</f>
        <v>54537.3</v>
      </c>
      <c r="D49" s="48">
        <f t="shared" si="11"/>
        <v>14325509.250000004</v>
      </c>
      <c r="E49" s="48">
        <f>Inputs!AE106</f>
        <v>189033.54000000004</v>
      </c>
      <c r="F49" s="48">
        <v>3150961.7699999996</v>
      </c>
      <c r="G49" s="48">
        <f t="shared" si="3"/>
        <v>10985513.940000005</v>
      </c>
      <c r="H49" s="48">
        <f>'Weather Analysis'!H18</f>
        <v>527.1</v>
      </c>
      <c r="I49" s="48">
        <f>'Weather Analysis'!H37</f>
        <v>0</v>
      </c>
      <c r="J49" s="48">
        <v>30</v>
      </c>
      <c r="K49" s="110">
        <v>0</v>
      </c>
      <c r="L49" s="48">
        <f>Inputs!G106+Inputs!I106+Inputs!L106+Inputs!O106+Inputs!R106+Inputs!AA106</f>
        <v>7479</v>
      </c>
      <c r="M49" s="48">
        <v>0</v>
      </c>
      <c r="N49" s="48">
        <f t="shared" si="4"/>
        <v>11438919.909550505</v>
      </c>
      <c r="O49" s="32">
        <f t="shared" si="5"/>
        <v>453405.96955049969</v>
      </c>
      <c r="P49" s="41">
        <f t="shared" si="6"/>
        <v>4.1273077620845429E-2</v>
      </c>
      <c r="Q49" s="12">
        <f t="shared" si="10"/>
        <v>4.1273077620845429E-2</v>
      </c>
      <c r="R49" s="134">
        <f t="shared" si="2"/>
        <v>205576973224.02866</v>
      </c>
      <c r="S49" s="134">
        <f t="shared" si="7"/>
        <v>-149556.28329592012</v>
      </c>
      <c r="T49" s="134">
        <f t="shared" si="8"/>
        <v>22367081873.289516</v>
      </c>
    </row>
    <row r="50" spans="1:20" x14ac:dyDescent="0.2">
      <c r="A50" s="47">
        <v>43830</v>
      </c>
      <c r="B50" s="48">
        <f>Inputs!D107</f>
        <v>14104425.360000001</v>
      </c>
      <c r="C50" s="48">
        <f>Inputs!E107</f>
        <v>40652.15</v>
      </c>
      <c r="D50" s="48">
        <f t="shared" si="11"/>
        <v>14145077.510000002</v>
      </c>
      <c r="E50" s="48">
        <f>Inputs!AE107</f>
        <v>156379.99</v>
      </c>
      <c r="F50" s="48">
        <v>2676040.65</v>
      </c>
      <c r="G50" s="48">
        <f t="shared" si="3"/>
        <v>11312656.870000001</v>
      </c>
      <c r="H50" s="48">
        <f>'Weather Analysis'!H19</f>
        <v>535.89999999999986</v>
      </c>
      <c r="I50" s="48">
        <f>'Weather Analysis'!H38</f>
        <v>0</v>
      </c>
      <c r="J50" s="48">
        <v>31</v>
      </c>
      <c r="K50" s="110">
        <v>0</v>
      </c>
      <c r="L50" s="48">
        <f>Inputs!G107+Inputs!I107+Inputs!L107+Inputs!O107+Inputs!R107+Inputs!AA107</f>
        <v>7489</v>
      </c>
      <c r="M50" s="48">
        <v>0</v>
      </c>
      <c r="N50" s="48">
        <f t="shared" si="4"/>
        <v>11834832.231467938</v>
      </c>
      <c r="O50" s="32">
        <f t="shared" si="5"/>
        <v>522175.36146793701</v>
      </c>
      <c r="P50" s="41">
        <f t="shared" si="6"/>
        <v>4.6158507896822382E-2</v>
      </c>
      <c r="Q50" s="12">
        <f t="shared" si="10"/>
        <v>4.6158507896822382E-2</v>
      </c>
      <c r="R50" s="134">
        <f t="shared" si="2"/>
        <v>272667108124.17068</v>
      </c>
      <c r="S50" s="134">
        <f t="shared" si="7"/>
        <v>68769.391917437315</v>
      </c>
      <c r="T50" s="134">
        <f t="shared" si="8"/>
        <v>4729229264.6940928</v>
      </c>
    </row>
    <row r="51" spans="1:20" x14ac:dyDescent="0.2">
      <c r="A51" s="47">
        <v>43861</v>
      </c>
      <c r="B51" s="48">
        <f>Inputs!D108</f>
        <v>15014091.720000003</v>
      </c>
      <c r="C51" s="48">
        <f>Inputs!E108</f>
        <v>35136.76</v>
      </c>
      <c r="D51" s="48">
        <f t="shared" si="11"/>
        <v>15049228.480000002</v>
      </c>
      <c r="E51" s="48">
        <f>Inputs!AE108</f>
        <v>171026.52000000002</v>
      </c>
      <c r="F51" s="48">
        <v>3175805.51</v>
      </c>
      <c r="G51" s="48">
        <f t="shared" si="3"/>
        <v>11702396.450000003</v>
      </c>
      <c r="H51" s="48">
        <f>'Weather Analysis'!I8</f>
        <v>602.6</v>
      </c>
      <c r="I51" s="48">
        <f>'Weather Analysis'!I27</f>
        <v>0</v>
      </c>
      <c r="J51" s="48">
        <v>31</v>
      </c>
      <c r="K51" s="110">
        <v>0</v>
      </c>
      <c r="L51" s="48">
        <f>Inputs!G108+Inputs!I108+Inputs!L108+Inputs!O108+Inputs!R108+Inputs!AA108</f>
        <v>7508</v>
      </c>
      <c r="M51" s="48">
        <v>0</v>
      </c>
      <c r="N51" s="48">
        <f t="shared" si="4"/>
        <v>11980666.851294886</v>
      </c>
      <c r="O51" s="32">
        <f t="shared" si="5"/>
        <v>278270.40129488334</v>
      </c>
      <c r="P51" s="41">
        <f t="shared" si="6"/>
        <v>2.3778924469345188E-2</v>
      </c>
      <c r="Q51" s="12">
        <f t="shared" si="10"/>
        <v>2.3778924469345188E-2</v>
      </c>
      <c r="R51" s="134">
        <f t="shared" si="2"/>
        <v>77434416236.815414</v>
      </c>
      <c r="S51" s="134">
        <f t="shared" si="7"/>
        <v>-243904.96017305367</v>
      </c>
      <c r="T51" s="134">
        <f t="shared" si="8"/>
        <v>59489629597.018898</v>
      </c>
    </row>
    <row r="52" spans="1:20" x14ac:dyDescent="0.2">
      <c r="A52" s="47">
        <v>43890</v>
      </c>
      <c r="B52" s="48">
        <f>Inputs!D109</f>
        <v>14192237.660000002</v>
      </c>
      <c r="C52" s="48">
        <f>Inputs!E109</f>
        <v>77809.59</v>
      </c>
      <c r="D52" s="48">
        <f t="shared" si="11"/>
        <v>14270047.250000002</v>
      </c>
      <c r="E52" s="48">
        <f>Inputs!AE109</f>
        <v>163565.26999999999</v>
      </c>
      <c r="F52" s="48">
        <v>3106057.9</v>
      </c>
      <c r="G52" s="48">
        <f t="shared" si="3"/>
        <v>11000424.080000002</v>
      </c>
      <c r="H52" s="48">
        <f>'Weather Analysis'!I9</f>
        <v>602.69999999999993</v>
      </c>
      <c r="I52" s="48">
        <f>'Weather Analysis'!I28</f>
        <v>0</v>
      </c>
      <c r="J52" s="48">
        <v>29</v>
      </c>
      <c r="K52" s="110">
        <v>0</v>
      </c>
      <c r="L52" s="48">
        <f>Inputs!G109+Inputs!I109+Inputs!L109+Inputs!O109+Inputs!R109+Inputs!AA109</f>
        <v>7522</v>
      </c>
      <c r="M52" s="48">
        <v>0</v>
      </c>
      <c r="N52" s="48">
        <f t="shared" si="4"/>
        <v>11286662.774598444</v>
      </c>
      <c r="O52" s="32">
        <f t="shared" si="5"/>
        <v>286238.69459844194</v>
      </c>
      <c r="P52" s="41">
        <f t="shared" si="6"/>
        <v>2.6020696340139815E-2</v>
      </c>
      <c r="Q52" s="12">
        <f t="shared" si="10"/>
        <v>2.6020696340139815E-2</v>
      </c>
      <c r="R52" s="134">
        <f t="shared" si="2"/>
        <v>81932590285.42012</v>
      </c>
      <c r="S52" s="134">
        <f t="shared" si="7"/>
        <v>7968.2933035586029</v>
      </c>
      <c r="T52" s="134">
        <f t="shared" si="8"/>
        <v>63493698.17153687</v>
      </c>
    </row>
    <row r="53" spans="1:20" x14ac:dyDescent="0.2">
      <c r="A53" s="47">
        <v>43921</v>
      </c>
      <c r="B53" s="48">
        <f>Inputs!D110</f>
        <v>13448796.610000001</v>
      </c>
      <c r="C53" s="48">
        <f>Inputs!E110</f>
        <v>139741.92000000001</v>
      </c>
      <c r="D53" s="48">
        <f t="shared" si="11"/>
        <v>13588538.530000001</v>
      </c>
      <c r="E53" s="48">
        <f>Inputs!AE110</f>
        <v>155745.59</v>
      </c>
      <c r="F53" s="48">
        <v>2605804.7000000002</v>
      </c>
      <c r="G53" s="48">
        <f t="shared" si="3"/>
        <v>10826988.240000002</v>
      </c>
      <c r="H53" s="48">
        <f>'Weather Analysis'!I10</f>
        <v>463.4</v>
      </c>
      <c r="I53" s="48">
        <f>'Weather Analysis'!I29</f>
        <v>0</v>
      </c>
      <c r="J53" s="48">
        <v>31</v>
      </c>
      <c r="K53" s="110">
        <v>1</v>
      </c>
      <c r="L53" s="48">
        <f>Inputs!G110+Inputs!I110+Inputs!L110+Inputs!O110+Inputs!R110+Inputs!AA110</f>
        <v>7534</v>
      </c>
      <c r="M53" s="48">
        <v>0</v>
      </c>
      <c r="N53" s="48">
        <f t="shared" si="4"/>
        <v>11305421.072302304</v>
      </c>
      <c r="O53" s="32">
        <f t="shared" si="5"/>
        <v>478432.83230230212</v>
      </c>
      <c r="P53" s="41">
        <f t="shared" si="6"/>
        <v>4.4188912160700936E-2</v>
      </c>
      <c r="Q53" s="12">
        <f t="shared" si="10"/>
        <v>4.4188912160700936E-2</v>
      </c>
      <c r="R53" s="134">
        <f t="shared" si="2"/>
        <v>228897975024.80273</v>
      </c>
      <c r="S53" s="134">
        <f t="shared" si="7"/>
        <v>192194.13770386018</v>
      </c>
      <c r="T53" s="134">
        <f t="shared" si="8"/>
        <v>36938586567.73037</v>
      </c>
    </row>
    <row r="54" spans="1:20" x14ac:dyDescent="0.2">
      <c r="A54" s="47">
        <v>43951</v>
      </c>
      <c r="B54" s="48">
        <f>Inputs!D111</f>
        <v>10036078.820000004</v>
      </c>
      <c r="C54" s="48">
        <f>Inputs!E111</f>
        <v>191301.65</v>
      </c>
      <c r="D54" s="48">
        <f t="shared" si="11"/>
        <v>10227380.470000004</v>
      </c>
      <c r="E54" s="48">
        <f>Inputs!AE111</f>
        <v>130250.96000000002</v>
      </c>
      <c r="F54" s="48">
        <v>981046.64999999991</v>
      </c>
      <c r="G54" s="48">
        <f t="shared" si="3"/>
        <v>9116082.8600000031</v>
      </c>
      <c r="H54" s="48">
        <f>'Weather Analysis'!I11</f>
        <v>381.59999999999997</v>
      </c>
      <c r="I54" s="48">
        <f>'Weather Analysis'!I30</f>
        <v>0</v>
      </c>
      <c r="J54" s="48">
        <v>30</v>
      </c>
      <c r="K54" s="110">
        <v>1</v>
      </c>
      <c r="L54" s="48">
        <f>Inputs!G111+Inputs!I111+Inputs!L111+Inputs!O111+Inputs!R111+Inputs!AA111</f>
        <v>7547</v>
      </c>
      <c r="M54" s="48">
        <v>1</v>
      </c>
      <c r="N54" s="48">
        <f t="shared" si="4"/>
        <v>9093152.396455884</v>
      </c>
      <c r="O54" s="32">
        <f t="shared" si="5"/>
        <v>-22930.463544119149</v>
      </c>
      <c r="P54" s="41">
        <f t="shared" si="6"/>
        <v>-2.5153855988666544E-3</v>
      </c>
      <c r="Q54" s="12">
        <f t="shared" si="10"/>
        <v>2.5153855988666544E-3</v>
      </c>
      <c r="R54" s="134">
        <f t="shared" si="2"/>
        <v>525806158.34817737</v>
      </c>
      <c r="S54" s="134">
        <f t="shared" si="7"/>
        <v>-501363.29584642127</v>
      </c>
      <c r="T54" s="134">
        <f t="shared" si="8"/>
        <v>251365154421.98615</v>
      </c>
    </row>
    <row r="55" spans="1:20" x14ac:dyDescent="0.2">
      <c r="A55" s="47">
        <v>43982</v>
      </c>
      <c r="B55" s="48">
        <f>Inputs!D112</f>
        <v>11027735.910000004</v>
      </c>
      <c r="C55" s="48">
        <f>Inputs!E112</f>
        <v>221551.47</v>
      </c>
      <c r="D55" s="48">
        <f t="shared" si="11"/>
        <v>11249287.380000005</v>
      </c>
      <c r="E55" s="48">
        <f>Inputs!AE112</f>
        <v>127787.47</v>
      </c>
      <c r="F55" s="48">
        <v>1321734.96</v>
      </c>
      <c r="G55" s="48">
        <f t="shared" si="3"/>
        <v>9799764.950000003</v>
      </c>
      <c r="H55" s="48">
        <f>'Weather Analysis'!I12</f>
        <v>213.39999999999995</v>
      </c>
      <c r="I55" s="48">
        <f>'Weather Analysis'!I31</f>
        <v>22.699999999999996</v>
      </c>
      <c r="J55" s="48">
        <v>31</v>
      </c>
      <c r="K55" s="110">
        <v>1</v>
      </c>
      <c r="L55" s="48">
        <f>Inputs!G112+Inputs!I112+Inputs!L112+Inputs!O112+Inputs!R112+Inputs!AA112</f>
        <v>7550</v>
      </c>
      <c r="M55" s="48">
        <v>1</v>
      </c>
      <c r="N55" s="48">
        <f t="shared" si="4"/>
        <v>9822695.4135441203</v>
      </c>
      <c r="O55" s="32">
        <f t="shared" si="5"/>
        <v>22930.463544117287</v>
      </c>
      <c r="P55" s="41">
        <f t="shared" si="6"/>
        <v>2.3398993405568651E-3</v>
      </c>
      <c r="Q55" s="12">
        <f t="shared" si="10"/>
        <v>2.3398993405568651E-3</v>
      </c>
      <c r="R55" s="134">
        <f t="shared" si="2"/>
        <v>525806158.3480919</v>
      </c>
      <c r="S55" s="134">
        <f t="shared" si="7"/>
        <v>45860.927088236436</v>
      </c>
      <c r="T55" s="134">
        <f t="shared" si="8"/>
        <v>2103224633.3925385</v>
      </c>
    </row>
    <row r="56" spans="1:20" x14ac:dyDescent="0.2">
      <c r="A56" s="47">
        <v>44012</v>
      </c>
      <c r="B56" s="48">
        <f>Inputs!D113</f>
        <v>15117286.629999997</v>
      </c>
      <c r="C56" s="48">
        <f>Inputs!E113</f>
        <v>271293.49</v>
      </c>
      <c r="D56" s="48">
        <f t="shared" si="11"/>
        <v>15388580.119999997</v>
      </c>
      <c r="E56" s="48">
        <f>Inputs!AE113</f>
        <v>140825.13</v>
      </c>
      <c r="F56" s="48">
        <v>2831032.41</v>
      </c>
      <c r="G56" s="48">
        <f t="shared" si="3"/>
        <v>12416722.579999996</v>
      </c>
      <c r="H56" s="48">
        <f>'Weather Analysis'!I13</f>
        <v>33.9</v>
      </c>
      <c r="I56" s="48">
        <f>'Weather Analysis'!I32</f>
        <v>59.9</v>
      </c>
      <c r="J56" s="48">
        <v>30</v>
      </c>
      <c r="K56" s="110">
        <v>0</v>
      </c>
      <c r="L56" s="48">
        <f>Inputs!G113+Inputs!I113+Inputs!L113+Inputs!O113+Inputs!R113+Inputs!AA113</f>
        <v>7557</v>
      </c>
      <c r="M56" s="48">
        <v>0</v>
      </c>
      <c r="N56" s="48">
        <f t="shared" si="4"/>
        <v>12474301.447297229</v>
      </c>
      <c r="O56" s="32">
        <f t="shared" si="5"/>
        <v>57578.867297232151</v>
      </c>
      <c r="P56" s="41">
        <f t="shared" si="6"/>
        <v>4.6372033301264404E-3</v>
      </c>
      <c r="Q56" s="12">
        <f t="shared" si="10"/>
        <v>4.6372033301264404E-3</v>
      </c>
      <c r="R56" s="134">
        <f t="shared" si="2"/>
        <v>3315325959.2322702</v>
      </c>
      <c r="S56" s="134">
        <f t="shared" si="7"/>
        <v>34648.403753114864</v>
      </c>
      <c r="T56" s="134">
        <f t="shared" si="8"/>
        <v>1200511882.6388643</v>
      </c>
    </row>
    <row r="57" spans="1:20" x14ac:dyDescent="0.2">
      <c r="A57" s="47">
        <v>44043</v>
      </c>
      <c r="B57" s="48">
        <f>Inputs!D114</f>
        <v>18014751.010000002</v>
      </c>
      <c r="C57" s="48">
        <f>Inputs!E114</f>
        <v>250058.56000000003</v>
      </c>
      <c r="D57" s="48">
        <f t="shared" si="11"/>
        <v>18264809.57</v>
      </c>
      <c r="E57" s="48">
        <f>Inputs!AE114</f>
        <v>162185.27999999997</v>
      </c>
      <c r="F57" s="48">
        <v>3020618.2</v>
      </c>
      <c r="G57" s="48">
        <f t="shared" si="3"/>
        <v>15082006.09</v>
      </c>
      <c r="H57" s="48">
        <f>'Weather Analysis'!I14</f>
        <v>0</v>
      </c>
      <c r="I57" s="48">
        <f>'Weather Analysis'!I33</f>
        <v>159.19999999999993</v>
      </c>
      <c r="J57" s="48">
        <v>31</v>
      </c>
      <c r="K57" s="110">
        <v>0</v>
      </c>
      <c r="L57" s="48">
        <f>Inputs!G114+Inputs!I114+Inputs!L114+Inputs!O114+Inputs!R114+Inputs!AA114</f>
        <v>7566</v>
      </c>
      <c r="M57" s="48">
        <v>0</v>
      </c>
      <c r="N57" s="48">
        <f t="shared" si="4"/>
        <v>15564218.226284644</v>
      </c>
      <c r="O57" s="32">
        <f t="shared" si="5"/>
        <v>482212.13628464378</v>
      </c>
      <c r="P57" s="41">
        <f t="shared" si="6"/>
        <v>3.1972678793994826E-2</v>
      </c>
      <c r="Q57" s="12">
        <f t="shared" si="10"/>
        <v>3.1972678793994826E-2</v>
      </c>
      <c r="R57" s="134">
        <f t="shared" si="2"/>
        <v>232528544380.19986</v>
      </c>
      <c r="S57" s="134">
        <f t="shared" si="7"/>
        <v>424633.26898741163</v>
      </c>
      <c r="T57" s="134">
        <f t="shared" si="8"/>
        <v>180313413130.93549</v>
      </c>
    </row>
    <row r="58" spans="1:20" x14ac:dyDescent="0.2">
      <c r="A58" s="47">
        <v>44074</v>
      </c>
      <c r="B58" s="48">
        <f>Inputs!D115</f>
        <v>16733868.93</v>
      </c>
      <c r="C58" s="48">
        <f>Inputs!E115</f>
        <v>221686.43</v>
      </c>
      <c r="D58" s="48">
        <f t="shared" si="11"/>
        <v>16955555.359999999</v>
      </c>
      <c r="E58" s="48">
        <f>Inputs!AE115</f>
        <v>158668.94</v>
      </c>
      <c r="F58" s="48">
        <v>3014862.76</v>
      </c>
      <c r="G58" s="48">
        <f t="shared" si="3"/>
        <v>13782023.659999998</v>
      </c>
      <c r="H58" s="48">
        <f>'Weather Analysis'!I15</f>
        <v>5.6</v>
      </c>
      <c r="I58" s="48">
        <f>'Weather Analysis'!I34</f>
        <v>75.699999999999989</v>
      </c>
      <c r="J58" s="48">
        <v>31</v>
      </c>
      <c r="K58" s="110">
        <v>0</v>
      </c>
      <c r="L58" s="48">
        <f>Inputs!G115+Inputs!I115+Inputs!L115+Inputs!O115+Inputs!R115+Inputs!AA115</f>
        <v>7581</v>
      </c>
      <c r="M58" s="48">
        <v>0</v>
      </c>
      <c r="N58" s="48">
        <f t="shared" si="4"/>
        <v>13279137.737176085</v>
      </c>
      <c r="O58" s="32">
        <f t="shared" si="5"/>
        <v>-502885.9228239134</v>
      </c>
      <c r="P58" s="41">
        <f t="shared" si="6"/>
        <v>-3.6488540088888036E-2</v>
      </c>
      <c r="Q58" s="12">
        <f t="shared" si="10"/>
        <v>3.6488540088888036E-2</v>
      </c>
      <c r="R58" s="134">
        <f t="shared" si="2"/>
        <v>252894251374.45898</v>
      </c>
      <c r="S58" s="134">
        <f t="shared" si="7"/>
        <v>-985098.05910855718</v>
      </c>
      <c r="T58" s="134">
        <f t="shared" si="8"/>
        <v>970418186059.44641</v>
      </c>
    </row>
    <row r="59" spans="1:20" x14ac:dyDescent="0.2">
      <c r="A59" s="47">
        <v>44104</v>
      </c>
      <c r="B59" s="48">
        <f>Inputs!D116</f>
        <v>14451425.119999997</v>
      </c>
      <c r="C59" s="48">
        <f>Inputs!E116</f>
        <v>189577.9</v>
      </c>
      <c r="D59" s="48">
        <f t="shared" si="11"/>
        <v>14641003.019999998</v>
      </c>
      <c r="E59" s="48">
        <f>Inputs!AE116</f>
        <v>149561.73000000001</v>
      </c>
      <c r="F59" s="48">
        <v>3076655.74</v>
      </c>
      <c r="G59" s="48">
        <f t="shared" si="3"/>
        <v>11414785.549999997</v>
      </c>
      <c r="H59" s="48">
        <f>'Weather Analysis'!I16</f>
        <v>91.6</v>
      </c>
      <c r="I59" s="48">
        <f>'Weather Analysis'!I35</f>
        <v>10.600000000000001</v>
      </c>
      <c r="J59" s="48">
        <v>30</v>
      </c>
      <c r="K59" s="110">
        <v>1</v>
      </c>
      <c r="L59" s="48">
        <f>Inputs!G116+Inputs!I116+Inputs!L116+Inputs!O116+Inputs!R116+Inputs!AA116</f>
        <v>7596</v>
      </c>
      <c r="M59" s="48">
        <v>0</v>
      </c>
      <c r="N59" s="48">
        <f t="shared" si="4"/>
        <v>10769050.813857183</v>
      </c>
      <c r="O59" s="32">
        <f t="shared" si="5"/>
        <v>-645734.73614281416</v>
      </c>
      <c r="P59" s="41">
        <f t="shared" si="6"/>
        <v>-5.6570027821750392E-2</v>
      </c>
      <c r="Q59" s="12">
        <f t="shared" si="10"/>
        <v>5.6570027821750392E-2</v>
      </c>
      <c r="R59" s="134">
        <f t="shared" si="2"/>
        <v>416973349461.42981</v>
      </c>
      <c r="S59" s="134">
        <f t="shared" si="7"/>
        <v>-142848.81331890076</v>
      </c>
      <c r="T59" s="134">
        <f t="shared" si="8"/>
        <v>20405783466.61816</v>
      </c>
    </row>
    <row r="60" spans="1:20" x14ac:dyDescent="0.2">
      <c r="A60" s="47">
        <v>44135</v>
      </c>
      <c r="B60" s="48">
        <f>Inputs!D117</f>
        <v>14304932.470000003</v>
      </c>
      <c r="C60" s="48">
        <f>Inputs!E117</f>
        <v>116353.45999999999</v>
      </c>
      <c r="D60" s="48">
        <f t="shared" si="11"/>
        <v>14421285.930000003</v>
      </c>
      <c r="E60" s="48">
        <f>Inputs!AE117</f>
        <v>146356.07999999999</v>
      </c>
      <c r="F60" s="48">
        <v>3018748.12</v>
      </c>
      <c r="G60" s="48">
        <f t="shared" si="3"/>
        <v>11256181.730000004</v>
      </c>
      <c r="H60" s="48">
        <f>'Weather Analysis'!I17</f>
        <v>273.00000000000006</v>
      </c>
      <c r="I60" s="48">
        <f>'Weather Analysis'!I36</f>
        <v>0</v>
      </c>
      <c r="J60" s="48">
        <v>31</v>
      </c>
      <c r="K60" s="110">
        <v>1</v>
      </c>
      <c r="L60" s="48">
        <f>Inputs!G117+Inputs!I117+Inputs!L117+Inputs!O117+Inputs!R117+Inputs!AA117</f>
        <v>7650</v>
      </c>
      <c r="M60" s="48">
        <v>0</v>
      </c>
      <c r="N60" s="48">
        <f t="shared" si="4"/>
        <v>11236681.926251555</v>
      </c>
      <c r="O60" s="32">
        <f t="shared" si="5"/>
        <v>-19499.803748449311</v>
      </c>
      <c r="P60" s="41">
        <f t="shared" si="6"/>
        <v>-1.7323639770738938E-3</v>
      </c>
      <c r="Q60" s="12">
        <f t="shared" si="10"/>
        <v>1.7323639770738938E-3</v>
      </c>
      <c r="R60" s="134">
        <f t="shared" si="2"/>
        <v>380242346.22803777</v>
      </c>
      <c r="S60" s="134">
        <f t="shared" si="7"/>
        <v>626234.93239436485</v>
      </c>
      <c r="T60" s="134">
        <f t="shared" si="8"/>
        <v>392170190550.97473</v>
      </c>
    </row>
    <row r="61" spans="1:20" x14ac:dyDescent="0.2">
      <c r="A61" s="47">
        <v>44165</v>
      </c>
      <c r="B61" s="48">
        <f>Inputs!D118</f>
        <v>14279909.410000002</v>
      </c>
      <c r="C61" s="48">
        <f>Inputs!E118</f>
        <v>82903.28</v>
      </c>
      <c r="D61" s="48">
        <f t="shared" si="11"/>
        <v>14362812.690000001</v>
      </c>
      <c r="E61" s="48">
        <f>Inputs!AE118</f>
        <v>165563.92000000001</v>
      </c>
      <c r="F61" s="48">
        <v>2950185.69</v>
      </c>
      <c r="G61" s="48">
        <f t="shared" si="3"/>
        <v>11247063.080000002</v>
      </c>
      <c r="H61" s="48">
        <f>'Weather Analysis'!I18</f>
        <v>354.3</v>
      </c>
      <c r="I61" s="48">
        <f>'Weather Analysis'!I37</f>
        <v>0</v>
      </c>
      <c r="J61" s="48">
        <v>30</v>
      </c>
      <c r="K61" s="110">
        <v>0</v>
      </c>
      <c r="L61" s="48">
        <f>Inputs!G118+Inputs!I118+Inputs!L118+Inputs!O118+Inputs!R118+Inputs!AA118</f>
        <v>7665</v>
      </c>
      <c r="M61" s="48">
        <v>0</v>
      </c>
      <c r="N61" s="48">
        <f t="shared" si="4"/>
        <v>11541338.60603513</v>
      </c>
      <c r="O61" s="32">
        <f t="shared" si="5"/>
        <v>294275.52603512816</v>
      </c>
      <c r="P61" s="41">
        <f t="shared" si="6"/>
        <v>2.6164655069679587E-2</v>
      </c>
      <c r="Q61" s="12">
        <f t="shared" si="10"/>
        <v>2.6164655069679587E-2</v>
      </c>
      <c r="R61" s="134">
        <f t="shared" si="2"/>
        <v>86598085223.251389</v>
      </c>
      <c r="S61" s="134">
        <f t="shared" si="7"/>
        <v>313775.32978357747</v>
      </c>
      <c r="T61" s="134">
        <f t="shared" si="8"/>
        <v>98454957580.792801</v>
      </c>
    </row>
    <row r="62" spans="1:20" x14ac:dyDescent="0.2">
      <c r="A62" s="47">
        <v>44196</v>
      </c>
      <c r="B62" s="48">
        <f>Inputs!D119</f>
        <v>14921507.26</v>
      </c>
      <c r="C62" s="48">
        <f>Inputs!E119</f>
        <v>40422.69</v>
      </c>
      <c r="D62" s="48">
        <f t="shared" si="11"/>
        <v>14961929.949999999</v>
      </c>
      <c r="E62" s="48">
        <f>Inputs!AE119</f>
        <v>196766.91999999998</v>
      </c>
      <c r="F62" s="48">
        <v>2363231.4300000002</v>
      </c>
      <c r="G62" s="48">
        <f t="shared" si="3"/>
        <v>12401931.6</v>
      </c>
      <c r="H62" s="48">
        <f>'Weather Analysis'!I19</f>
        <v>567.59999999999991</v>
      </c>
      <c r="I62" s="48">
        <f>'Weather Analysis'!I38</f>
        <v>0</v>
      </c>
      <c r="J62" s="48">
        <v>31</v>
      </c>
      <c r="K62" s="110">
        <v>0</v>
      </c>
      <c r="L62" s="48">
        <f>Inputs!G119+Inputs!I119+Inputs!L119+Inputs!O119+Inputs!R119+Inputs!AA119</f>
        <v>7688</v>
      </c>
      <c r="M62" s="48">
        <v>0</v>
      </c>
      <c r="N62" s="48">
        <f t="shared" si="4"/>
        <v>12291985.572417468</v>
      </c>
      <c r="O62" s="32">
        <f t="shared" si="5"/>
        <v>-109946.02758253179</v>
      </c>
      <c r="P62" s="41">
        <f t="shared" si="6"/>
        <v>-8.8652341529227435E-3</v>
      </c>
      <c r="Q62" s="12">
        <f t="shared" si="10"/>
        <v>8.8652341529227435E-3</v>
      </c>
      <c r="R62" s="134">
        <f t="shared" si="2"/>
        <v>12088128981.178843</v>
      </c>
      <c r="S62" s="134">
        <f t="shared" si="7"/>
        <v>-404221.55361765996</v>
      </c>
      <c r="T62" s="134">
        <f t="shared" si="8"/>
        <v>163395064409.07474</v>
      </c>
    </row>
    <row r="63" spans="1:20" x14ac:dyDescent="0.2">
      <c r="A63" s="47">
        <v>44227</v>
      </c>
      <c r="B63" s="48">
        <f>Inputs!D120</f>
        <v>15381838.239999998</v>
      </c>
      <c r="C63" s="48">
        <f>Inputs!E120</f>
        <v>41700.25</v>
      </c>
      <c r="D63" s="48">
        <f t="shared" si="11"/>
        <v>15423538.489999998</v>
      </c>
      <c r="E63" s="48">
        <f>Inputs!AE120</f>
        <v>543748.41999999993</v>
      </c>
      <c r="F63" s="48">
        <v>2652843.8200000003</v>
      </c>
      <c r="G63" s="48">
        <f t="shared" si="3"/>
        <v>12226946.249999998</v>
      </c>
      <c r="H63" s="48">
        <f>'Weather Analysis'!J8</f>
        <v>615.30000000000007</v>
      </c>
      <c r="I63" s="48">
        <f>'Weather Analysis'!J27</f>
        <v>0</v>
      </c>
      <c r="J63" s="48">
        <v>31</v>
      </c>
      <c r="K63" s="110">
        <v>0</v>
      </c>
      <c r="L63" s="48">
        <f>Inputs!G120+Inputs!I120+Inputs!L120+Inputs!O120+Inputs!R120+Inputs!AA120</f>
        <v>7720</v>
      </c>
      <c r="M63" s="48">
        <v>0</v>
      </c>
      <c r="N63" s="48">
        <f t="shared" si="4"/>
        <v>12433868.718297904</v>
      </c>
      <c r="O63" s="32">
        <f t="shared" si="5"/>
        <v>206922.46829790622</v>
      </c>
      <c r="P63" s="41">
        <f t="shared" si="6"/>
        <v>1.6923479016512914E-2</v>
      </c>
      <c r="Q63" s="12">
        <f t="shared" si="10"/>
        <v>1.6923479016512914E-2</v>
      </c>
      <c r="R63" s="134">
        <f t="shared" si="2"/>
        <v>42816907886.498001</v>
      </c>
      <c r="S63" s="134">
        <f t="shared" si="7"/>
        <v>316868.49588043801</v>
      </c>
      <c r="T63" s="134">
        <f t="shared" si="8"/>
        <v>100405643681.53116</v>
      </c>
    </row>
    <row r="64" spans="1:20" x14ac:dyDescent="0.2">
      <c r="A64" s="47">
        <v>44255</v>
      </c>
      <c r="B64" s="48">
        <f>Inputs!D121</f>
        <v>14338372.879999999</v>
      </c>
      <c r="C64" s="48">
        <f>Inputs!E121</f>
        <v>36904.899999999994</v>
      </c>
      <c r="D64" s="48">
        <f t="shared" si="11"/>
        <v>14375277.779999999</v>
      </c>
      <c r="E64" s="48">
        <f>Inputs!AE121</f>
        <v>463830.81</v>
      </c>
      <c r="F64" s="48">
        <v>2406118.8199999998</v>
      </c>
      <c r="G64" s="48">
        <f t="shared" si="3"/>
        <v>11505328.149999999</v>
      </c>
      <c r="H64" s="48">
        <f>'Weather Analysis'!J9</f>
        <v>692.7</v>
      </c>
      <c r="I64" s="48">
        <f>'Weather Analysis'!J28</f>
        <v>0</v>
      </c>
      <c r="J64" s="48">
        <v>28</v>
      </c>
      <c r="K64" s="110">
        <v>0</v>
      </c>
      <c r="L64" s="48">
        <f>Inputs!G121+Inputs!I121+Inputs!L121+Inputs!O121+Inputs!R121+Inputs!AA121</f>
        <v>7739</v>
      </c>
      <c r="M64" s="48">
        <v>0</v>
      </c>
      <c r="N64" s="48">
        <f t="shared" si="4"/>
        <v>11512754.797632566</v>
      </c>
      <c r="O64" s="32">
        <f t="shared" si="5"/>
        <v>7426.647632567212</v>
      </c>
      <c r="P64" s="41">
        <f t="shared" si="6"/>
        <v>6.4549637661288374E-4</v>
      </c>
      <c r="Q64" s="12">
        <f t="shared" si="10"/>
        <v>6.4549637661288374E-4</v>
      </c>
      <c r="R64" s="134">
        <f t="shared" si="2"/>
        <v>55155095.058316171</v>
      </c>
      <c r="S64" s="134">
        <f t="shared" si="7"/>
        <v>-199495.82066533901</v>
      </c>
      <c r="T64" s="134">
        <f t="shared" si="8"/>
        <v>39798582462.937103</v>
      </c>
    </row>
    <row r="65" spans="1:20" x14ac:dyDescent="0.2">
      <c r="A65" s="47">
        <v>44286</v>
      </c>
      <c r="B65" s="48">
        <f>Inputs!D122</f>
        <v>14839569.93</v>
      </c>
      <c r="C65" s="48">
        <f>Inputs!E122</f>
        <v>197009.1</v>
      </c>
      <c r="D65" s="48">
        <f t="shared" si="11"/>
        <v>15036579.029999999</v>
      </c>
      <c r="E65" s="48">
        <f>Inputs!AE122</f>
        <v>537531.31000000006</v>
      </c>
      <c r="F65" s="48">
        <v>2855575.39</v>
      </c>
      <c r="G65" s="48">
        <f t="shared" si="3"/>
        <v>11643472.329999998</v>
      </c>
      <c r="H65" s="48">
        <f>'Weather Analysis'!J10</f>
        <v>456</v>
      </c>
      <c r="I65" s="48">
        <f>'Weather Analysis'!J29</f>
        <v>0</v>
      </c>
      <c r="J65" s="48">
        <v>31</v>
      </c>
      <c r="K65" s="110">
        <v>1</v>
      </c>
      <c r="L65" s="48">
        <f>Inputs!G122+Inputs!I122+Inputs!L122+Inputs!O122+Inputs!R122+Inputs!AA122</f>
        <v>7764</v>
      </c>
      <c r="M65" s="48">
        <v>0</v>
      </c>
      <c r="N65" s="48">
        <f t="shared" si="4"/>
        <v>11763114.142220132</v>
      </c>
      <c r="O65" s="32">
        <f t="shared" si="5"/>
        <v>119641.81222013384</v>
      </c>
      <c r="P65" s="41">
        <f t="shared" si="6"/>
        <v>1.027544093628072E-2</v>
      </c>
      <c r="Q65" s="12">
        <f t="shared" si="10"/>
        <v>1.027544093628072E-2</v>
      </c>
      <c r="R65" s="134">
        <f t="shared" si="2"/>
        <v>14314163231.317768</v>
      </c>
      <c r="S65" s="134">
        <f t="shared" si="7"/>
        <v>112215.16458756663</v>
      </c>
      <c r="T65" s="134">
        <f t="shared" si="8"/>
        <v>12592243163.414667</v>
      </c>
    </row>
    <row r="66" spans="1:20" x14ac:dyDescent="0.2">
      <c r="A66" s="47">
        <v>44316</v>
      </c>
      <c r="B66" s="48">
        <f>Inputs!D123</f>
        <v>12258026.33</v>
      </c>
      <c r="C66" s="48">
        <f>Inputs!E123</f>
        <v>195594.22999999998</v>
      </c>
      <c r="D66" s="48">
        <f t="shared" si="11"/>
        <v>12453620.560000001</v>
      </c>
      <c r="E66" s="48">
        <f>Inputs!AE123</f>
        <v>208735.52999999997</v>
      </c>
      <c r="F66" s="48">
        <v>2127833.12</v>
      </c>
      <c r="G66" s="48">
        <f t="shared" si="3"/>
        <v>10117051.91</v>
      </c>
      <c r="H66" s="48">
        <f>'Weather Analysis'!J11</f>
        <v>302.70000000000005</v>
      </c>
      <c r="I66" s="48">
        <f>'Weather Analysis'!J30</f>
        <v>0</v>
      </c>
      <c r="J66" s="48">
        <v>30</v>
      </c>
      <c r="K66" s="110">
        <v>1</v>
      </c>
      <c r="L66" s="48">
        <f>Inputs!G123+Inputs!I123+Inputs!L123+Inputs!O123+Inputs!R123+Inputs!AA123</f>
        <v>7789</v>
      </c>
      <c r="M66" s="48">
        <v>0</v>
      </c>
      <c r="N66" s="48">
        <f t="shared" si="4"/>
        <v>11206755.766391549</v>
      </c>
      <c r="O66" s="32">
        <f t="shared" si="5"/>
        <v>1089703.8563915491</v>
      </c>
      <c r="P66" s="41">
        <f t="shared" si="6"/>
        <v>0.10770962391864895</v>
      </c>
      <c r="Q66" s="12">
        <f t="shared" si="10"/>
        <v>0.10770962391864895</v>
      </c>
      <c r="R66" s="134">
        <f t="shared" si="2"/>
        <v>1187454494634.6138</v>
      </c>
      <c r="S66" s="134">
        <f t="shared" si="7"/>
        <v>970062.04417141527</v>
      </c>
      <c r="T66" s="134">
        <f t="shared" si="8"/>
        <v>941020369542.02478</v>
      </c>
    </row>
    <row r="67" spans="1:20" x14ac:dyDescent="0.2">
      <c r="A67" s="47">
        <v>44347</v>
      </c>
      <c r="B67" s="48">
        <f>Inputs!D124</f>
        <v>13244338.23</v>
      </c>
      <c r="C67" s="48">
        <f>Inputs!E124</f>
        <v>234500.96000000002</v>
      </c>
      <c r="D67" s="48">
        <f t="shared" si="11"/>
        <v>13478839.190000001</v>
      </c>
      <c r="E67" s="48">
        <f>Inputs!AE124</f>
        <v>137709.51999999999</v>
      </c>
      <c r="F67" s="48">
        <v>2246884.9300000002</v>
      </c>
      <c r="G67" s="48">
        <f t="shared" si="3"/>
        <v>11094244.740000002</v>
      </c>
      <c r="H67" s="48">
        <f>'Weather Analysis'!J12</f>
        <v>175.60000000000005</v>
      </c>
      <c r="I67" s="48">
        <f>'Weather Analysis'!J31</f>
        <v>19.8</v>
      </c>
      <c r="J67" s="48">
        <v>31</v>
      </c>
      <c r="K67" s="110">
        <v>1</v>
      </c>
      <c r="L67" s="48">
        <f>Inputs!G124+Inputs!I124+Inputs!L124+Inputs!O124+Inputs!R124+Inputs!AA124</f>
        <v>7811</v>
      </c>
      <c r="M67" s="48">
        <v>0</v>
      </c>
      <c r="N67" s="48">
        <f t="shared" si="4"/>
        <v>11960311.199795842</v>
      </c>
      <c r="O67" s="32">
        <f t="shared" si="5"/>
        <v>866066.45979584008</v>
      </c>
      <c r="P67" s="41">
        <f t="shared" si="6"/>
        <v>7.8064481187553103E-2</v>
      </c>
      <c r="Q67" s="12">
        <f t="shared" si="10"/>
        <v>7.8064481187553103E-2</v>
      </c>
      <c r="R67" s="134">
        <f t="shared" ref="R67:R86" si="12">O67*O67</f>
        <v>750071112783.29944</v>
      </c>
      <c r="S67" s="134">
        <f t="shared" si="7"/>
        <v>-223637.39659570903</v>
      </c>
      <c r="T67" s="134">
        <f t="shared" si="8"/>
        <v>50013685156.106445</v>
      </c>
    </row>
    <row r="68" spans="1:20" x14ac:dyDescent="0.2">
      <c r="A68" s="47">
        <v>44377</v>
      </c>
      <c r="B68" s="48">
        <f>Inputs!D125</f>
        <v>15554413.700000001</v>
      </c>
      <c r="C68" s="48">
        <f>Inputs!E125</f>
        <v>235576.17000000004</v>
      </c>
      <c r="D68" s="48">
        <f t="shared" si="11"/>
        <v>15789989.870000001</v>
      </c>
      <c r="E68" s="48">
        <f>Inputs!AE125</f>
        <v>157595.26999999999</v>
      </c>
      <c r="F68" s="48">
        <v>2636157.2999999998</v>
      </c>
      <c r="G68" s="48">
        <f t="shared" ref="G68:G104" si="13">D68-E68-F68</f>
        <v>12996237.300000001</v>
      </c>
      <c r="H68" s="48">
        <f>'Weather Analysis'!J13</f>
        <v>20.799999999999997</v>
      </c>
      <c r="I68" s="48">
        <f>'Weather Analysis'!J32</f>
        <v>88.100000000000009</v>
      </c>
      <c r="J68" s="48">
        <v>30</v>
      </c>
      <c r="K68" s="110">
        <v>0</v>
      </c>
      <c r="L68" s="48">
        <f>Inputs!G125+Inputs!I125+Inputs!L125+Inputs!O125+Inputs!R125+Inputs!AA125</f>
        <v>7846</v>
      </c>
      <c r="M68" s="48">
        <v>0</v>
      </c>
      <c r="N68" s="48">
        <f t="shared" ref="N68:N110" si="14">$W$18+$W$19*H68+$W$20*I68+$W$21*J68+$W$22*K68+$W$23*L68+M68*$W$24</f>
        <v>13828406.966010703</v>
      </c>
      <c r="O68" s="32">
        <f t="shared" ref="O68:O86" si="15">N68-G68</f>
        <v>832169.66601070203</v>
      </c>
      <c r="P68" s="41">
        <f t="shared" ref="P68:P86" si="16">O68/G68</f>
        <v>6.4031584434881161E-2</v>
      </c>
      <c r="Q68" s="12">
        <f t="shared" si="10"/>
        <v>6.4031584434881161E-2</v>
      </c>
      <c r="R68" s="134">
        <f t="shared" si="12"/>
        <v>692506353028.3634</v>
      </c>
      <c r="S68" s="134">
        <f t="shared" ref="S68:S86" si="17">O68-O67</f>
        <v>-33896.793785138056</v>
      </c>
      <c r="T68" s="134">
        <f t="shared" ref="T68:T86" si="18">S68*S68</f>
        <v>1148992628.912174</v>
      </c>
    </row>
    <row r="69" spans="1:20" x14ac:dyDescent="0.2">
      <c r="A69" s="47">
        <v>44408</v>
      </c>
      <c r="B69" s="48">
        <f>Inputs!D126</f>
        <v>15685342.790000003</v>
      </c>
      <c r="C69" s="48">
        <f>Inputs!E126</f>
        <v>213581.17999999996</v>
      </c>
      <c r="D69" s="48">
        <f t="shared" si="11"/>
        <v>15898923.970000003</v>
      </c>
      <c r="E69" s="48">
        <f>Inputs!AE126</f>
        <v>155916.87</v>
      </c>
      <c r="F69" s="48">
        <v>2079124.17</v>
      </c>
      <c r="G69" s="48">
        <f t="shared" si="13"/>
        <v>13663882.930000003</v>
      </c>
      <c r="H69" s="48">
        <f>'Weather Analysis'!J14</f>
        <v>6</v>
      </c>
      <c r="I69" s="48">
        <f>'Weather Analysis'!J33</f>
        <v>76.5</v>
      </c>
      <c r="J69" s="48">
        <v>31</v>
      </c>
      <c r="K69" s="110">
        <v>0</v>
      </c>
      <c r="L69" s="48">
        <f>Inputs!G126+Inputs!I126+Inputs!L126+Inputs!O126+Inputs!R126+Inputs!AA126</f>
        <v>7883</v>
      </c>
      <c r="M69" s="48">
        <v>0</v>
      </c>
      <c r="N69" s="48">
        <f t="shared" si="14"/>
        <v>13918616.730609909</v>
      </c>
      <c r="O69" s="32">
        <f t="shared" si="15"/>
        <v>254733.80060990527</v>
      </c>
      <c r="P69" s="41">
        <f t="shared" si="16"/>
        <v>1.8642855908156203E-2</v>
      </c>
      <c r="Q69" s="12">
        <f t="shared" si="10"/>
        <v>1.8642855908156203E-2</v>
      </c>
      <c r="R69" s="134">
        <f t="shared" si="12"/>
        <v>64889309173.166977</v>
      </c>
      <c r="S69" s="134">
        <f t="shared" si="17"/>
        <v>-577435.86540079676</v>
      </c>
      <c r="T69" s="134">
        <f t="shared" si="18"/>
        <v>333432178651.16705</v>
      </c>
    </row>
    <row r="70" spans="1:20" x14ac:dyDescent="0.2">
      <c r="A70" s="47">
        <v>44439</v>
      </c>
      <c r="B70" s="48">
        <f>Inputs!D127</f>
        <v>17774632.540000003</v>
      </c>
      <c r="C70" s="48">
        <f>Inputs!E127</f>
        <v>222339.34000000003</v>
      </c>
      <c r="D70" s="48">
        <f t="shared" si="11"/>
        <v>17996971.880000003</v>
      </c>
      <c r="E70" s="48">
        <f>Inputs!AE127</f>
        <v>171945.79</v>
      </c>
      <c r="F70" s="48">
        <v>2857704.54</v>
      </c>
      <c r="G70" s="48">
        <f t="shared" si="13"/>
        <v>14967321.550000004</v>
      </c>
      <c r="H70" s="48">
        <f>'Weather Analysis'!J15</f>
        <v>2.2999999999999998</v>
      </c>
      <c r="I70" s="48">
        <f>'Weather Analysis'!J34</f>
        <v>112.89999999999999</v>
      </c>
      <c r="J70" s="48">
        <v>31</v>
      </c>
      <c r="K70" s="110">
        <v>0</v>
      </c>
      <c r="L70" s="48">
        <f>Inputs!G127+Inputs!I127+Inputs!L127+Inputs!O127+Inputs!R127+Inputs!AA127</f>
        <v>7901</v>
      </c>
      <c r="M70" s="48">
        <v>0</v>
      </c>
      <c r="N70" s="48">
        <f t="shared" si="14"/>
        <v>14962826.198823906</v>
      </c>
      <c r="O70" s="32">
        <f t="shared" si="15"/>
        <v>-4495.3511760979891</v>
      </c>
      <c r="P70" s="41">
        <f t="shared" si="16"/>
        <v>-3.0034439769873107E-4</v>
      </c>
      <c r="Q70" s="12">
        <f t="shared" si="10"/>
        <v>3.0034439769873107E-4</v>
      </c>
      <c r="R70" s="134">
        <f t="shared" si="12"/>
        <v>20208182.196445573</v>
      </c>
      <c r="S70" s="134">
        <f t="shared" si="17"/>
        <v>-259229.15178600326</v>
      </c>
      <c r="T70" s="134">
        <f t="shared" si="18"/>
        <v>67199753135.69072</v>
      </c>
    </row>
    <row r="71" spans="1:20" x14ac:dyDescent="0.2">
      <c r="A71" s="47">
        <v>44469</v>
      </c>
      <c r="B71" s="48">
        <f>Inputs!D128</f>
        <v>14020372.270000001</v>
      </c>
      <c r="C71" s="48">
        <f>Inputs!E128</f>
        <v>193179.75</v>
      </c>
      <c r="D71" s="48">
        <f t="shared" si="11"/>
        <v>14213552.020000001</v>
      </c>
      <c r="E71" s="48">
        <f>Inputs!AE128</f>
        <v>148189.84</v>
      </c>
      <c r="F71" s="48">
        <v>2457487.63</v>
      </c>
      <c r="G71" s="48">
        <f t="shared" si="13"/>
        <v>11607874.550000001</v>
      </c>
      <c r="H71" s="48">
        <f>'Weather Analysis'!J16</f>
        <v>58.4</v>
      </c>
      <c r="I71" s="48">
        <f>'Weather Analysis'!J35</f>
        <v>11.700000000000001</v>
      </c>
      <c r="J71" s="48">
        <v>30</v>
      </c>
      <c r="K71" s="110">
        <v>1</v>
      </c>
      <c r="L71" s="48">
        <f>Inputs!G128+Inputs!I128+Inputs!L128+Inputs!O128+Inputs!R128+Inputs!AA128</f>
        <v>7934</v>
      </c>
      <c r="M71" s="48">
        <v>0</v>
      </c>
      <c r="N71" s="48">
        <f t="shared" si="14"/>
        <v>11436456.472416161</v>
      </c>
      <c r="O71" s="32">
        <f t="shared" si="15"/>
        <v>-171418.07758384012</v>
      </c>
      <c r="P71" s="41">
        <f t="shared" si="16"/>
        <v>-1.4767395774779467E-2</v>
      </c>
      <c r="Q71" s="12">
        <f t="shared" si="10"/>
        <v>1.4767395774779467E-2</v>
      </c>
      <c r="R71" s="134">
        <f t="shared" si="12"/>
        <v>29384157322.539429</v>
      </c>
      <c r="S71" s="134">
        <f t="shared" si="17"/>
        <v>-166922.72640774213</v>
      </c>
      <c r="T71" s="134">
        <f t="shared" si="18"/>
        <v>27863196591.393932</v>
      </c>
    </row>
    <row r="72" spans="1:20" x14ac:dyDescent="0.2">
      <c r="A72" s="47">
        <v>44500</v>
      </c>
      <c r="B72" s="48">
        <f>Inputs!D129</f>
        <v>13896446.370000001</v>
      </c>
      <c r="C72" s="48">
        <f>Inputs!E129</f>
        <v>100673.29000000002</v>
      </c>
      <c r="D72" s="48">
        <f t="shared" si="11"/>
        <v>13997119.66</v>
      </c>
      <c r="E72" s="48">
        <f>Inputs!AE129</f>
        <v>161878.74</v>
      </c>
      <c r="F72" s="48">
        <v>2421664.91</v>
      </c>
      <c r="G72" s="48">
        <f t="shared" si="13"/>
        <v>11413576.01</v>
      </c>
      <c r="H72" s="48">
        <f>'Weather Analysis'!J17</f>
        <v>157.30000000000001</v>
      </c>
      <c r="I72" s="48">
        <f>'Weather Analysis'!J36</f>
        <v>10.3</v>
      </c>
      <c r="J72" s="48">
        <v>31</v>
      </c>
      <c r="K72" s="110">
        <v>1</v>
      </c>
      <c r="L72" s="48">
        <f>Inputs!G129+Inputs!I129+Inputs!L129+Inputs!O129+Inputs!R129+Inputs!AA129</f>
        <v>7977</v>
      </c>
      <c r="M72" s="48">
        <v>0</v>
      </c>
      <c r="N72" s="48">
        <f t="shared" si="14"/>
        <v>12005362.723320184</v>
      </c>
      <c r="O72" s="32">
        <f t="shared" si="15"/>
        <v>591786.7133201845</v>
      </c>
      <c r="P72" s="41">
        <f t="shared" si="16"/>
        <v>5.1849368927117216E-2</v>
      </c>
      <c r="Q72" s="12">
        <f t="shared" si="10"/>
        <v>5.1849368927117216E-2</v>
      </c>
      <c r="R72" s="134">
        <f t="shared" si="12"/>
        <v>350211514062.30621</v>
      </c>
      <c r="S72" s="134">
        <f t="shared" si="17"/>
        <v>763204.79090402462</v>
      </c>
      <c r="T72" s="134">
        <f t="shared" si="18"/>
        <v>582481552858.85596</v>
      </c>
    </row>
    <row r="73" spans="1:20" x14ac:dyDescent="0.2">
      <c r="A73" s="47">
        <v>44530</v>
      </c>
      <c r="B73" s="48">
        <f>Inputs!D130</f>
        <v>14538013.570000002</v>
      </c>
      <c r="C73" s="48">
        <f>Inputs!E130</f>
        <v>75643.289999999994</v>
      </c>
      <c r="D73" s="48">
        <f t="shared" si="11"/>
        <v>14613656.860000001</v>
      </c>
      <c r="E73" s="48">
        <f>Inputs!AE130</f>
        <v>216918.55</v>
      </c>
      <c r="F73" s="48">
        <v>2535706.0500000003</v>
      </c>
      <c r="G73" s="48">
        <f t="shared" si="13"/>
        <v>11861032.26</v>
      </c>
      <c r="H73" s="48">
        <f>'Weather Analysis'!J18</f>
        <v>447.7000000000001</v>
      </c>
      <c r="I73" s="48">
        <f>'Weather Analysis'!J37</f>
        <v>0</v>
      </c>
      <c r="J73" s="48">
        <v>30</v>
      </c>
      <c r="K73" s="110">
        <v>0</v>
      </c>
      <c r="L73" s="48">
        <f>Inputs!G130+Inputs!I130+Inputs!L130+Inputs!O130+Inputs!R130+Inputs!AA130</f>
        <v>8016</v>
      </c>
      <c r="M73" s="48">
        <v>0</v>
      </c>
      <c r="N73" s="48">
        <f t="shared" si="14"/>
        <v>12407835.664981239</v>
      </c>
      <c r="O73" s="32">
        <f t="shared" si="15"/>
        <v>546803.40498123877</v>
      </c>
      <c r="P73" s="41">
        <f t="shared" si="16"/>
        <v>4.6100827735312037E-2</v>
      </c>
      <c r="Q73" s="12">
        <f t="shared" si="10"/>
        <v>4.6100827735312037E-2</v>
      </c>
      <c r="R73" s="134">
        <f t="shared" si="12"/>
        <v>298993963699.0766</v>
      </c>
      <c r="S73" s="134">
        <f t="shared" si="17"/>
        <v>-44983.308338945732</v>
      </c>
      <c r="T73" s="134">
        <f t="shared" si="18"/>
        <v>2023498029.1166646</v>
      </c>
    </row>
    <row r="74" spans="1:20" x14ac:dyDescent="0.2">
      <c r="A74" s="47">
        <v>44561</v>
      </c>
      <c r="B74" s="48">
        <f>Inputs!D131</f>
        <v>14738839.719999997</v>
      </c>
      <c r="C74" s="48">
        <f>Inputs!E131</f>
        <v>46959.739999999991</v>
      </c>
      <c r="D74" s="48">
        <f t="shared" si="11"/>
        <v>14785799.459999997</v>
      </c>
      <c r="E74" s="48">
        <f>Inputs!AE131</f>
        <v>205565.01</v>
      </c>
      <c r="F74" s="48">
        <v>2333799.2400000002</v>
      </c>
      <c r="G74" s="48">
        <f t="shared" si="13"/>
        <v>12246435.209999997</v>
      </c>
      <c r="H74" s="48">
        <f>'Weather Analysis'!J19</f>
        <v>515.4</v>
      </c>
      <c r="I74" s="48">
        <f>'Weather Analysis'!J38</f>
        <v>0</v>
      </c>
      <c r="J74" s="48">
        <v>31</v>
      </c>
      <c r="K74" s="110">
        <v>0</v>
      </c>
      <c r="L74" s="48">
        <f>Inputs!G131+Inputs!I131+Inputs!L131+Inputs!O131+Inputs!R131+Inputs!AA131</f>
        <v>8043</v>
      </c>
      <c r="M74" s="48">
        <v>0</v>
      </c>
      <c r="N74" s="48">
        <f t="shared" si="14"/>
        <v>12932981.492957776</v>
      </c>
      <c r="O74" s="32">
        <f t="shared" si="15"/>
        <v>686546.28295777924</v>
      </c>
      <c r="P74" s="41">
        <f t="shared" si="16"/>
        <v>5.6060908434576152E-2</v>
      </c>
      <c r="Q74" s="12">
        <f t="shared" si="10"/>
        <v>5.6060908434576152E-2</v>
      </c>
      <c r="R74" s="134">
        <f t="shared" si="12"/>
        <v>471345798643.14307</v>
      </c>
      <c r="S74" s="134">
        <f t="shared" si="17"/>
        <v>139742.87797654048</v>
      </c>
      <c r="T74" s="134">
        <f t="shared" si="18"/>
        <v>19528071945.166283</v>
      </c>
    </row>
    <row r="75" spans="1:20" x14ac:dyDescent="0.2">
      <c r="A75" s="47">
        <v>44592</v>
      </c>
      <c r="B75" s="48">
        <f>Inputs!D132</f>
        <v>16412005.120000001</v>
      </c>
      <c r="C75" s="48">
        <f>Inputs!E132</f>
        <v>39551.119999999995</v>
      </c>
      <c r="D75" s="48">
        <f t="shared" si="11"/>
        <v>16451556.24</v>
      </c>
      <c r="E75" s="48">
        <f>Inputs!AE132</f>
        <v>229885.46</v>
      </c>
      <c r="F75" s="48">
        <v>2704683.5200000005</v>
      </c>
      <c r="G75" s="48">
        <f t="shared" si="13"/>
        <v>13516987.259999998</v>
      </c>
      <c r="H75" s="48">
        <f>'Weather Analysis'!K8</f>
        <v>824.49999999999989</v>
      </c>
      <c r="I75" s="48">
        <f>'Weather Analysis'!K27</f>
        <v>0</v>
      </c>
      <c r="J75" s="48">
        <v>31</v>
      </c>
      <c r="K75" s="110">
        <v>0</v>
      </c>
      <c r="L75" s="48">
        <f>Inputs!G132+Inputs!I132+Inputs!L132+Inputs!O132+Inputs!R132+Inputs!AA132</f>
        <v>8062</v>
      </c>
      <c r="M75" s="48">
        <v>0</v>
      </c>
      <c r="N75" s="48">
        <f t="shared" si="14"/>
        <v>13467834.077451067</v>
      </c>
      <c r="O75" s="32">
        <f t="shared" si="15"/>
        <v>-49153.182548930869</v>
      </c>
      <c r="P75" s="41">
        <f t="shared" si="16"/>
        <v>-3.6364007454817173E-3</v>
      </c>
      <c r="Q75" s="12">
        <f t="shared" si="10"/>
        <v>3.6364007454817173E-3</v>
      </c>
      <c r="R75" s="134">
        <f t="shared" si="12"/>
        <v>2416035354.6885219</v>
      </c>
      <c r="S75" s="134">
        <f t="shared" si="17"/>
        <v>-735699.46550671011</v>
      </c>
      <c r="T75" s="134">
        <f t="shared" si="18"/>
        <v>541253703546.85895</v>
      </c>
    </row>
    <row r="76" spans="1:20" x14ac:dyDescent="0.2">
      <c r="A76" s="47">
        <v>44620</v>
      </c>
      <c r="B76" s="48">
        <f>Inputs!D133</f>
        <v>14716423.85</v>
      </c>
      <c r="C76" s="48">
        <f>Inputs!E133</f>
        <v>71042.73</v>
      </c>
      <c r="D76" s="48">
        <f t="shared" si="11"/>
        <v>14787466.58</v>
      </c>
      <c r="E76" s="48">
        <f>Inputs!AE133</f>
        <v>215471.86000000002</v>
      </c>
      <c r="F76" s="48">
        <v>2459020.0700000003</v>
      </c>
      <c r="G76" s="48">
        <f t="shared" si="13"/>
        <v>12112974.65</v>
      </c>
      <c r="H76" s="48">
        <f>'Weather Analysis'!K9</f>
        <v>635.30000000000018</v>
      </c>
      <c r="I76" s="48">
        <f>'Weather Analysis'!K28</f>
        <v>0</v>
      </c>
      <c r="J76" s="48">
        <v>28</v>
      </c>
      <c r="K76" s="110">
        <v>0</v>
      </c>
      <c r="L76" s="48">
        <f>Inputs!G133+Inputs!I133+Inputs!L133+Inputs!O133+Inputs!R133+Inputs!AA133</f>
        <v>8086</v>
      </c>
      <c r="M76" s="48">
        <v>0</v>
      </c>
      <c r="N76" s="48">
        <f t="shared" si="14"/>
        <v>12129072.612446912</v>
      </c>
      <c r="O76" s="32">
        <f t="shared" si="15"/>
        <v>16097.96244691126</v>
      </c>
      <c r="P76" s="41">
        <f t="shared" si="16"/>
        <v>1.3289850686603443E-3</v>
      </c>
      <c r="Q76" s="12">
        <f t="shared" si="10"/>
        <v>1.3289850686603443E-3</v>
      </c>
      <c r="R76" s="134">
        <f t="shared" si="12"/>
        <v>259144394.94216517</v>
      </c>
      <c r="S76" s="134">
        <f t="shared" si="17"/>
        <v>65251.144995842129</v>
      </c>
      <c r="T76" s="134">
        <f t="shared" si="18"/>
        <v>4257711923.2684135</v>
      </c>
    </row>
    <row r="77" spans="1:20" x14ac:dyDescent="0.2">
      <c r="A77" s="47">
        <v>44651</v>
      </c>
      <c r="B77" s="48">
        <f>Inputs!D134</f>
        <v>15784695.399999995</v>
      </c>
      <c r="C77" s="48">
        <f>Inputs!E134</f>
        <v>118490.18000000001</v>
      </c>
      <c r="D77" s="48">
        <f t="shared" si="11"/>
        <v>15903185.579999994</v>
      </c>
      <c r="E77" s="48">
        <f>Inputs!AE134</f>
        <v>258483.46000000002</v>
      </c>
      <c r="F77" s="48">
        <v>2650068.8200000003</v>
      </c>
      <c r="G77" s="48">
        <f t="shared" si="13"/>
        <v>12994633.299999993</v>
      </c>
      <c r="H77" s="48">
        <f>'Weather Analysis'!K10</f>
        <v>499.2</v>
      </c>
      <c r="I77" s="48">
        <f>'Weather Analysis'!K29</f>
        <v>0</v>
      </c>
      <c r="J77" s="48">
        <v>31</v>
      </c>
      <c r="K77" s="110">
        <v>1</v>
      </c>
      <c r="L77" s="48">
        <f>Inputs!G134+Inputs!I134+Inputs!L134+Inputs!O134+Inputs!R134+Inputs!AA134</f>
        <v>8093</v>
      </c>
      <c r="M77" s="48">
        <v>0</v>
      </c>
      <c r="N77" s="48">
        <f t="shared" si="14"/>
        <v>12504131.951131389</v>
      </c>
      <c r="O77" s="32">
        <f t="shared" si="15"/>
        <v>-490501.34886860475</v>
      </c>
      <c r="P77" s="41">
        <f t="shared" si="16"/>
        <v>-3.7746455597835529E-2</v>
      </c>
      <c r="Q77" s="12">
        <f t="shared" si="10"/>
        <v>3.7746455597835529E-2</v>
      </c>
      <c r="R77" s="134">
        <f t="shared" si="12"/>
        <v>240591573241.92072</v>
      </c>
      <c r="S77" s="134">
        <f t="shared" si="17"/>
        <v>-506599.31131551601</v>
      </c>
      <c r="T77" s="134">
        <f t="shared" si="18"/>
        <v>256642862225.3551</v>
      </c>
    </row>
    <row r="78" spans="1:20" x14ac:dyDescent="0.2">
      <c r="A78" s="47">
        <v>44681</v>
      </c>
      <c r="B78" s="48">
        <f>Inputs!D135</f>
        <v>13400986.82</v>
      </c>
      <c r="C78" s="48">
        <f>Inputs!E135</f>
        <v>183397.94000000003</v>
      </c>
      <c r="D78" s="48">
        <f t="shared" si="11"/>
        <v>13584384.76</v>
      </c>
      <c r="E78" s="48">
        <f>Inputs!AE135</f>
        <v>215327.68000000002</v>
      </c>
      <c r="F78" s="48">
        <v>2124042.29</v>
      </c>
      <c r="G78" s="48">
        <f t="shared" si="13"/>
        <v>11245014.789999999</v>
      </c>
      <c r="H78" s="48">
        <f>'Weather Analysis'!K11</f>
        <v>371.9</v>
      </c>
      <c r="I78" s="48">
        <f>'Weather Analysis'!K30</f>
        <v>0</v>
      </c>
      <c r="J78" s="48">
        <v>30</v>
      </c>
      <c r="K78" s="110">
        <v>1</v>
      </c>
      <c r="L78" s="48">
        <f>Inputs!G135+Inputs!I135+Inputs!L135+Inputs!O135+Inputs!R135+Inputs!AA135</f>
        <v>8106</v>
      </c>
      <c r="M78" s="48">
        <v>0</v>
      </c>
      <c r="N78" s="48">
        <f t="shared" si="14"/>
        <v>11965000.670862881</v>
      </c>
      <c r="O78" s="32">
        <f t="shared" si="15"/>
        <v>719985.88086288236</v>
      </c>
      <c r="P78" s="41">
        <f t="shared" si="16"/>
        <v>6.4027117287845062E-2</v>
      </c>
      <c r="Q78" s="12">
        <f t="shared" si="10"/>
        <v>6.4027117287845062E-2</v>
      </c>
      <c r="R78" s="134">
        <f t="shared" si="12"/>
        <v>518379668641.90063</v>
      </c>
      <c r="S78" s="134">
        <f t="shared" si="17"/>
        <v>1210487.2297314871</v>
      </c>
      <c r="T78" s="134">
        <f t="shared" si="18"/>
        <v>1465279333343.01</v>
      </c>
    </row>
    <row r="79" spans="1:20" x14ac:dyDescent="0.2">
      <c r="A79" s="47">
        <v>44712</v>
      </c>
      <c r="B79" s="48">
        <f>Inputs!D136</f>
        <v>14301607.030000005</v>
      </c>
      <c r="C79" s="48">
        <f>Inputs!E136</f>
        <v>237124.88999999996</v>
      </c>
      <c r="D79" s="48">
        <f t="shared" si="11"/>
        <v>14538731.920000006</v>
      </c>
      <c r="E79" s="48">
        <f>Inputs!AE136</f>
        <v>190188.46999999997</v>
      </c>
      <c r="F79" s="48">
        <v>2149731.92</v>
      </c>
      <c r="G79" s="48">
        <f t="shared" si="13"/>
        <v>12198811.530000005</v>
      </c>
      <c r="H79" s="48">
        <f>'Weather Analysis'!K12</f>
        <v>120.5</v>
      </c>
      <c r="I79" s="48">
        <f>'Weather Analysis'!K31</f>
        <v>23.699999999999996</v>
      </c>
      <c r="J79" s="48">
        <v>31</v>
      </c>
      <c r="K79" s="110">
        <v>1</v>
      </c>
      <c r="L79" s="48">
        <f>Inputs!G136+Inputs!I136+Inputs!L136+Inputs!O136+Inputs!R136+Inputs!AA136</f>
        <v>8119</v>
      </c>
      <c r="M79" s="48">
        <v>0</v>
      </c>
      <c r="N79" s="48">
        <f t="shared" si="14"/>
        <v>12609276.034867484</v>
      </c>
      <c r="O79" s="32">
        <f t="shared" si="15"/>
        <v>410464.50486747921</v>
      </c>
      <c r="P79" s="41">
        <f t="shared" si="16"/>
        <v>3.3647909376912803E-2</v>
      </c>
      <c r="Q79" s="12">
        <f t="shared" si="10"/>
        <v>3.3647909376912803E-2</v>
      </c>
      <c r="R79" s="134">
        <f t="shared" si="12"/>
        <v>168481109756.10486</v>
      </c>
      <c r="S79" s="134">
        <f t="shared" si="17"/>
        <v>-309521.37599540316</v>
      </c>
      <c r="T79" s="134">
        <f t="shared" si="18"/>
        <v>95803482198.087738</v>
      </c>
    </row>
    <row r="80" spans="1:20" x14ac:dyDescent="0.2">
      <c r="A80" s="47">
        <v>44742</v>
      </c>
      <c r="B80" s="48">
        <f>Inputs!D137</f>
        <v>15576117.430000002</v>
      </c>
      <c r="C80" s="48">
        <f>Inputs!E137</f>
        <v>248877.21999999997</v>
      </c>
      <c r="D80" s="48">
        <f t="shared" si="11"/>
        <v>15824994.650000002</v>
      </c>
      <c r="E80" s="48">
        <f>Inputs!AE137</f>
        <v>186475.58000000002</v>
      </c>
      <c r="F80" s="48">
        <v>2378714.67</v>
      </c>
      <c r="G80" s="48">
        <f t="shared" si="13"/>
        <v>13259804.400000002</v>
      </c>
      <c r="H80" s="48">
        <f>'Weather Analysis'!K13</f>
        <v>36.700000000000003</v>
      </c>
      <c r="I80" s="48">
        <f>'Weather Analysis'!K32</f>
        <v>45.5</v>
      </c>
      <c r="J80" s="48">
        <v>30</v>
      </c>
      <c r="K80" s="110">
        <v>0</v>
      </c>
      <c r="L80" s="48">
        <f>Inputs!G137+Inputs!I137+Inputs!L137+Inputs!O137+Inputs!R137+Inputs!AA137</f>
        <v>8166</v>
      </c>
      <c r="M80" s="48">
        <v>0</v>
      </c>
      <c r="N80" s="48">
        <f t="shared" si="14"/>
        <v>13321227.255747147</v>
      </c>
      <c r="O80" s="32">
        <f t="shared" si="15"/>
        <v>61422.855747144669</v>
      </c>
      <c r="P80" s="41">
        <f t="shared" si="16"/>
        <v>4.6322595638850191E-3</v>
      </c>
      <c r="Q80" s="12">
        <f t="shared" si="10"/>
        <v>4.6322595638850191E-3</v>
      </c>
      <c r="R80" s="134">
        <f t="shared" si="12"/>
        <v>3772767208.1345429</v>
      </c>
      <c r="S80" s="134">
        <f t="shared" si="17"/>
        <v>-349041.64912033454</v>
      </c>
      <c r="T80" s="134">
        <f t="shared" si="18"/>
        <v>121830072820.64273</v>
      </c>
    </row>
    <row r="81" spans="1:20" x14ac:dyDescent="0.2">
      <c r="A81" s="47">
        <v>44773</v>
      </c>
      <c r="B81" s="48">
        <f>Inputs!D138</f>
        <v>17012436.870000001</v>
      </c>
      <c r="C81" s="48">
        <f>Inputs!E138</f>
        <v>229151.86</v>
      </c>
      <c r="D81" s="48">
        <f t="shared" si="11"/>
        <v>17241588.73</v>
      </c>
      <c r="E81" s="48">
        <f>Inputs!AE138</f>
        <v>188489.26</v>
      </c>
      <c r="F81" s="48">
        <v>2333898.79</v>
      </c>
      <c r="G81" s="48">
        <f t="shared" si="13"/>
        <v>14719200.68</v>
      </c>
      <c r="H81" s="48">
        <f>'Weather Analysis'!K14</f>
        <v>0.9</v>
      </c>
      <c r="I81" s="48">
        <f>'Weather Analysis'!K33</f>
        <v>80</v>
      </c>
      <c r="J81" s="48">
        <v>31</v>
      </c>
      <c r="K81" s="110">
        <v>0</v>
      </c>
      <c r="L81" s="48">
        <f>Inputs!G138+Inputs!I138+Inputs!L138+Inputs!O138+Inputs!R138+Inputs!AA138</f>
        <v>8192</v>
      </c>
      <c r="M81" s="48">
        <v>0</v>
      </c>
      <c r="N81" s="48">
        <f t="shared" si="14"/>
        <v>14638729.901673829</v>
      </c>
      <c r="O81" s="32">
        <f t="shared" si="15"/>
        <v>-80470.778326170519</v>
      </c>
      <c r="P81" s="41">
        <f t="shared" si="16"/>
        <v>-5.4670617023050549E-3</v>
      </c>
      <c r="Q81" s="12">
        <f t="shared" si="10"/>
        <v>5.4670617023050549E-3</v>
      </c>
      <c r="R81" s="134">
        <f t="shared" si="12"/>
        <v>6475546164.4196749</v>
      </c>
      <c r="S81" s="134">
        <f t="shared" si="17"/>
        <v>-141893.63407331519</v>
      </c>
      <c r="T81" s="134">
        <f t="shared" si="18"/>
        <v>20133803390.531872</v>
      </c>
    </row>
    <row r="82" spans="1:20" x14ac:dyDescent="0.2">
      <c r="A82" s="47">
        <v>44804</v>
      </c>
      <c r="B82" s="48">
        <f>Inputs!D139</f>
        <v>17747489.990000002</v>
      </c>
      <c r="C82" s="48">
        <f>Inputs!E139</f>
        <v>216120.18</v>
      </c>
      <c r="D82" s="48">
        <f t="shared" si="11"/>
        <v>17963610.170000002</v>
      </c>
      <c r="E82" s="48">
        <f>Inputs!AE139</f>
        <v>201468.34999999998</v>
      </c>
      <c r="F82" s="48">
        <v>2759316.12</v>
      </c>
      <c r="G82" s="48">
        <f t="shared" si="13"/>
        <v>15002825.699999999</v>
      </c>
      <c r="H82" s="48">
        <f>'Weather Analysis'!K15</f>
        <v>2.2000000000000002</v>
      </c>
      <c r="I82" s="48">
        <f>'Weather Analysis'!K34</f>
        <v>71.5</v>
      </c>
      <c r="J82" s="48">
        <v>31</v>
      </c>
      <c r="K82" s="110">
        <v>0</v>
      </c>
      <c r="L82" s="48">
        <f>Inputs!G139+Inputs!I139+Inputs!L139+Inputs!O139+Inputs!R139+Inputs!AA139</f>
        <v>8221</v>
      </c>
      <c r="M82" s="48">
        <v>0</v>
      </c>
      <c r="N82" s="48">
        <f t="shared" si="14"/>
        <v>14463377.47911768</v>
      </c>
      <c r="O82" s="32">
        <f t="shared" si="15"/>
        <v>-539448.22088231891</v>
      </c>
      <c r="P82" s="41">
        <f t="shared" si="16"/>
        <v>-3.5956441251085047E-2</v>
      </c>
      <c r="Q82" s="12">
        <f t="shared" si="10"/>
        <v>3.5956441251085047E-2</v>
      </c>
      <c r="R82" s="134">
        <f t="shared" si="12"/>
        <v>291004383013.09912</v>
      </c>
      <c r="S82" s="134">
        <f t="shared" si="17"/>
        <v>-458977.44255614839</v>
      </c>
      <c r="T82" s="134">
        <f t="shared" si="18"/>
        <v>210660292775.38251</v>
      </c>
    </row>
    <row r="83" spans="1:20" x14ac:dyDescent="0.2">
      <c r="A83" s="47">
        <v>44834</v>
      </c>
      <c r="B83" s="48">
        <f>Inputs!D140</f>
        <v>14825218.609999998</v>
      </c>
      <c r="C83" s="48">
        <f>Inputs!E140</f>
        <v>177422.69</v>
      </c>
      <c r="D83" s="48">
        <f t="shared" si="11"/>
        <v>15002641.299999997</v>
      </c>
      <c r="E83" s="48">
        <f>Inputs!AE140</f>
        <v>184986.37</v>
      </c>
      <c r="F83" s="48">
        <v>2284987.33</v>
      </c>
      <c r="G83" s="48">
        <f t="shared" si="13"/>
        <v>12532667.599999998</v>
      </c>
      <c r="H83" s="48">
        <f>'Weather Analysis'!K16</f>
        <v>69.899999999999991</v>
      </c>
      <c r="I83" s="48">
        <f>'Weather Analysis'!K35</f>
        <v>26.900000000000006</v>
      </c>
      <c r="J83" s="48">
        <v>30</v>
      </c>
      <c r="K83" s="110">
        <v>1</v>
      </c>
      <c r="L83" s="48">
        <f>Inputs!G140+Inputs!I140+Inputs!L140+Inputs!O140+Inputs!R140+Inputs!AA140</f>
        <v>8244</v>
      </c>
      <c r="M83" s="48">
        <v>0</v>
      </c>
      <c r="N83" s="48">
        <f t="shared" si="14"/>
        <v>12510987.171165999</v>
      </c>
      <c r="O83" s="32">
        <f t="shared" si="15"/>
        <v>-21680.42883399874</v>
      </c>
      <c r="P83" s="41">
        <f t="shared" si="16"/>
        <v>-1.7299133373647239E-3</v>
      </c>
      <c r="Q83" s="12">
        <f t="shared" si="10"/>
        <v>1.7299133373647239E-3</v>
      </c>
      <c r="R83" s="134">
        <f t="shared" si="12"/>
        <v>470040994.42608398</v>
      </c>
      <c r="S83" s="134">
        <f t="shared" si="17"/>
        <v>517767.79204832017</v>
      </c>
      <c r="T83" s="134">
        <f t="shared" si="18"/>
        <v>268083486482.59253</v>
      </c>
    </row>
    <row r="84" spans="1:20" x14ac:dyDescent="0.2">
      <c r="A84" s="47">
        <v>44865</v>
      </c>
      <c r="B84" s="48">
        <f>Inputs!D141</f>
        <v>13962206.960000001</v>
      </c>
      <c r="C84" s="48">
        <f>Inputs!E141</f>
        <v>150969.89999999997</v>
      </c>
      <c r="D84" s="48">
        <f t="shared" si="11"/>
        <v>14113176.860000001</v>
      </c>
      <c r="E84" s="48">
        <f>Inputs!AE141</f>
        <v>203934.89</v>
      </c>
      <c r="F84" s="48">
        <v>2142061.7199999997</v>
      </c>
      <c r="G84" s="48">
        <f t="shared" si="13"/>
        <v>11767180.25</v>
      </c>
      <c r="H84" s="48">
        <f>'Weather Analysis'!K17</f>
        <v>254</v>
      </c>
      <c r="I84" s="48">
        <f>'Weather Analysis'!K36</f>
        <v>0</v>
      </c>
      <c r="J84" s="48">
        <v>31</v>
      </c>
      <c r="K84" s="110">
        <v>1</v>
      </c>
      <c r="L84" s="48">
        <f>Inputs!G141+Inputs!I141+Inputs!L141+Inputs!O141+Inputs!R141+Inputs!AA141</f>
        <v>8288</v>
      </c>
      <c r="M84" s="48">
        <v>0</v>
      </c>
      <c r="N84" s="48">
        <f t="shared" si="14"/>
        <v>12508733.25362397</v>
      </c>
      <c r="O84" s="32">
        <f t="shared" si="15"/>
        <v>741553.00362396985</v>
      </c>
      <c r="P84" s="41">
        <f t="shared" si="16"/>
        <v>6.3018751125527281E-2</v>
      </c>
      <c r="Q84" s="12">
        <f t="shared" si="10"/>
        <v>6.3018751125527281E-2</v>
      </c>
      <c r="R84" s="134">
        <f t="shared" si="12"/>
        <v>549900857183.73145</v>
      </c>
      <c r="S84" s="134">
        <f t="shared" si="17"/>
        <v>763233.43245796859</v>
      </c>
      <c r="T84" s="134">
        <f t="shared" si="18"/>
        <v>582525272421.57251</v>
      </c>
    </row>
    <row r="85" spans="1:20" x14ac:dyDescent="0.2">
      <c r="A85" s="47">
        <v>44895</v>
      </c>
      <c r="B85" s="48">
        <f>Inputs!D142</f>
        <v>14546118.099999998</v>
      </c>
      <c r="C85" s="48">
        <f>Inputs!E142</f>
        <v>89129.83</v>
      </c>
      <c r="D85" s="48">
        <f t="shared" si="11"/>
        <v>14635247.929999998</v>
      </c>
      <c r="E85" s="48">
        <f>Inputs!AE142</f>
        <v>227343.93</v>
      </c>
      <c r="F85" s="48">
        <v>2384245.9500000002</v>
      </c>
      <c r="G85" s="48">
        <f t="shared" si="13"/>
        <v>12023658.049999997</v>
      </c>
      <c r="H85" s="48">
        <f>'Weather Analysis'!K18</f>
        <v>401.29999999999995</v>
      </c>
      <c r="I85" s="48">
        <f>'Weather Analysis'!K37</f>
        <v>0.4</v>
      </c>
      <c r="J85" s="48">
        <v>30</v>
      </c>
      <c r="K85" s="110">
        <v>0</v>
      </c>
      <c r="L85" s="48">
        <f>Inputs!G142+Inputs!I142+Inputs!L142+Inputs!O142+Inputs!R142+Inputs!AA142</f>
        <v>8301</v>
      </c>
      <c r="M85" s="48">
        <v>0</v>
      </c>
      <c r="N85" s="48">
        <f t="shared" si="14"/>
        <v>12926363.705397248</v>
      </c>
      <c r="O85" s="32">
        <f t="shared" si="15"/>
        <v>902705.65539725125</v>
      </c>
      <c r="P85" s="41">
        <f t="shared" si="16"/>
        <v>7.5077455766238421E-2</v>
      </c>
      <c r="Q85" s="12">
        <f t="shared" si="10"/>
        <v>7.5077455766238421E-2</v>
      </c>
      <c r="R85" s="134">
        <f t="shared" si="12"/>
        <v>814877500286.18091</v>
      </c>
      <c r="S85" s="134">
        <f t="shared" si="17"/>
        <v>161152.6517732814</v>
      </c>
      <c r="T85" s="134">
        <f t="shared" si="18"/>
        <v>25970177173.560493</v>
      </c>
    </row>
    <row r="86" spans="1:20" x14ac:dyDescent="0.2">
      <c r="A86" s="47">
        <v>44926</v>
      </c>
      <c r="B86" s="48">
        <f>Inputs!D143</f>
        <v>15060786.930000003</v>
      </c>
      <c r="C86" s="48">
        <f>Inputs!E143</f>
        <v>37383.910000000003</v>
      </c>
      <c r="D86" s="48">
        <f t="shared" si="11"/>
        <v>15098170.840000004</v>
      </c>
      <c r="E86" s="48">
        <f>Inputs!AE143</f>
        <v>219977.99</v>
      </c>
      <c r="F86" s="48">
        <v>2024507.74</v>
      </c>
      <c r="G86" s="48">
        <f t="shared" si="13"/>
        <v>12853685.110000003</v>
      </c>
      <c r="H86" s="48">
        <f>'Weather Analysis'!K19</f>
        <v>557.30000000000007</v>
      </c>
      <c r="I86" s="48">
        <f>'Weather Analysis'!K38</f>
        <v>0</v>
      </c>
      <c r="J86" s="48">
        <v>31</v>
      </c>
      <c r="K86" s="110">
        <v>0</v>
      </c>
      <c r="L86" s="48">
        <f>Inputs!G143+Inputs!I143+Inputs!L143+Inputs!O143+Inputs!R143+Inputs!AA143</f>
        <v>8315</v>
      </c>
      <c r="M86" s="48">
        <v>0</v>
      </c>
      <c r="N86" s="48">
        <f t="shared" si="14"/>
        <v>13555541.528921477</v>
      </c>
      <c r="O86" s="32">
        <f t="shared" si="15"/>
        <v>701856.41892147437</v>
      </c>
      <c r="P86" s="41">
        <f t="shared" si="16"/>
        <v>5.4603517428277362E-2</v>
      </c>
      <c r="Q86" s="12">
        <f t="shared" si="10"/>
        <v>5.4603517428277362E-2</v>
      </c>
      <c r="R86" s="134">
        <f t="shared" si="12"/>
        <v>492602432781.27612</v>
      </c>
      <c r="S86" s="134">
        <f t="shared" si="17"/>
        <v>-200849.23647577688</v>
      </c>
      <c r="T86" s="134">
        <f t="shared" si="18"/>
        <v>40340415792.902542</v>
      </c>
    </row>
    <row r="87" spans="1:20" x14ac:dyDescent="0.2">
      <c r="A87" s="47">
        <v>44957</v>
      </c>
      <c r="B87" s="48">
        <f>Inputs!D144</f>
        <v>15764179.122748416</v>
      </c>
      <c r="C87" s="48">
        <f>Inputs!E144</f>
        <v>27611.989999999998</v>
      </c>
      <c r="D87" s="48">
        <f t="shared" si="11"/>
        <v>15791791.112748416</v>
      </c>
      <c r="E87" s="48">
        <v>0</v>
      </c>
      <c r="F87" s="56">
        <f>F75*(P$123/P$122)</f>
        <v>2144595.380587332</v>
      </c>
      <c r="G87" s="48">
        <f t="shared" si="13"/>
        <v>13647195.732161084</v>
      </c>
      <c r="H87" s="93">
        <v>545.69999999999993</v>
      </c>
      <c r="I87" s="93">
        <v>0</v>
      </c>
      <c r="J87" s="93">
        <v>31</v>
      </c>
      <c r="K87" s="111">
        <v>0</v>
      </c>
      <c r="L87" s="48">
        <f>'Rate Class Customer Model'!Q12</f>
        <v>8322.054935186803</v>
      </c>
      <c r="M87" s="48">
        <v>0</v>
      </c>
      <c r="N87" s="48">
        <f t="shared" si="14"/>
        <v>13551328.544973444</v>
      </c>
      <c r="O87" s="32"/>
      <c r="Q87" s="5">
        <f>AVERAGE(Q3:Q86)</f>
        <v>2.9863386732185932E-2</v>
      </c>
      <c r="R87" s="134">
        <f>SUM(R3:R86)</f>
        <v>15623549459794.395</v>
      </c>
      <c r="S87" s="134"/>
      <c r="T87" s="134">
        <f>SUM(T4:T86)</f>
        <v>16438527458152.951</v>
      </c>
    </row>
    <row r="88" spans="1:20" x14ac:dyDescent="0.2">
      <c r="A88" s="47">
        <v>44985</v>
      </c>
      <c r="B88" s="48">
        <f>Inputs!D145</f>
        <v>14136641.043564996</v>
      </c>
      <c r="C88" s="48">
        <f>Inputs!E145</f>
        <v>64932.92</v>
      </c>
      <c r="D88" s="48">
        <f t="shared" si="11"/>
        <v>14201573.963564996</v>
      </c>
      <c r="E88" s="48">
        <v>0</v>
      </c>
      <c r="F88" s="56">
        <f t="shared" ref="F88:F98" si="19">F76*(P$123/P$122)</f>
        <v>1949804.1245481977</v>
      </c>
      <c r="G88" s="48">
        <f t="shared" si="13"/>
        <v>12251769.839016799</v>
      </c>
      <c r="H88" s="93">
        <v>534.49999999999989</v>
      </c>
      <c r="I88" s="93">
        <v>0</v>
      </c>
      <c r="J88" s="93">
        <v>28</v>
      </c>
      <c r="K88" s="111">
        <v>0</v>
      </c>
      <c r="L88" s="48">
        <f>'Rate Class Customer Model'!Q13</f>
        <v>8329.1158561956745</v>
      </c>
      <c r="M88" s="48">
        <v>0</v>
      </c>
      <c r="N88" s="48">
        <f t="shared" si="14"/>
        <v>12463649.187435145</v>
      </c>
      <c r="O88" s="32"/>
      <c r="R88" s="134"/>
      <c r="S88" s="134"/>
      <c r="T88" s="134"/>
    </row>
    <row r="89" spans="1:20" x14ac:dyDescent="0.2">
      <c r="A89" s="47">
        <v>45016</v>
      </c>
      <c r="B89" s="48">
        <f>Inputs!D146</f>
        <v>15486309.284900974</v>
      </c>
      <c r="C89" s="48">
        <f>Inputs!E146</f>
        <v>96594.64</v>
      </c>
      <c r="D89" s="48">
        <f t="shared" si="11"/>
        <v>15582903.924900975</v>
      </c>
      <c r="E89" s="48">
        <v>0</v>
      </c>
      <c r="F89" s="56">
        <f t="shared" si="19"/>
        <v>2101290.3386236187</v>
      </c>
      <c r="G89" s="48">
        <f t="shared" si="13"/>
        <v>13481613.586277356</v>
      </c>
      <c r="H89" s="93">
        <v>556.09999999999991</v>
      </c>
      <c r="I89" s="93">
        <v>0</v>
      </c>
      <c r="J89" s="93">
        <v>31</v>
      </c>
      <c r="K89" s="111">
        <v>1</v>
      </c>
      <c r="L89" s="48">
        <f>'Rate Class Customer Model'!Q14</f>
        <v>8336.1827681053364</v>
      </c>
      <c r="M89" s="48">
        <v>0</v>
      </c>
      <c r="N89" s="48">
        <f t="shared" si="14"/>
        <v>13091931.491150048</v>
      </c>
      <c r="O89" s="32"/>
      <c r="R89" s="134"/>
      <c r="S89" s="134"/>
      <c r="T89" s="134"/>
    </row>
    <row r="90" spans="1:20" x14ac:dyDescent="0.2">
      <c r="A90" s="47">
        <v>45046</v>
      </c>
      <c r="B90" s="48">
        <f>Inputs!D147</f>
        <v>13612691.13400103</v>
      </c>
      <c r="C90" s="48">
        <f>Inputs!E147</f>
        <v>169996.45</v>
      </c>
      <c r="D90" s="48">
        <f t="shared" si="11"/>
        <v>13782687.584001029</v>
      </c>
      <c r="E90" s="48">
        <v>0</v>
      </c>
      <c r="F90" s="56">
        <f t="shared" si="19"/>
        <v>1684193.8251267704</v>
      </c>
      <c r="G90" s="48">
        <f t="shared" si="13"/>
        <v>12098493.758874258</v>
      </c>
      <c r="H90" s="93">
        <v>290.59999999999997</v>
      </c>
      <c r="I90" s="93">
        <v>2.6</v>
      </c>
      <c r="J90" s="93">
        <v>30</v>
      </c>
      <c r="K90" s="111">
        <v>1</v>
      </c>
      <c r="L90" s="48">
        <f>'Rate Class Customer Model'!Q15</f>
        <v>8343.255675998822</v>
      </c>
      <c r="M90" s="48">
        <v>0</v>
      </c>
      <c r="N90" s="48">
        <f t="shared" si="14"/>
        <v>12391293.449705712</v>
      </c>
      <c r="O90" s="32"/>
      <c r="R90" s="134"/>
      <c r="S90" s="134"/>
      <c r="T90" s="134"/>
    </row>
    <row r="91" spans="1:20" x14ac:dyDescent="0.2">
      <c r="A91" s="47">
        <v>45077</v>
      </c>
      <c r="B91" s="48">
        <f>Inputs!D148</f>
        <v>14486939.494704532</v>
      </c>
      <c r="C91" s="48">
        <f>Inputs!E148</f>
        <v>244919.24000000002</v>
      </c>
      <c r="D91" s="48">
        <f t="shared" si="11"/>
        <v>14731858.734704532</v>
      </c>
      <c r="E91" s="48">
        <v>0</v>
      </c>
      <c r="F91" s="56">
        <f t="shared" si="19"/>
        <v>1704563.6249275978</v>
      </c>
      <c r="G91" s="48">
        <f t="shared" si="13"/>
        <v>13027295.109776935</v>
      </c>
      <c r="H91" s="93">
        <v>153</v>
      </c>
      <c r="I91" s="93">
        <v>8.9</v>
      </c>
      <c r="J91" s="93">
        <v>31</v>
      </c>
      <c r="K91" s="111">
        <v>1</v>
      </c>
      <c r="L91" s="48">
        <f>'Rate Class Customer Model'!Q16</f>
        <v>8350.334584963477</v>
      </c>
      <c r="M91" s="48">
        <v>0</v>
      </c>
      <c r="N91" s="48">
        <f t="shared" si="14"/>
        <v>12721686.521069748</v>
      </c>
      <c r="O91" s="32"/>
      <c r="R91" s="134"/>
      <c r="S91" s="134"/>
      <c r="T91" s="134"/>
    </row>
    <row r="92" spans="1:20" x14ac:dyDescent="0.2">
      <c r="A92" s="47">
        <v>45107</v>
      </c>
      <c r="B92" s="48">
        <f>Inputs!D149</f>
        <v>15530585.732628452</v>
      </c>
      <c r="C92" s="48">
        <f>Inputs!E149</f>
        <v>213886.78000000003</v>
      </c>
      <c r="D92" s="48">
        <f t="shared" si="11"/>
        <v>15744472.512628451</v>
      </c>
      <c r="E92" s="48">
        <v>0</v>
      </c>
      <c r="F92" s="56">
        <f t="shared" si="19"/>
        <v>1886128.4343601572</v>
      </c>
      <c r="G92" s="48">
        <f t="shared" si="13"/>
        <v>13858344.078268293</v>
      </c>
      <c r="H92" s="93">
        <v>34.9</v>
      </c>
      <c r="I92" s="93">
        <v>31.9</v>
      </c>
      <c r="J92" s="93">
        <v>30</v>
      </c>
      <c r="K92" s="111">
        <v>0</v>
      </c>
      <c r="L92" s="48">
        <f>'Rate Class Customer Model'!Q17</f>
        <v>8357.4195000909622</v>
      </c>
      <c r="M92" s="48">
        <v>0</v>
      </c>
      <c r="N92" s="48">
        <f t="shared" si="14"/>
        <v>13330508.985826401</v>
      </c>
      <c r="O92" s="32"/>
      <c r="R92" s="134"/>
      <c r="S92" s="134"/>
      <c r="T92" s="134"/>
    </row>
    <row r="93" spans="1:20" x14ac:dyDescent="0.2">
      <c r="A93" s="47">
        <v>45138</v>
      </c>
      <c r="B93" s="48">
        <f>Inputs!D150</f>
        <v>17054339.358404133</v>
      </c>
      <c r="C93" s="48">
        <f>Inputs!E150</f>
        <v>129654.62</v>
      </c>
      <c r="D93" s="48">
        <f t="shared" si="11"/>
        <v>17183993.978404135</v>
      </c>
      <c r="E93" s="48">
        <v>0</v>
      </c>
      <c r="F93" s="56">
        <f t="shared" si="19"/>
        <v>1850593.0645047755</v>
      </c>
      <c r="G93" s="48">
        <f t="shared" si="13"/>
        <v>15333400.913899358</v>
      </c>
      <c r="H93" s="93">
        <v>2.4</v>
      </c>
      <c r="I93" s="93">
        <v>80.3</v>
      </c>
      <c r="J93" s="93">
        <v>31</v>
      </c>
      <c r="K93" s="111">
        <v>0</v>
      </c>
      <c r="L93" s="48">
        <f>'Rate Class Customer Model'!Q18</f>
        <v>8364.5104264772599</v>
      </c>
      <c r="M93" s="48">
        <v>0</v>
      </c>
      <c r="N93" s="48">
        <f t="shared" si="14"/>
        <v>15001687.436966032</v>
      </c>
      <c r="O93" s="32"/>
      <c r="P93"/>
      <c r="Q93"/>
      <c r="R93" s="134"/>
      <c r="S93" s="134"/>
      <c r="T93" s="134"/>
    </row>
    <row r="94" spans="1:20" x14ac:dyDescent="0.2">
      <c r="A94" s="47">
        <v>45169</v>
      </c>
      <c r="B94" s="48">
        <f>Inputs!D151</f>
        <v>16860898.505161364</v>
      </c>
      <c r="C94" s="48">
        <f>Inputs!E151</f>
        <v>178256.49</v>
      </c>
      <c r="D94" s="48">
        <f t="shared" si="11"/>
        <v>17039154.995161362</v>
      </c>
      <c r="E94" s="48">
        <v>0</v>
      </c>
      <c r="F94" s="56">
        <f t="shared" si="19"/>
        <v>2187914.6158039812</v>
      </c>
      <c r="G94" s="48">
        <f t="shared" si="13"/>
        <v>14851240.379357381</v>
      </c>
      <c r="H94" s="93">
        <v>19.8</v>
      </c>
      <c r="I94" s="93">
        <v>35.299999999999997</v>
      </c>
      <c r="J94" s="93">
        <v>31</v>
      </c>
      <c r="K94" s="111">
        <v>0</v>
      </c>
      <c r="L94" s="48">
        <f>'Rate Class Customer Model'!Q19</f>
        <v>8371.6073692226764</v>
      </c>
      <c r="M94" s="48">
        <v>0</v>
      </c>
      <c r="N94" s="48">
        <f t="shared" si="14"/>
        <v>13791273.243929518</v>
      </c>
      <c r="O94" s="32"/>
      <c r="P94"/>
      <c r="Q94"/>
      <c r="R94" s="134"/>
      <c r="S94" s="134"/>
      <c r="T94" s="134"/>
    </row>
    <row r="95" spans="1:20" x14ac:dyDescent="0.2">
      <c r="A95" s="47">
        <v>45199</v>
      </c>
      <c r="B95" s="48">
        <f>Inputs!D152</f>
        <v>15223621.157050353</v>
      </c>
      <c r="C95" s="48">
        <f>Inputs!E152</f>
        <v>162634.43</v>
      </c>
      <c r="D95" s="48">
        <f t="shared" si="11"/>
        <v>15386255.587050352</v>
      </c>
      <c r="E95" s="48">
        <v>0</v>
      </c>
      <c r="F95" s="56">
        <f t="shared" si="19"/>
        <v>1811810.2308023754</v>
      </c>
      <c r="G95" s="48">
        <f t="shared" si="13"/>
        <v>13574445.356247976</v>
      </c>
      <c r="H95" s="93">
        <v>52.500000000000007</v>
      </c>
      <c r="I95" s="93">
        <v>29.200000000000003</v>
      </c>
      <c r="J95" s="93">
        <v>30</v>
      </c>
      <c r="K95" s="111">
        <v>1</v>
      </c>
      <c r="L95" s="48">
        <f>'Rate Class Customer Model'!Q20</f>
        <v>8378.7103334318454</v>
      </c>
      <c r="M95" s="48">
        <v>0</v>
      </c>
      <c r="N95" s="48">
        <f t="shared" si="14"/>
        <v>12822121.26081866</v>
      </c>
      <c r="O95" s="32"/>
      <c r="P95"/>
      <c r="Q95"/>
      <c r="R95" s="134"/>
      <c r="S95" s="134"/>
      <c r="T95" s="134"/>
    </row>
    <row r="96" spans="1:20" x14ac:dyDescent="0.2">
      <c r="A96" s="47">
        <v>45230</v>
      </c>
      <c r="B96" s="48">
        <f>Inputs!D153</f>
        <v>14832443.876044633</v>
      </c>
      <c r="C96" s="48">
        <f>Inputs!E153</f>
        <v>107189.81</v>
      </c>
      <c r="D96" s="48">
        <f t="shared" ref="D96:D104" si="20">B96+C96</f>
        <v>14939633.686044633</v>
      </c>
      <c r="E96" s="48">
        <v>0</v>
      </c>
      <c r="F96" s="56">
        <f t="shared" si="19"/>
        <v>1698481.7763983542</v>
      </c>
      <c r="G96" s="48">
        <f t="shared" si="13"/>
        <v>13241151.90964628</v>
      </c>
      <c r="H96" s="93">
        <v>210.69999999999996</v>
      </c>
      <c r="I96" s="93">
        <v>9.4</v>
      </c>
      <c r="J96" s="93">
        <v>31</v>
      </c>
      <c r="K96" s="111">
        <v>1</v>
      </c>
      <c r="L96" s="48">
        <f>'Rate Class Customer Model'!Q21</f>
        <v>8385.8193242137295</v>
      </c>
      <c r="M96" s="48">
        <v>0</v>
      </c>
      <c r="N96" s="48">
        <f t="shared" si="14"/>
        <v>12900653.032124836</v>
      </c>
      <c r="O96" s="32"/>
      <c r="P96"/>
      <c r="Q96"/>
      <c r="R96" s="134"/>
      <c r="S96" s="134"/>
      <c r="T96" s="134"/>
    </row>
    <row r="97" spans="1:20" x14ac:dyDescent="0.2">
      <c r="A97" s="47">
        <v>45260</v>
      </c>
      <c r="B97" s="48">
        <f>Inputs!D154</f>
        <v>15091992.253819162</v>
      </c>
      <c r="C97" s="48">
        <f>Inputs!E154</f>
        <v>66484.479999999996</v>
      </c>
      <c r="D97" s="48">
        <f t="shared" si="20"/>
        <v>15158476.733819162</v>
      </c>
      <c r="E97" s="48">
        <v>0</v>
      </c>
      <c r="F97" s="56">
        <f t="shared" si="19"/>
        <v>1890514.292242981</v>
      </c>
      <c r="G97" s="48">
        <f t="shared" si="13"/>
        <v>13267962.441576181</v>
      </c>
      <c r="H97" s="93">
        <v>448.1</v>
      </c>
      <c r="I97" s="93">
        <v>0</v>
      </c>
      <c r="J97" s="93">
        <v>30</v>
      </c>
      <c r="K97" s="111">
        <v>0</v>
      </c>
      <c r="L97" s="48">
        <f>'Rate Class Customer Model'!Q22</f>
        <v>8392.9343466816281</v>
      </c>
      <c r="M97" s="48">
        <v>0</v>
      </c>
      <c r="N97" s="48">
        <f t="shared" si="14"/>
        <v>13178028.460463842</v>
      </c>
      <c r="O97" s="32"/>
      <c r="P97"/>
      <c r="Q97"/>
      <c r="R97" s="134"/>
      <c r="S97" s="134"/>
      <c r="T97" s="134"/>
    </row>
    <row r="98" spans="1:20" x14ac:dyDescent="0.2">
      <c r="A98" s="47">
        <v>45291</v>
      </c>
      <c r="B98" s="48">
        <f>Inputs!D155</f>
        <v>14764998.982675916</v>
      </c>
      <c r="C98" s="48">
        <f>Inputs!E155</f>
        <v>34488.400000000001</v>
      </c>
      <c r="D98" s="48">
        <f t="shared" si="20"/>
        <v>14799487.382675916</v>
      </c>
      <c r="E98" s="48">
        <v>0</v>
      </c>
      <c r="F98" s="56">
        <f t="shared" si="19"/>
        <v>1605270.9735027701</v>
      </c>
      <c r="G98" s="48">
        <f t="shared" si="13"/>
        <v>13194216.409173146</v>
      </c>
      <c r="H98" s="93">
        <v>462.29999999999995</v>
      </c>
      <c r="I98" s="93">
        <v>0</v>
      </c>
      <c r="J98" s="93">
        <v>31</v>
      </c>
      <c r="K98" s="111">
        <v>0</v>
      </c>
      <c r="L98" s="48">
        <f>'Rate Class Customer Model'!Q23</f>
        <v>8406</v>
      </c>
      <c r="M98" s="48">
        <v>0</v>
      </c>
      <c r="N98" s="48">
        <f t="shared" si="14"/>
        <v>13588865.875723781</v>
      </c>
      <c r="O98" s="32"/>
      <c r="P98"/>
      <c r="Q98"/>
      <c r="R98" s="134"/>
      <c r="S98" s="134"/>
      <c r="T98" s="134"/>
    </row>
    <row r="99" spans="1:20" x14ac:dyDescent="0.2">
      <c r="A99" s="47">
        <v>45322</v>
      </c>
      <c r="B99" s="48">
        <f>Inputs!D156</f>
        <v>16534102.110555433</v>
      </c>
      <c r="C99" s="48">
        <f>Inputs!E156</f>
        <v>27221.46</v>
      </c>
      <c r="D99" s="48">
        <f t="shared" si="20"/>
        <v>16561323.570555434</v>
      </c>
      <c r="E99" s="48">
        <v>0</v>
      </c>
      <c r="F99" s="56">
        <f>F87*(P$124/P$123)</f>
        <v>1768986.5368589219</v>
      </c>
      <c r="G99" s="48">
        <f t="shared" si="13"/>
        <v>14792337.033696512</v>
      </c>
      <c r="H99" s="93">
        <v>606.9000000000002</v>
      </c>
      <c r="I99" s="93">
        <v>0</v>
      </c>
      <c r="J99" s="93">
        <v>31</v>
      </c>
      <c r="K99" s="111">
        <v>0</v>
      </c>
      <c r="L99" s="48">
        <f>'Rate Class Customer Model'!R12</f>
        <v>8436</v>
      </c>
      <c r="M99" s="48">
        <v>0</v>
      </c>
      <c r="N99" s="48">
        <f t="shared" si="14"/>
        <v>13882176.706931124</v>
      </c>
      <c r="O99" s="32"/>
      <c r="P99"/>
      <c r="Q99"/>
      <c r="R99" s="134"/>
      <c r="S99" s="134"/>
      <c r="T99" s="134"/>
    </row>
    <row r="100" spans="1:20" x14ac:dyDescent="0.2">
      <c r="A100" s="47">
        <v>45351</v>
      </c>
      <c r="B100" s="48">
        <f>Inputs!D157</f>
        <v>14760437.733178187</v>
      </c>
      <c r="C100" s="48">
        <f>Inputs!E157</f>
        <v>93645.29</v>
      </c>
      <c r="D100" s="48">
        <f t="shared" si="20"/>
        <v>14854083.023178186</v>
      </c>
      <c r="E100" s="48">
        <v>0</v>
      </c>
      <c r="F100" s="56">
        <f t="shared" ref="F100:F104" si="21">F88*(P$124/P$123)</f>
        <v>1608311.4218464582</v>
      </c>
      <c r="G100" s="48">
        <f t="shared" si="13"/>
        <v>13245771.601331728</v>
      </c>
      <c r="H100" s="93">
        <v>509.09999999999997</v>
      </c>
      <c r="I100" s="93">
        <v>0</v>
      </c>
      <c r="J100" s="93">
        <v>29</v>
      </c>
      <c r="K100" s="111">
        <v>0</v>
      </c>
      <c r="L100" s="48">
        <f>'Rate Class Customer Model'!R13</f>
        <v>8440</v>
      </c>
      <c r="M100" s="48">
        <v>0</v>
      </c>
      <c r="N100" s="48">
        <f t="shared" si="14"/>
        <v>13010640.831532247</v>
      </c>
      <c r="O100" s="32"/>
      <c r="P100"/>
      <c r="Q100"/>
      <c r="R100" s="134"/>
      <c r="S100" s="134"/>
      <c r="T100" s="134"/>
    </row>
    <row r="101" spans="1:20" x14ac:dyDescent="0.2">
      <c r="A101" s="47">
        <v>45382</v>
      </c>
      <c r="B101" s="48">
        <f>Inputs!D158</f>
        <v>15024470.071688553</v>
      </c>
      <c r="C101" s="48">
        <f>Inputs!E158</f>
        <v>129827.51</v>
      </c>
      <c r="D101" s="48">
        <f t="shared" si="20"/>
        <v>15154297.581688553</v>
      </c>
      <c r="E101" s="48">
        <v>0</v>
      </c>
      <c r="F101" s="56">
        <f t="shared" si="21"/>
        <v>1733266.0289694851</v>
      </c>
      <c r="G101" s="48">
        <f t="shared" si="13"/>
        <v>13421031.552719068</v>
      </c>
      <c r="H101" s="93">
        <v>430.70000000000005</v>
      </c>
      <c r="I101" s="93">
        <v>0</v>
      </c>
      <c r="J101" s="93">
        <v>31</v>
      </c>
      <c r="K101" s="111">
        <v>1</v>
      </c>
      <c r="L101" s="48">
        <f>'Rate Class Customer Model'!R14</f>
        <v>8442</v>
      </c>
      <c r="M101" s="48">
        <v>0</v>
      </c>
      <c r="N101" s="48">
        <f t="shared" si="14"/>
        <v>13106719.03345865</v>
      </c>
      <c r="O101" s="32"/>
      <c r="P101"/>
      <c r="Q101"/>
      <c r="R101" s="134"/>
      <c r="S101" s="134"/>
      <c r="T101" s="134"/>
    </row>
    <row r="102" spans="1:20" x14ac:dyDescent="0.2">
      <c r="A102" s="47">
        <v>45412</v>
      </c>
      <c r="B102" s="48">
        <f>Inputs!D159</f>
        <v>14291771.432481281</v>
      </c>
      <c r="C102" s="48">
        <f>Inputs!E159</f>
        <v>126561.07</v>
      </c>
      <c r="D102" s="48">
        <f t="shared" si="20"/>
        <v>14418332.502481282</v>
      </c>
      <c r="E102" s="48">
        <v>0</v>
      </c>
      <c r="F102" s="56">
        <f t="shared" si="21"/>
        <v>1389220.6562965983</v>
      </c>
      <c r="G102" s="48">
        <f t="shared" si="13"/>
        <v>13029111.846184684</v>
      </c>
      <c r="H102" s="93">
        <v>262.89999999999998</v>
      </c>
      <c r="I102" s="93">
        <v>0.7</v>
      </c>
      <c r="J102" s="93">
        <v>30</v>
      </c>
      <c r="K102" s="111">
        <v>1</v>
      </c>
      <c r="L102" s="48">
        <f>'Rate Class Customer Model'!R15</f>
        <v>8446</v>
      </c>
      <c r="M102" s="48">
        <v>0</v>
      </c>
      <c r="N102" s="48">
        <f t="shared" si="14"/>
        <v>12503704.933448121</v>
      </c>
      <c r="O102" s="32"/>
      <c r="P102"/>
      <c r="Q102"/>
      <c r="R102" s="134"/>
      <c r="S102" s="134"/>
      <c r="T102" s="134"/>
    </row>
    <row r="103" spans="1:20" x14ac:dyDescent="0.2">
      <c r="A103" s="47">
        <v>45443</v>
      </c>
      <c r="B103" s="48">
        <f>Inputs!D160</f>
        <v>15158175.05241408</v>
      </c>
      <c r="C103" s="48">
        <f>Inputs!E160</f>
        <v>184786.31</v>
      </c>
      <c r="D103" s="48">
        <f t="shared" si="20"/>
        <v>15342961.362414081</v>
      </c>
      <c r="E103" s="48">
        <v>0</v>
      </c>
      <c r="F103" s="56">
        <f t="shared" si="21"/>
        <v>1406022.8474848992</v>
      </c>
      <c r="G103" s="48">
        <f t="shared" si="13"/>
        <v>13936938.514929181</v>
      </c>
      <c r="H103" s="93">
        <v>77.3</v>
      </c>
      <c r="I103" s="93">
        <v>11.1</v>
      </c>
      <c r="J103" s="93">
        <v>31</v>
      </c>
      <c r="K103" s="111">
        <v>1</v>
      </c>
      <c r="L103" s="48">
        <f>'Rate Class Customer Model'!R16</f>
        <v>8456</v>
      </c>
      <c r="M103" s="48">
        <v>0</v>
      </c>
      <c r="N103" s="48">
        <f t="shared" si="14"/>
        <v>12877174.999034831</v>
      </c>
      <c r="O103" s="32"/>
      <c r="P103"/>
      <c r="Q103"/>
      <c r="R103" s="134"/>
      <c r="S103" s="134"/>
      <c r="T103" s="134"/>
    </row>
    <row r="104" spans="1:20" x14ac:dyDescent="0.2">
      <c r="A104" s="47">
        <v>45473</v>
      </c>
      <c r="B104" s="48">
        <f>Inputs!D161</f>
        <v>16328490.095426783</v>
      </c>
      <c r="C104" s="48">
        <f>Inputs!E161</f>
        <v>204911.08</v>
      </c>
      <c r="D104" s="48">
        <f t="shared" si="20"/>
        <v>16533401.175426783</v>
      </c>
      <c r="E104" s="48">
        <v>0</v>
      </c>
      <c r="F104" s="56">
        <f t="shared" si="21"/>
        <v>1555788.0229398569</v>
      </c>
      <c r="G104" s="48">
        <f t="shared" si="13"/>
        <v>14977613.152486926</v>
      </c>
      <c r="H104" s="93">
        <v>26.8</v>
      </c>
      <c r="I104" s="93">
        <v>72.09999999999998</v>
      </c>
      <c r="J104" s="93">
        <v>30</v>
      </c>
      <c r="K104" s="111">
        <v>0</v>
      </c>
      <c r="L104" s="48">
        <f>'Rate Class Customer Model'!R17</f>
        <v>8480</v>
      </c>
      <c r="M104" s="48">
        <v>0</v>
      </c>
      <c r="N104" s="48">
        <f t="shared" si="14"/>
        <v>14686963.445201173</v>
      </c>
      <c r="O104" s="32"/>
      <c r="P104"/>
      <c r="Q104"/>
      <c r="R104" s="134"/>
      <c r="S104" s="134"/>
      <c r="T104" s="134"/>
    </row>
    <row r="105" spans="1:20" x14ac:dyDescent="0.2">
      <c r="A105" s="47">
        <v>45504</v>
      </c>
      <c r="B105" s="48"/>
      <c r="C105" s="48"/>
      <c r="D105" s="48"/>
      <c r="E105" s="48"/>
      <c r="F105" s="48"/>
      <c r="G105" s="48"/>
      <c r="H105" s="56">
        <f>(H9+H21+H33+H45+H57+H69+H81+H93)/8</f>
        <v>2.2625000000000002</v>
      </c>
      <c r="I105" s="56">
        <f>(I9+I21+I33+I45+I57+I69+I81+I93)/8</f>
        <v>100.26249999999999</v>
      </c>
      <c r="J105" s="93">
        <v>31</v>
      </c>
      <c r="K105" s="111">
        <v>0</v>
      </c>
      <c r="L105" s="96">
        <f>'Rate Class Customer Model'!R18</f>
        <v>8492.5406045191612</v>
      </c>
      <c r="M105" s="48">
        <v>0</v>
      </c>
      <c r="N105" s="48">
        <f t="shared" si="14"/>
        <v>15818622.130868953</v>
      </c>
      <c r="O105" s="32"/>
      <c r="P105"/>
      <c r="Q105"/>
      <c r="R105" s="134"/>
      <c r="S105" s="134"/>
      <c r="T105" s="134"/>
    </row>
    <row r="106" spans="1:20" x14ac:dyDescent="0.2">
      <c r="A106" s="47">
        <v>45535</v>
      </c>
      <c r="B106" s="48"/>
      <c r="C106" s="48"/>
      <c r="D106" s="48"/>
      <c r="E106" s="48"/>
      <c r="F106" s="48"/>
      <c r="G106" s="48"/>
      <c r="H106" s="56">
        <f t="shared" ref="H106:I106" si="22">(H10+H22+H34+H46+H58+H70+H82+H94)/8</f>
        <v>8.6000000000000014</v>
      </c>
      <c r="I106" s="56">
        <f t="shared" si="22"/>
        <v>79.587499999999991</v>
      </c>
      <c r="J106" s="93">
        <v>31</v>
      </c>
      <c r="K106" s="111">
        <v>0</v>
      </c>
      <c r="L106" s="96">
        <f>'Rate Class Customer Model'!R19</f>
        <v>8505.0997546470153</v>
      </c>
      <c r="M106" s="48">
        <v>0</v>
      </c>
      <c r="N106" s="48">
        <f t="shared" si="14"/>
        <v>15278828.92720318</v>
      </c>
      <c r="O106" s="32"/>
      <c r="P106"/>
      <c r="Q106"/>
      <c r="R106" s="134"/>
      <c r="S106" s="134"/>
      <c r="T106" s="134"/>
    </row>
    <row r="107" spans="1:20" x14ac:dyDescent="0.2">
      <c r="A107" s="47">
        <v>45565</v>
      </c>
      <c r="B107" s="48"/>
      <c r="C107" s="48"/>
      <c r="D107" s="48"/>
      <c r="E107" s="48"/>
      <c r="F107" s="48"/>
      <c r="G107" s="48"/>
      <c r="H107" s="56">
        <f t="shared" ref="H107:I107" si="23">(H11+H23+H35+H47+H59+H71+H83+H95)/8</f>
        <v>62.674999999999983</v>
      </c>
      <c r="I107" s="56">
        <f t="shared" si="23"/>
        <v>31.699999999999996</v>
      </c>
      <c r="J107" s="93">
        <v>30</v>
      </c>
      <c r="K107" s="111">
        <v>1</v>
      </c>
      <c r="L107" s="96">
        <f>'Rate Class Customer Model'!R20</f>
        <v>8517.6774778096387</v>
      </c>
      <c r="M107" s="48">
        <v>0</v>
      </c>
      <c r="N107" s="48">
        <f t="shared" si="14"/>
        <v>13191768.201978151</v>
      </c>
      <c r="O107" s="32"/>
      <c r="P107"/>
      <c r="Q107"/>
      <c r="R107" s="134"/>
      <c r="S107" s="134"/>
      <c r="T107" s="134"/>
    </row>
    <row r="108" spans="1:20" x14ac:dyDescent="0.2">
      <c r="A108" s="47">
        <v>45596</v>
      </c>
      <c r="B108" s="48"/>
      <c r="C108" s="48"/>
      <c r="D108" s="48"/>
      <c r="E108" s="48"/>
      <c r="F108" s="48"/>
      <c r="G108" s="48"/>
      <c r="H108" s="56">
        <f t="shared" ref="H108:I108" si="24">(H12+H24+H36+H48+H60+H72+H84+H96)/8</f>
        <v>229.3125</v>
      </c>
      <c r="I108" s="56">
        <f t="shared" si="24"/>
        <v>5.1125000000000007</v>
      </c>
      <c r="J108" s="93">
        <v>31</v>
      </c>
      <c r="K108" s="111">
        <v>1</v>
      </c>
      <c r="L108" s="96">
        <f>'Rate Class Customer Model'!R21</f>
        <v>8530.2738014736697</v>
      </c>
      <c r="M108" s="48">
        <v>0</v>
      </c>
      <c r="N108" s="48">
        <f t="shared" si="14"/>
        <v>13106075.731230035</v>
      </c>
      <c r="O108" s="32"/>
      <c r="P108"/>
      <c r="Q108"/>
      <c r="R108" s="134"/>
      <c r="S108" s="134"/>
      <c r="T108" s="134"/>
    </row>
    <row r="109" spans="1:20" x14ac:dyDescent="0.2">
      <c r="A109" s="47">
        <v>45626</v>
      </c>
      <c r="B109" s="48"/>
      <c r="C109" s="48"/>
      <c r="D109" s="48"/>
      <c r="E109" s="48"/>
      <c r="F109" s="48"/>
      <c r="G109" s="48"/>
      <c r="H109" s="56">
        <f t="shared" ref="H109:I109" si="25">(H13+H25+H37+H49+H61+H73+H85+H97)/8</f>
        <v>439.67500000000001</v>
      </c>
      <c r="I109" s="56">
        <f t="shared" si="25"/>
        <v>0.05</v>
      </c>
      <c r="J109" s="93">
        <v>30</v>
      </c>
      <c r="K109" s="111">
        <v>0</v>
      </c>
      <c r="L109" s="96">
        <f>'Rate Class Customer Model'!R22</f>
        <v>8542.8887531463643</v>
      </c>
      <c r="M109" s="48">
        <v>0</v>
      </c>
      <c r="N109" s="48">
        <f t="shared" si="14"/>
        <v>13472047.137766965</v>
      </c>
      <c r="O109" s="32"/>
      <c r="R109" s="134"/>
      <c r="S109" s="134"/>
      <c r="T109" s="134"/>
    </row>
    <row r="110" spans="1:20" x14ac:dyDescent="0.2">
      <c r="A110" s="47">
        <v>45657</v>
      </c>
      <c r="B110" s="48"/>
      <c r="C110" s="48"/>
      <c r="D110" s="48"/>
      <c r="E110" s="48"/>
      <c r="F110" s="48"/>
      <c r="G110" s="48"/>
      <c r="H110" s="56">
        <f t="shared" ref="H110:I110" si="26">(H14+H26+H38+H50+H62+H74+H86+H98)/8</f>
        <v>573.38750000000005</v>
      </c>
      <c r="I110" s="56">
        <f t="shared" si="26"/>
        <v>0</v>
      </c>
      <c r="J110" s="93">
        <v>31</v>
      </c>
      <c r="K110" s="111">
        <v>0</v>
      </c>
      <c r="L110" s="96">
        <f>'Rate Class Customer Model'!R23</f>
        <v>8555.5223603756567</v>
      </c>
      <c r="M110" s="48">
        <v>0</v>
      </c>
      <c r="N110" s="48">
        <f t="shared" si="14"/>
        <v>14072411.23656963</v>
      </c>
      <c r="O110" s="32"/>
      <c r="R110" s="134"/>
      <c r="S110" s="134"/>
      <c r="T110" s="134"/>
    </row>
    <row r="111" spans="1:20" x14ac:dyDescent="0.2">
      <c r="A111" s="33"/>
      <c r="J111" s="10"/>
      <c r="K111" s="58"/>
    </row>
    <row r="112" spans="1:20" x14ac:dyDescent="0.2">
      <c r="A112" s="33"/>
      <c r="J112" s="10"/>
      <c r="K112" s="58"/>
      <c r="S112" s="171" t="s">
        <v>140</v>
      </c>
    </row>
    <row r="113" spans="1:31" ht="12.6" customHeight="1" x14ac:dyDescent="0.2">
      <c r="A113" s="33"/>
      <c r="H113" s="98" t="s">
        <v>147</v>
      </c>
      <c r="I113" s="95"/>
      <c r="J113" s="10"/>
      <c r="K113" s="58"/>
      <c r="S113" s="171"/>
    </row>
    <row r="114" spans="1:31" x14ac:dyDescent="0.2">
      <c r="A114" s="33"/>
      <c r="H114" s="99" t="s">
        <v>89</v>
      </c>
      <c r="I114" s="97"/>
      <c r="J114" s="10"/>
      <c r="K114" s="58"/>
      <c r="N114" s="32">
        <f>SUM(N2:N110)</f>
        <v>1308395021.9612403</v>
      </c>
      <c r="S114" s="171"/>
      <c r="W114" s="27">
        <v>2016</v>
      </c>
      <c r="X114" s="27">
        <v>2017</v>
      </c>
      <c r="Y114" s="27">
        <v>2018</v>
      </c>
      <c r="Z114" s="27">
        <v>2019</v>
      </c>
      <c r="AA114" s="27">
        <v>2020</v>
      </c>
      <c r="AB114" s="27">
        <v>2021</v>
      </c>
      <c r="AC114" s="27">
        <v>2022</v>
      </c>
      <c r="AD114" s="27">
        <v>2023</v>
      </c>
      <c r="AE114" s="27">
        <v>2024</v>
      </c>
    </row>
    <row r="115" spans="1:31" x14ac:dyDescent="0.2">
      <c r="A115" s="33"/>
      <c r="J115" s="10"/>
      <c r="K115" s="58"/>
      <c r="O115" s="52" t="s">
        <v>133</v>
      </c>
      <c r="P115" s="52" t="s">
        <v>134</v>
      </c>
      <c r="Q115" s="52" t="s">
        <v>139</v>
      </c>
      <c r="R115" s="52" t="s">
        <v>106</v>
      </c>
      <c r="S115" s="171"/>
      <c r="W115">
        <f t="array" ref="W115:AE115">TRANSPOSE(S116:S124)</f>
        <v>0.9918866515240925</v>
      </c>
      <c r="X115">
        <v>1.0061891351564762</v>
      </c>
      <c r="Y115">
        <v>0.98810889566391391</v>
      </c>
      <c r="Z115">
        <v>1.0022066214677188</v>
      </c>
      <c r="AA115">
        <v>0.99396108048277432</v>
      </c>
      <c r="AB115">
        <v>0.99682247526558165</v>
      </c>
      <c r="AC115">
        <v>1.0047147145440645</v>
      </c>
      <c r="AD115">
        <v>1.0167107797087103</v>
      </c>
      <c r="AE115">
        <v>1.0015933816669349</v>
      </c>
    </row>
    <row r="116" spans="1:31" x14ac:dyDescent="0.2">
      <c r="A116" s="27">
        <v>2016</v>
      </c>
      <c r="B116" s="6">
        <f>SUM(B3:B14)</f>
        <v>199907738.60000002</v>
      </c>
      <c r="D116" s="6">
        <f>SUM(D3:D14)</f>
        <v>201771248.14999998</v>
      </c>
      <c r="E116" s="6">
        <f>SUM(E3:E14)</f>
        <v>15515215.030000001</v>
      </c>
      <c r="F116" s="6">
        <f>SUM(F3:F14)</f>
        <v>51080246.740000002</v>
      </c>
      <c r="G116" s="6">
        <f>SUM(G3:G14)</f>
        <v>135175786.38</v>
      </c>
      <c r="N116" s="6">
        <f>SUM(N3:N14)</f>
        <v>131062943.85876371</v>
      </c>
      <c r="O116" s="6">
        <f>E116</f>
        <v>15515215.030000001</v>
      </c>
      <c r="P116" s="6">
        <f>F116</f>
        <v>51080246.740000002</v>
      </c>
      <c r="Q116" s="6">
        <f>N116+O116+P116</f>
        <v>197658405.62876374</v>
      </c>
      <c r="R116" s="6">
        <f>'Power Purchased Model-WN'!Q116</f>
        <v>196054734.1047053</v>
      </c>
      <c r="S116" s="5">
        <f>R116/Q116</f>
        <v>0.9918866515240925</v>
      </c>
      <c r="T116" s="6"/>
    </row>
    <row r="117" spans="1:31" x14ac:dyDescent="0.2">
      <c r="A117" s="27">
        <v>2017</v>
      </c>
      <c r="B117" s="6">
        <f>SUM(B15:B26)</f>
        <v>187853870.12</v>
      </c>
      <c r="D117" s="6">
        <f>SUM(D15:D26)</f>
        <v>189637460.56999999</v>
      </c>
      <c r="E117" s="6">
        <f>SUM(E15:E26)</f>
        <v>13850995.209999999</v>
      </c>
      <c r="F117" s="6">
        <f>SUM(F15:F26)</f>
        <v>45192560.409999996</v>
      </c>
      <c r="G117" s="6">
        <f>SUM(G15:G26)</f>
        <v>130593904.94999999</v>
      </c>
      <c r="N117" s="6">
        <f>SUM(N15:N26)</f>
        <v>130864484.35402302</v>
      </c>
      <c r="O117" s="6">
        <f t="shared" ref="O117:O122" si="27">E117</f>
        <v>13850995.209999999</v>
      </c>
      <c r="P117" s="6">
        <f>F117</f>
        <v>45192560.409999996</v>
      </c>
      <c r="Q117" s="6">
        <f t="shared" ref="Q117:Q122" si="28">N117+O117+P117</f>
        <v>189908039.97402301</v>
      </c>
      <c r="R117" s="6">
        <f>'Power Purchased Model-WN'!Q117</f>
        <v>191083406.50072372</v>
      </c>
      <c r="S117" s="5">
        <f t="shared" ref="S117:S124" si="29">R117/Q117</f>
        <v>1.0061891351564762</v>
      </c>
      <c r="T117" s="6"/>
    </row>
    <row r="118" spans="1:31" x14ac:dyDescent="0.2">
      <c r="A118" s="27">
        <v>2018</v>
      </c>
      <c r="B118" s="6">
        <f>SUM(B27:B38)</f>
        <v>188394772.28</v>
      </c>
      <c r="D118" s="6">
        <f>SUM(D27:D38)</f>
        <v>189993954.81999999</v>
      </c>
      <c r="E118" s="6">
        <f>SUM(E27:E38)</f>
        <v>9550436.8200000022</v>
      </c>
      <c r="F118" s="6">
        <f>SUM(F27:F38)</f>
        <v>42661402.460000001</v>
      </c>
      <c r="G118" s="6">
        <f>SUM(G27:G38)</f>
        <v>137782115.54000002</v>
      </c>
      <c r="N118" s="6">
        <f>SUM(N27:N38)</f>
        <v>137114691.40950027</v>
      </c>
      <c r="O118" s="6">
        <f t="shared" si="27"/>
        <v>9550436.8200000022</v>
      </c>
      <c r="P118" s="6">
        <f>F118</f>
        <v>42661402.460000001</v>
      </c>
      <c r="Q118" s="6">
        <f t="shared" si="28"/>
        <v>189326530.68950027</v>
      </c>
      <c r="R118" s="6">
        <f>'Power Purchased Model-WN'!Q118</f>
        <v>187075229.15948221</v>
      </c>
      <c r="S118" s="5">
        <f t="shared" si="29"/>
        <v>0.98810889566391391</v>
      </c>
      <c r="T118" s="6"/>
    </row>
    <row r="119" spans="1:31" x14ac:dyDescent="0.2">
      <c r="A119" s="27">
        <v>2019</v>
      </c>
      <c r="B119" s="6">
        <f>SUM(B39:B50)</f>
        <v>175614761.14000005</v>
      </c>
      <c r="D119" s="6">
        <f>SUM(D39:D50)</f>
        <v>177282153.69999999</v>
      </c>
      <c r="E119" s="6">
        <f>SUM(E39:E50)</f>
        <v>2612047.5700000003</v>
      </c>
      <c r="F119" s="6">
        <f>SUM(F39:F50)</f>
        <v>39613794.999999993</v>
      </c>
      <c r="G119" s="6">
        <f>SUM(G39:G50)</f>
        <v>135056311.13</v>
      </c>
      <c r="N119" s="6">
        <f>SUM(N39:N50)</f>
        <v>137897862.18016285</v>
      </c>
      <c r="O119" s="6">
        <f t="shared" si="27"/>
        <v>2612047.5700000003</v>
      </c>
      <c r="P119" s="6">
        <f>F119</f>
        <v>39613794.999999993</v>
      </c>
      <c r="Q119" s="6">
        <f t="shared" si="28"/>
        <v>180123704.75016284</v>
      </c>
      <c r="R119" s="6">
        <f>'Power Purchased Model-WN'!Q119</f>
        <v>180521169.5839096</v>
      </c>
      <c r="S119" s="5">
        <f t="shared" si="29"/>
        <v>1.0022066214677188</v>
      </c>
      <c r="T119" s="6"/>
    </row>
    <row r="120" spans="1:31" x14ac:dyDescent="0.2">
      <c r="A120" s="27">
        <v>2020</v>
      </c>
      <c r="B120" s="6">
        <f>SUM(B51:B62)</f>
        <v>171542621.55000001</v>
      </c>
      <c r="D120" s="6">
        <f>SUM(D51:D62)</f>
        <v>173380458.75</v>
      </c>
      <c r="E120" s="6">
        <f>SUM(E51:E62)</f>
        <v>1868303.8099999998</v>
      </c>
      <c r="F120" s="6">
        <f>SUM(F51:F62)</f>
        <v>31465784.07</v>
      </c>
      <c r="G120" s="6">
        <f>SUM(G51:G62)</f>
        <v>140046370.87</v>
      </c>
      <c r="N120" s="6">
        <f>SUM(N51:N62)</f>
        <v>140645312.83751494</v>
      </c>
      <c r="O120" s="6">
        <f t="shared" si="27"/>
        <v>1868303.8099999998</v>
      </c>
      <c r="P120" s="6">
        <f>F120</f>
        <v>31465784.07</v>
      </c>
      <c r="Q120" s="6">
        <f t="shared" si="28"/>
        <v>173979400.71751493</v>
      </c>
      <c r="R120" s="6">
        <f>'Power Purchased Model-WN'!Q120</f>
        <v>172928753.1189267</v>
      </c>
      <c r="S120" s="5">
        <f t="shared" si="29"/>
        <v>0.99396108048277432</v>
      </c>
      <c r="T120" s="6"/>
    </row>
    <row r="121" spans="1:31" x14ac:dyDescent="0.2">
      <c r="A121" s="27">
        <v>2021</v>
      </c>
      <c r="B121" s="6">
        <f>SUM(B63:B74)</f>
        <v>176270206.56999999</v>
      </c>
      <c r="D121" s="6">
        <f>SUM(D63:D74)</f>
        <v>178063868.77000004</v>
      </c>
      <c r="E121" s="6">
        <f>SUM(E63:E74)</f>
        <v>3109565.6599999992</v>
      </c>
      <c r="F121" s="6">
        <f>SUM(F63:F74)</f>
        <v>29610899.920000002</v>
      </c>
      <c r="G121" s="6">
        <f>SUM(G63:G74)</f>
        <v>145343403.19000003</v>
      </c>
      <c r="N121" s="6">
        <f>SUM(N63:N74)</f>
        <v>150369290.87345788</v>
      </c>
      <c r="O121" s="6">
        <f t="shared" si="27"/>
        <v>3109565.6599999992</v>
      </c>
      <c r="P121" s="6">
        <f t="shared" ref="P121" si="30">F121</f>
        <v>29610899.920000002</v>
      </c>
      <c r="Q121" s="6">
        <f t="shared" si="28"/>
        <v>183089756.45345789</v>
      </c>
      <c r="R121" s="6">
        <f>'Power Purchased Model-WN'!Q121</f>
        <v>182507984.22370839</v>
      </c>
      <c r="S121" s="5">
        <f t="shared" si="29"/>
        <v>0.99682247526558165</v>
      </c>
      <c r="T121" s="6"/>
    </row>
    <row r="122" spans="1:31" x14ac:dyDescent="0.2">
      <c r="A122" s="27">
        <v>2022</v>
      </c>
      <c r="B122" s="6">
        <f>SUM(B75:B86)</f>
        <v>183346093.11000001</v>
      </c>
      <c r="D122" s="6">
        <f>SUM(D75:D86)</f>
        <v>185144755.56000003</v>
      </c>
      <c r="E122" s="6">
        <f>SUM(E75:E86)</f>
        <v>2522033.3000000007</v>
      </c>
      <c r="F122" s="6">
        <f>SUM(F75:F86)</f>
        <v>28395278.939999998</v>
      </c>
      <c r="G122" s="6">
        <f>SUM(G75:G86)</f>
        <v>154227443.32000002</v>
      </c>
      <c r="N122" s="6">
        <f>SUM(N75:N86)</f>
        <v>156600275.64240709</v>
      </c>
      <c r="O122" s="6">
        <f t="shared" si="27"/>
        <v>2522033.3000000007</v>
      </c>
      <c r="P122" s="6">
        <f>F122</f>
        <v>28395278.939999998</v>
      </c>
      <c r="Q122" s="6">
        <f t="shared" si="28"/>
        <v>187517587.8824071</v>
      </c>
      <c r="R122" s="6">
        <f>'Power Purchased Model-WN'!Q122</f>
        <v>188401679.78126419</v>
      </c>
      <c r="S122" s="5">
        <f t="shared" si="29"/>
        <v>1.0047147145440645</v>
      </c>
      <c r="T122" s="6"/>
    </row>
    <row r="123" spans="1:31" x14ac:dyDescent="0.2">
      <c r="A123" s="27">
        <v>2023</v>
      </c>
      <c r="D123" s="6">
        <f>SUM(D87:D98)</f>
        <v>184342290.19570395</v>
      </c>
      <c r="E123" s="6">
        <f t="shared" ref="E123:G123" si="31">SUM(E87:E98)</f>
        <v>0</v>
      </c>
      <c r="F123" s="6">
        <f>SUM(F87:F98)</f>
        <v>22515160.681428909</v>
      </c>
      <c r="G123" s="6">
        <f t="shared" si="31"/>
        <v>161827129.51427507</v>
      </c>
      <c r="N123" s="6">
        <f>SUM(N87:N98)</f>
        <v>158833027.49018717</v>
      </c>
      <c r="O123" s="6">
        <v>0</v>
      </c>
      <c r="P123" s="6">
        <f>TREND(P116:P122,$A$116:$A$122,2023)</f>
        <v>22515160.681428909</v>
      </c>
      <c r="Q123" s="6">
        <f t="shared" ref="Q123:Q124" si="32">N123+O123+P123</f>
        <v>181348188.17161608</v>
      </c>
      <c r="R123" s="6">
        <f>'Power Purchased Model-WN'!Q123</f>
        <v>184378657.79472569</v>
      </c>
      <c r="S123" s="5">
        <f t="shared" si="29"/>
        <v>1.0167107797087103</v>
      </c>
      <c r="T123" s="6"/>
    </row>
    <row r="124" spans="1:31" x14ac:dyDescent="0.2">
      <c r="A124" s="27">
        <v>2024</v>
      </c>
      <c r="D124" s="6">
        <f>SUM(D99:D110)</f>
        <v>92864399.215744317</v>
      </c>
      <c r="E124" s="6">
        <f t="shared" ref="E124:G124" si="33">SUM(E99:E110)</f>
        <v>0</v>
      </c>
      <c r="F124" s="6">
        <f t="shared" si="33"/>
        <v>9461595.5143962204</v>
      </c>
      <c r="G124" s="6">
        <f t="shared" si="33"/>
        <v>83402803.701348096</v>
      </c>
      <c r="N124" s="15">
        <f>SUM(N99:N110)</f>
        <v>165007133.31522307</v>
      </c>
      <c r="O124" s="6">
        <v>0</v>
      </c>
      <c r="P124" s="6">
        <f>TREND(P116:P123,$A$116:$A$123,2024)</f>
        <v>18571809.153927803</v>
      </c>
      <c r="Q124" s="6">
        <f t="shared" si="32"/>
        <v>183578942.46915087</v>
      </c>
      <c r="R124" s="6">
        <f>'Power Purchased Model-WN'!Q124</f>
        <v>183871453.7905165</v>
      </c>
      <c r="S124" s="5">
        <f t="shared" si="29"/>
        <v>1.0015933816669349</v>
      </c>
      <c r="T124" s="5"/>
    </row>
    <row r="125" spans="1:31" x14ac:dyDescent="0.2">
      <c r="N125" s="6"/>
    </row>
    <row r="126" spans="1:31" x14ac:dyDescent="0.2">
      <c r="A126" s="42" t="s">
        <v>7</v>
      </c>
      <c r="B126" s="6">
        <f>SUM(B116:B122)</f>
        <v>1282930063.3699999</v>
      </c>
      <c r="D126" s="6">
        <f>SUM(D116:D124)</f>
        <v>1572480589.7314482</v>
      </c>
      <c r="E126" s="6">
        <f t="shared" ref="E126:F126" si="34">SUM(E116:E124)</f>
        <v>49028597.400000006</v>
      </c>
      <c r="F126" s="6">
        <f t="shared" si="34"/>
        <v>299996723.73582518</v>
      </c>
      <c r="G126" s="6">
        <f>SUM(G116:G124)</f>
        <v>1223455268.5956233</v>
      </c>
      <c r="L126" s="1" t="s">
        <v>126</v>
      </c>
      <c r="N126" s="6">
        <f>SUM(N116:N123)+SUM(N99:N104)</f>
        <v>1223455268.5956233</v>
      </c>
      <c r="Q126" s="6">
        <f>SUM(Q116:Q122)</f>
        <v>1301603426.09583</v>
      </c>
    </row>
    <row r="127" spans="1:31" x14ac:dyDescent="0.2">
      <c r="N127" s="32">
        <f>N126-G126</f>
        <v>0</v>
      </c>
      <c r="Q127" s="6">
        <f>Q126-D126</f>
        <v>-270877163.63561821</v>
      </c>
    </row>
    <row r="129" spans="1:20" x14ac:dyDescent="0.2">
      <c r="O129"/>
      <c r="P129"/>
      <c r="Q129"/>
      <c r="R129"/>
      <c r="S129"/>
      <c r="T129"/>
    </row>
    <row r="130" spans="1:20" x14ac:dyDescent="0.2">
      <c r="N130" s="6">
        <f>SUM(N116:N124)</f>
        <v>1308395021.9612401</v>
      </c>
    </row>
    <row r="131" spans="1:20" x14ac:dyDescent="0.2">
      <c r="N131" s="32">
        <f>N114-N130</f>
        <v>0</v>
      </c>
    </row>
    <row r="132" spans="1:20" x14ac:dyDescent="0.2">
      <c r="A132"/>
      <c r="B132"/>
      <c r="C132"/>
      <c r="D132"/>
      <c r="E132"/>
      <c r="F132"/>
      <c r="G132"/>
      <c r="H132"/>
      <c r="I132"/>
      <c r="J132"/>
      <c r="L132"/>
      <c r="M132"/>
      <c r="N132"/>
      <c r="O132"/>
    </row>
    <row r="133" spans="1:20" x14ac:dyDescent="0.2">
      <c r="A133"/>
      <c r="B133"/>
      <c r="C133"/>
      <c r="D133"/>
      <c r="E133"/>
      <c r="F133"/>
      <c r="G133"/>
      <c r="H133"/>
      <c r="I133"/>
      <c r="J133"/>
      <c r="L133"/>
      <c r="M133"/>
      <c r="N133"/>
      <c r="O133"/>
    </row>
    <row r="134" spans="1:20" x14ac:dyDescent="0.2">
      <c r="A134"/>
      <c r="B134"/>
      <c r="C134"/>
      <c r="D134"/>
      <c r="E134"/>
      <c r="F134"/>
      <c r="G134"/>
      <c r="H134"/>
      <c r="I134"/>
      <c r="J134"/>
      <c r="L134"/>
      <c r="M134"/>
      <c r="N134"/>
      <c r="O134"/>
    </row>
    <row r="135" spans="1:20" x14ac:dyDescent="0.2">
      <c r="A135"/>
      <c r="B135"/>
      <c r="C135"/>
      <c r="D135"/>
      <c r="E135"/>
      <c r="F135"/>
      <c r="G135"/>
      <c r="H135"/>
      <c r="I135"/>
      <c r="J135"/>
      <c r="L135"/>
      <c r="M135"/>
      <c r="N135"/>
      <c r="O135"/>
    </row>
    <row r="136" spans="1:20" x14ac:dyDescent="0.2">
      <c r="A136"/>
      <c r="B136"/>
      <c r="C136"/>
      <c r="H136" s="6"/>
      <c r="I136" s="6"/>
      <c r="J136" s="6"/>
      <c r="L136"/>
      <c r="M136"/>
      <c r="N136"/>
      <c r="O136"/>
    </row>
    <row r="137" spans="1:20" x14ac:dyDescent="0.2">
      <c r="A137"/>
      <c r="B137"/>
      <c r="C137"/>
      <c r="H137" s="6"/>
      <c r="I137" s="6"/>
      <c r="J137" s="6"/>
      <c r="L137"/>
      <c r="M137"/>
      <c r="N137"/>
      <c r="O137"/>
    </row>
    <row r="138" spans="1:20" x14ac:dyDescent="0.2">
      <c r="A138"/>
      <c r="B138"/>
      <c r="C138"/>
      <c r="H138" s="6"/>
      <c r="I138" s="6"/>
      <c r="J138" s="6"/>
      <c r="L138"/>
      <c r="M138"/>
      <c r="N138"/>
      <c r="O138"/>
    </row>
    <row r="139" spans="1:20" x14ac:dyDescent="0.2">
      <c r="A139"/>
      <c r="B139"/>
      <c r="C139"/>
      <c r="H139" s="6"/>
      <c r="I139" s="6"/>
      <c r="J139" s="6"/>
      <c r="L139"/>
      <c r="M139"/>
      <c r="N139"/>
      <c r="O139"/>
    </row>
    <row r="140" spans="1:20" x14ac:dyDescent="0.2">
      <c r="A140"/>
      <c r="B140"/>
      <c r="C140"/>
      <c r="H140" s="6"/>
      <c r="I140" s="6"/>
      <c r="J140" s="6"/>
      <c r="L140"/>
      <c r="M140"/>
      <c r="N140"/>
      <c r="O140"/>
      <c r="P140"/>
      <c r="Q140"/>
      <c r="R140"/>
      <c r="S140"/>
      <c r="T140"/>
    </row>
    <row r="141" spans="1:20" x14ac:dyDescent="0.2">
      <c r="A141"/>
      <c r="B141"/>
      <c r="C141"/>
      <c r="H141" s="6"/>
      <c r="I141" s="6"/>
      <c r="J141" s="6"/>
      <c r="L141"/>
      <c r="M141"/>
      <c r="N141"/>
      <c r="O141"/>
      <c r="P141"/>
      <c r="Q141"/>
      <c r="R141"/>
      <c r="S141"/>
      <c r="T141"/>
    </row>
    <row r="142" spans="1:20" x14ac:dyDescent="0.2">
      <c r="A142"/>
      <c r="B142"/>
      <c r="C142"/>
      <c r="H142" s="6"/>
      <c r="I142" s="6"/>
      <c r="J142" s="6"/>
      <c r="L142"/>
      <c r="M142"/>
      <c r="N142"/>
      <c r="O142"/>
      <c r="P142"/>
      <c r="Q142"/>
      <c r="R142"/>
      <c r="S142"/>
      <c r="T142"/>
    </row>
    <row r="143" spans="1:20" x14ac:dyDescent="0.2">
      <c r="A143"/>
      <c r="B143"/>
      <c r="C143"/>
      <c r="H143" s="6"/>
      <c r="I143" s="6"/>
      <c r="J143" s="6"/>
      <c r="L143"/>
      <c r="M143"/>
      <c r="N143"/>
      <c r="O143"/>
      <c r="P143"/>
      <c r="Q143"/>
      <c r="R143"/>
      <c r="S143"/>
      <c r="T143"/>
    </row>
    <row r="144" spans="1:20" x14ac:dyDescent="0.2">
      <c r="A144"/>
      <c r="B144"/>
      <c r="C144"/>
      <c r="H144" s="6"/>
      <c r="I144" s="6"/>
      <c r="J144" s="6"/>
      <c r="L144"/>
      <c r="M144"/>
      <c r="N144"/>
      <c r="O144"/>
      <c r="P144"/>
      <c r="Q144"/>
      <c r="R144"/>
      <c r="S144"/>
      <c r="T144"/>
    </row>
    <row r="145" spans="1:20" x14ac:dyDescent="0.2">
      <c r="A145"/>
      <c r="H145" s="6"/>
      <c r="I145" s="6"/>
      <c r="J145" s="6"/>
      <c r="P145"/>
      <c r="Q145"/>
      <c r="R145"/>
      <c r="S145"/>
      <c r="T145"/>
    </row>
    <row r="146" spans="1:20" x14ac:dyDescent="0.2">
      <c r="A146"/>
      <c r="H146" s="6"/>
      <c r="I146" s="6"/>
      <c r="J146" s="6"/>
      <c r="P146"/>
      <c r="Q146"/>
      <c r="R146"/>
      <c r="S146"/>
      <c r="T146"/>
    </row>
    <row r="147" spans="1:20" x14ac:dyDescent="0.2">
      <c r="A147"/>
      <c r="H147" s="6"/>
      <c r="I147" s="6"/>
      <c r="J147" s="6"/>
      <c r="P147"/>
      <c r="Q147"/>
      <c r="R147"/>
      <c r="S147"/>
      <c r="T147"/>
    </row>
    <row r="148" spans="1:20" x14ac:dyDescent="0.2">
      <c r="A148"/>
      <c r="H148" s="6"/>
      <c r="I148" s="6"/>
      <c r="J148" s="6"/>
      <c r="K148" s="6"/>
      <c r="P148"/>
      <c r="Q148"/>
      <c r="R148"/>
      <c r="S148"/>
      <c r="T148"/>
    </row>
    <row r="149" spans="1:20" x14ac:dyDescent="0.2">
      <c r="A149"/>
      <c r="P149"/>
      <c r="Q149"/>
      <c r="R149"/>
      <c r="S149"/>
      <c r="T149"/>
    </row>
    <row r="150" spans="1:20" x14ac:dyDescent="0.2">
      <c r="A150"/>
      <c r="P150"/>
      <c r="Q150"/>
      <c r="R150"/>
      <c r="S150"/>
      <c r="T150"/>
    </row>
    <row r="151" spans="1:20" x14ac:dyDescent="0.2">
      <c r="A151"/>
      <c r="P151"/>
      <c r="Q151"/>
      <c r="R151"/>
      <c r="S151"/>
      <c r="T151"/>
    </row>
    <row r="152" spans="1:20" x14ac:dyDescent="0.2">
      <c r="A152"/>
      <c r="P152"/>
      <c r="Q152"/>
      <c r="R152"/>
      <c r="S152"/>
      <c r="T152"/>
    </row>
    <row r="153" spans="1:20" x14ac:dyDescent="0.2">
      <c r="A153"/>
      <c r="P153"/>
      <c r="Q153"/>
      <c r="R153"/>
      <c r="S153"/>
      <c r="T153"/>
    </row>
    <row r="154" spans="1:20" x14ac:dyDescent="0.2">
      <c r="A154"/>
      <c r="P154"/>
      <c r="Q154"/>
      <c r="R154"/>
      <c r="S154"/>
      <c r="T154"/>
    </row>
    <row r="155" spans="1:20" x14ac:dyDescent="0.2">
      <c r="A155"/>
      <c r="P155"/>
      <c r="Q155"/>
      <c r="R155"/>
      <c r="S155"/>
      <c r="T155"/>
    </row>
    <row r="156" spans="1:20" customFormat="1" x14ac:dyDescent="0.2">
      <c r="K156" s="57"/>
    </row>
    <row r="157" spans="1:20" customFormat="1" x14ac:dyDescent="0.2">
      <c r="K157" s="57"/>
    </row>
  </sheetData>
  <mergeCells count="1">
    <mergeCell ref="S112:S115"/>
  </mergeCells>
  <printOptions gridLines="1"/>
  <pageMargins left="0.38" right="0.75" top="0.73" bottom="0.74" header="0.5" footer="0.5"/>
  <pageSetup scale="15" orientation="landscape" r:id="rId1"/>
  <headerFooter alignWithMargins="0">
    <oddFooter>&amp;L&amp;Z&amp;F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9E5594-BF3B-461B-ABF2-B3080DA4798D}">
  <sheetPr>
    <tabColor rgb="FF00B0F0"/>
    <pageSetUpPr fitToPage="1"/>
  </sheetPr>
  <dimension ref="A1:AI157"/>
  <sheetViews>
    <sheetView topLeftCell="A92" zoomScale="78" zoomScaleNormal="78" workbookViewId="0">
      <selection activeCell="H124" sqref="H124"/>
    </sheetView>
  </sheetViews>
  <sheetFormatPr defaultRowHeight="12.75" x14ac:dyDescent="0.2"/>
  <cols>
    <col min="1" max="1" width="11.85546875" style="27" customWidth="1"/>
    <col min="2" max="7" width="16.85546875" style="6" customWidth="1"/>
    <col min="8" max="8" width="11.5703125" style="1" customWidth="1"/>
    <col min="9" max="9" width="13.42578125" style="1" customWidth="1"/>
    <col min="10" max="10" width="10.140625" style="1" customWidth="1"/>
    <col min="11" max="11" width="10.28515625" style="57" customWidth="1"/>
    <col min="12" max="13" width="13" style="1" customWidth="1"/>
    <col min="14" max="14" width="15.5703125" style="1" bestFit="1" customWidth="1"/>
    <col min="15" max="15" width="16" style="1" customWidth="1"/>
    <col min="16" max="16" width="18.28515625" style="1" bestFit="1" customWidth="1"/>
    <col min="17" max="17" width="15" style="1" bestFit="1" customWidth="1"/>
    <col min="18" max="18" width="17.85546875" style="1" bestFit="1" customWidth="1"/>
    <col min="19" max="19" width="11.42578125" style="1" customWidth="1"/>
    <col min="20" max="20" width="17.85546875" style="1" bestFit="1" customWidth="1"/>
    <col min="21" max="21" width="4.85546875" customWidth="1"/>
    <col min="22" max="22" width="44.42578125" customWidth="1"/>
    <col min="23" max="23" width="18.42578125" customWidth="1"/>
    <col min="24" max="28" width="12.5703125" customWidth="1"/>
    <col min="29" max="29" width="21.85546875" customWidth="1"/>
    <col min="30" max="30" width="12.5703125" customWidth="1"/>
    <col min="31" max="31" width="42.42578125" bestFit="1" customWidth="1"/>
    <col min="32" max="32" width="15.5703125" bestFit="1" customWidth="1"/>
    <col min="33" max="33" width="26.140625" bestFit="1" customWidth="1"/>
    <col min="34" max="34" width="23" bestFit="1" customWidth="1"/>
    <col min="37" max="37" width="40.5703125" bestFit="1" customWidth="1"/>
    <col min="38" max="38" width="42.85546875" bestFit="1" customWidth="1"/>
  </cols>
  <sheetData>
    <row r="1" spans="1:35" x14ac:dyDescent="0.2">
      <c r="AF1" s="105"/>
      <c r="AG1" s="105"/>
      <c r="AH1" s="105"/>
      <c r="AI1" s="105"/>
    </row>
    <row r="2" spans="1:35" ht="38.25" x14ac:dyDescent="0.2">
      <c r="A2" s="100"/>
      <c r="B2" s="101" t="s">
        <v>75</v>
      </c>
      <c r="C2" s="101" t="s">
        <v>107</v>
      </c>
      <c r="D2" s="101" t="s">
        <v>113</v>
      </c>
      <c r="E2" s="101" t="s">
        <v>115</v>
      </c>
      <c r="F2" s="101" t="s">
        <v>116</v>
      </c>
      <c r="G2" s="101" t="s">
        <v>117</v>
      </c>
      <c r="H2" s="102" t="s">
        <v>2</v>
      </c>
      <c r="I2" s="102" t="s">
        <v>3</v>
      </c>
      <c r="J2" s="102" t="s">
        <v>90</v>
      </c>
      <c r="K2" s="103" t="s">
        <v>13</v>
      </c>
      <c r="L2" s="102" t="s">
        <v>104</v>
      </c>
      <c r="M2" s="102" t="s">
        <v>114</v>
      </c>
      <c r="N2" s="102" t="s">
        <v>8</v>
      </c>
      <c r="O2" s="104" t="s">
        <v>118</v>
      </c>
      <c r="P2" s="102" t="s">
        <v>119</v>
      </c>
      <c r="Q2" s="131" t="s">
        <v>120</v>
      </c>
      <c r="R2" s="132" t="s">
        <v>121</v>
      </c>
      <c r="S2" s="132" t="s">
        <v>122</v>
      </c>
      <c r="T2" s="132" t="s">
        <v>123</v>
      </c>
      <c r="V2" t="s">
        <v>14</v>
      </c>
      <c r="AF2" s="105"/>
      <c r="AG2" s="105"/>
      <c r="AH2" s="105"/>
      <c r="AI2" s="105"/>
    </row>
    <row r="3" spans="1:35" ht="13.5" thickBot="1" x14ac:dyDescent="0.25">
      <c r="A3" s="47">
        <v>42400</v>
      </c>
      <c r="B3" s="48">
        <f>Inputs!D60</f>
        <v>17214578.510000002</v>
      </c>
      <c r="C3" s="48">
        <f>Inputs!E60</f>
        <v>62079.97</v>
      </c>
      <c r="D3" s="48">
        <f t="shared" ref="D3:D66" si="0">B3+C3</f>
        <v>17276658.48</v>
      </c>
      <c r="E3" s="48">
        <f>Inputs!AE60</f>
        <v>1398553.38</v>
      </c>
      <c r="F3" s="48">
        <v>4160319.42</v>
      </c>
      <c r="G3" s="48">
        <f>D3-E3-F3</f>
        <v>11717785.680000002</v>
      </c>
      <c r="H3" s="56">
        <v>679.58749999999998</v>
      </c>
      <c r="I3" s="56">
        <v>0</v>
      </c>
      <c r="J3" s="48">
        <v>31</v>
      </c>
      <c r="K3" s="110">
        <v>0</v>
      </c>
      <c r="L3" s="48">
        <f>Inputs!G60+Inputs!I60+Inputs!L60+Inputs!O60+Inputs!R60+Inputs!AA60</f>
        <v>6973</v>
      </c>
      <c r="M3" s="48">
        <v>0</v>
      </c>
      <c r="N3" s="48">
        <f>$W$18+$W$19*H3+$W$20*I3+$W$21*J3+$W$22*K3+$W$23*L3+M3*$W$24</f>
        <v>11011962.581066998</v>
      </c>
      <c r="O3" s="32">
        <f>N3-G3</f>
        <v>-705823.09893300384</v>
      </c>
      <c r="P3" s="41">
        <f>O3/G3</f>
        <v>-6.023519444784757E-2</v>
      </c>
      <c r="Q3" s="133">
        <f t="shared" ref="Q3:Q66" si="1">ABS(P3)</f>
        <v>6.023519444784757E-2</v>
      </c>
      <c r="R3" s="134">
        <f t="shared" ref="R3:R66" si="2">O3*O3</f>
        <v>498186246987.38892</v>
      </c>
      <c r="S3" s="134"/>
      <c r="T3" s="134"/>
      <c r="AF3" s="105"/>
      <c r="AG3" s="105"/>
      <c r="AH3" s="105"/>
      <c r="AI3" s="105"/>
    </row>
    <row r="4" spans="1:35" x14ac:dyDescent="0.2">
      <c r="A4" s="47">
        <v>42429</v>
      </c>
      <c r="B4" s="48">
        <f>Inputs!D61</f>
        <v>16327741.550000001</v>
      </c>
      <c r="C4" s="48">
        <f>Inputs!E61</f>
        <v>71513.490000000005</v>
      </c>
      <c r="D4" s="48">
        <f t="shared" si="0"/>
        <v>16399255.040000001</v>
      </c>
      <c r="E4" s="48">
        <f>Inputs!AE61</f>
        <v>1222410.74</v>
      </c>
      <c r="F4" s="48">
        <v>4296011.57</v>
      </c>
      <c r="G4" s="48">
        <f t="shared" ref="G4:G67" si="3">D4-E4-F4</f>
        <v>10880832.73</v>
      </c>
      <c r="H4" s="56">
        <v>599.76249999999993</v>
      </c>
      <c r="I4" s="56">
        <v>0</v>
      </c>
      <c r="J4" s="48">
        <v>29</v>
      </c>
      <c r="K4" s="110">
        <v>0</v>
      </c>
      <c r="L4" s="48">
        <f>Inputs!G61+Inputs!I61+Inputs!L61+Inputs!O61+Inputs!R61+Inputs!AA61</f>
        <v>6976</v>
      </c>
      <c r="M4" s="48">
        <v>0</v>
      </c>
      <c r="N4" s="48">
        <f t="shared" ref="N4:N67" si="4">$W$18+$W$19*H4+$W$20*I4+$W$21*J4+$W$22*K4+$W$23*L4+M4*$W$24</f>
        <v>10167232.452319995</v>
      </c>
      <c r="O4" s="32">
        <f t="shared" ref="O4:O67" si="5">N4-G4</f>
        <v>-713600.27768000588</v>
      </c>
      <c r="P4" s="41">
        <f t="shared" ref="P4:P67" si="6">O4/G4</f>
        <v>-6.5583241226795874E-2</v>
      </c>
      <c r="Q4" s="133">
        <f t="shared" si="1"/>
        <v>6.5583241226795874E-2</v>
      </c>
      <c r="R4" s="134">
        <f t="shared" si="2"/>
        <v>509225356304.98151</v>
      </c>
      <c r="S4" s="134">
        <f t="shared" ref="S4:S67" si="7">O4-O3</f>
        <v>-7777.1787470020354</v>
      </c>
      <c r="T4" s="134">
        <f t="shared" ref="T4:T67" si="8">S4*S4</f>
        <v>60484509.262820147</v>
      </c>
      <c r="V4" s="114" t="s">
        <v>15</v>
      </c>
      <c r="W4" s="114"/>
      <c r="AF4" s="105"/>
      <c r="AG4" s="105"/>
      <c r="AH4" s="105"/>
      <c r="AI4" s="105"/>
    </row>
    <row r="5" spans="1:35" x14ac:dyDescent="0.2">
      <c r="A5" s="47">
        <v>42460</v>
      </c>
      <c r="B5" s="48">
        <f>Inputs!D62</f>
        <v>16387708.84</v>
      </c>
      <c r="C5" s="48">
        <f>Inputs!E62</f>
        <v>128194.3</v>
      </c>
      <c r="D5" s="48">
        <f t="shared" si="0"/>
        <v>16515903.140000001</v>
      </c>
      <c r="E5" s="48">
        <f>Inputs!AE62</f>
        <v>1328244.3800000001</v>
      </c>
      <c r="F5" s="48">
        <v>4380082.97</v>
      </c>
      <c r="G5" s="48">
        <f t="shared" si="3"/>
        <v>10807575.789999999</v>
      </c>
      <c r="H5" s="56">
        <v>527.26250000000005</v>
      </c>
      <c r="I5" s="56">
        <v>0</v>
      </c>
      <c r="J5" s="48">
        <v>31</v>
      </c>
      <c r="K5" s="110">
        <v>1</v>
      </c>
      <c r="L5" s="48">
        <f>Inputs!G62+Inputs!I62+Inputs!L62+Inputs!O62+Inputs!R62+Inputs!AA62</f>
        <v>6984</v>
      </c>
      <c r="M5" s="48">
        <v>0</v>
      </c>
      <c r="N5" s="48">
        <f t="shared" si="4"/>
        <v>10285028.952721287</v>
      </c>
      <c r="O5" s="32">
        <f t="shared" si="5"/>
        <v>-522546.83727871254</v>
      </c>
      <c r="P5" s="41">
        <f t="shared" si="6"/>
        <v>-4.8350050689648004E-2</v>
      </c>
      <c r="Q5" s="12">
        <f t="shared" si="1"/>
        <v>4.8350050689648004E-2</v>
      </c>
      <c r="R5" s="134">
        <f t="shared" si="2"/>
        <v>273055197149.98529</v>
      </c>
      <c r="S5" s="134">
        <f t="shared" si="7"/>
        <v>191053.44040129334</v>
      </c>
      <c r="T5" s="134">
        <f t="shared" si="8"/>
        <v>36501417089.170547</v>
      </c>
      <c r="V5" t="s">
        <v>16</v>
      </c>
      <c r="W5">
        <v>0.94958405121549483</v>
      </c>
      <c r="AF5" s="105"/>
      <c r="AG5" s="105"/>
      <c r="AH5" s="105"/>
      <c r="AI5" s="105"/>
    </row>
    <row r="6" spans="1:35" x14ac:dyDescent="0.2">
      <c r="A6" s="47">
        <v>42490</v>
      </c>
      <c r="B6" s="48">
        <f>Inputs!D63</f>
        <v>15295315.789999999</v>
      </c>
      <c r="C6" s="48">
        <f>Inputs!E63</f>
        <v>189041.49</v>
      </c>
      <c r="D6" s="48">
        <f t="shared" si="0"/>
        <v>15484357.279999999</v>
      </c>
      <c r="E6" s="48">
        <f>Inputs!AE63</f>
        <v>1253861.8099999998</v>
      </c>
      <c r="F6" s="48">
        <v>4125931.53</v>
      </c>
      <c r="G6" s="48">
        <f t="shared" si="3"/>
        <v>10104563.939999999</v>
      </c>
      <c r="H6" s="56">
        <v>349.3125</v>
      </c>
      <c r="I6" s="56">
        <v>0.32500000000000001</v>
      </c>
      <c r="J6" s="48">
        <v>30</v>
      </c>
      <c r="K6" s="110">
        <v>1</v>
      </c>
      <c r="L6" s="48">
        <f>Inputs!G63+Inputs!I63+Inputs!L63+Inputs!O63+Inputs!R63+Inputs!AA63</f>
        <v>6995</v>
      </c>
      <c r="M6" s="48">
        <v>0</v>
      </c>
      <c r="N6" s="48">
        <f t="shared" si="4"/>
        <v>9669576.5267447177</v>
      </c>
      <c r="O6" s="32">
        <f t="shared" si="5"/>
        <v>-434987.41325528175</v>
      </c>
      <c r="P6" s="41">
        <f t="shared" si="6"/>
        <v>-4.3048608117895862E-2</v>
      </c>
      <c r="Q6" s="12">
        <f t="shared" si="1"/>
        <v>4.3048608117895862E-2</v>
      </c>
      <c r="R6" s="134">
        <f t="shared" si="2"/>
        <v>189214049690.52127</v>
      </c>
      <c r="S6" s="134">
        <f t="shared" si="7"/>
        <v>87559.424023430794</v>
      </c>
      <c r="T6" s="134">
        <f t="shared" si="8"/>
        <v>7666652735.31495</v>
      </c>
      <c r="V6" t="s">
        <v>17</v>
      </c>
      <c r="W6">
        <v>0.90170987032283145</v>
      </c>
      <c r="AF6" s="105"/>
      <c r="AG6" s="105"/>
      <c r="AH6" s="105"/>
      <c r="AI6" s="105"/>
    </row>
    <row r="7" spans="1:35" x14ac:dyDescent="0.2">
      <c r="A7" s="47">
        <v>42521</v>
      </c>
      <c r="B7" s="48">
        <f>Inputs!D64</f>
        <v>15349497.890000001</v>
      </c>
      <c r="C7" s="48">
        <f>Inputs!E64</f>
        <v>239387.64</v>
      </c>
      <c r="D7" s="48">
        <f t="shared" si="0"/>
        <v>15588885.530000001</v>
      </c>
      <c r="E7" s="48">
        <f>Inputs!AE64</f>
        <v>1195532.79</v>
      </c>
      <c r="F7" s="48">
        <v>4159261.96</v>
      </c>
      <c r="G7" s="48">
        <f t="shared" si="3"/>
        <v>10234090.780000001</v>
      </c>
      <c r="H7" s="56">
        <v>159.125</v>
      </c>
      <c r="I7" s="56">
        <v>18.412500000000001</v>
      </c>
      <c r="J7" s="48">
        <v>31</v>
      </c>
      <c r="K7" s="110">
        <v>1</v>
      </c>
      <c r="L7" s="48">
        <f>Inputs!G64+Inputs!I64+Inputs!L64+Inputs!O64+Inputs!R64+Inputs!AA64</f>
        <v>7003</v>
      </c>
      <c r="M7" s="48">
        <v>0</v>
      </c>
      <c r="N7" s="48">
        <f t="shared" si="4"/>
        <v>10245625.856251307</v>
      </c>
      <c r="O7" s="32">
        <f t="shared" si="5"/>
        <v>11535.07625130564</v>
      </c>
      <c r="P7" s="41">
        <f t="shared" si="6"/>
        <v>1.1271227214290588E-3</v>
      </c>
      <c r="Q7" s="12">
        <f t="shared" si="1"/>
        <v>1.1271227214290588E-3</v>
      </c>
      <c r="R7" s="134">
        <f t="shared" si="2"/>
        <v>133057984.12343536</v>
      </c>
      <c r="S7" s="134">
        <f t="shared" si="7"/>
        <v>446522.48950658739</v>
      </c>
      <c r="T7" s="134">
        <f t="shared" si="8"/>
        <v>199382333635.16043</v>
      </c>
      <c r="V7" t="s">
        <v>18</v>
      </c>
      <c r="W7">
        <v>0.89550207265901038</v>
      </c>
      <c r="AF7" s="105"/>
      <c r="AG7" s="105"/>
      <c r="AH7" s="105"/>
      <c r="AI7" s="105"/>
    </row>
    <row r="8" spans="1:35" x14ac:dyDescent="0.2">
      <c r="A8" s="47">
        <v>42551</v>
      </c>
      <c r="B8" s="48">
        <f>Inputs!D65</f>
        <v>16760016.93</v>
      </c>
      <c r="C8" s="48">
        <f>Inputs!E65</f>
        <v>264615.24</v>
      </c>
      <c r="D8" s="48">
        <f t="shared" si="0"/>
        <v>17024632.169999998</v>
      </c>
      <c r="E8" s="48">
        <f>Inputs!AE65</f>
        <v>1306218.8199999998</v>
      </c>
      <c r="F8" s="48">
        <v>4271213.41</v>
      </c>
      <c r="G8" s="48">
        <f t="shared" si="3"/>
        <v>11447199.939999998</v>
      </c>
      <c r="H8" s="56">
        <v>33.324999999999996</v>
      </c>
      <c r="I8" s="56">
        <v>50.612499999999997</v>
      </c>
      <c r="J8" s="48">
        <v>30</v>
      </c>
      <c r="K8" s="110">
        <v>0</v>
      </c>
      <c r="L8" s="48">
        <f>Inputs!G65+Inputs!I65+Inputs!L65+Inputs!O65+Inputs!R65+Inputs!AA65</f>
        <v>7015</v>
      </c>
      <c r="M8" s="48">
        <v>0</v>
      </c>
      <c r="N8" s="48">
        <f t="shared" si="4"/>
        <v>11108259.265474036</v>
      </c>
      <c r="O8" s="32">
        <f t="shared" si="5"/>
        <v>-338940.67452596128</v>
      </c>
      <c r="P8" s="41">
        <f t="shared" si="6"/>
        <v>-2.960904643078693E-2</v>
      </c>
      <c r="Q8" s="12">
        <f t="shared" si="1"/>
        <v>2.960904643078693E-2</v>
      </c>
      <c r="R8" s="134">
        <f t="shared" si="2"/>
        <v>114880780848.11362</v>
      </c>
      <c r="S8" s="134">
        <f t="shared" si="7"/>
        <v>-350475.75077726692</v>
      </c>
      <c r="T8" s="134">
        <f t="shared" si="8"/>
        <v>122833251882.88892</v>
      </c>
      <c r="V8" t="s">
        <v>19</v>
      </c>
      <c r="W8">
        <v>468285.26709255105</v>
      </c>
      <c r="AF8" s="105"/>
      <c r="AG8" s="105"/>
      <c r="AH8" s="105"/>
      <c r="AI8" s="105"/>
    </row>
    <row r="9" spans="1:35" ht="13.5" thickBot="1" x14ac:dyDescent="0.25">
      <c r="A9" s="47">
        <v>42582</v>
      </c>
      <c r="B9" s="48">
        <f>Inputs!D66</f>
        <v>17584612.699999999</v>
      </c>
      <c r="C9" s="48">
        <f>Inputs!E66</f>
        <v>249446.96</v>
      </c>
      <c r="D9" s="48">
        <f t="shared" si="0"/>
        <v>17834059.66</v>
      </c>
      <c r="E9" s="48">
        <f>Inputs!AE66</f>
        <v>1366765.55</v>
      </c>
      <c r="F9" s="48">
        <v>3813952.6999999997</v>
      </c>
      <c r="G9" s="48">
        <f t="shared" si="3"/>
        <v>12653341.41</v>
      </c>
      <c r="H9" s="56">
        <v>2.2625000000000002</v>
      </c>
      <c r="I9" s="56">
        <v>100.26249999999999</v>
      </c>
      <c r="J9" s="48">
        <v>31</v>
      </c>
      <c r="K9" s="110">
        <v>0</v>
      </c>
      <c r="L9" s="48">
        <f>Inputs!G66+Inputs!I66+Inputs!L66+Inputs!O66+Inputs!R66+Inputs!AA66</f>
        <v>7029</v>
      </c>
      <c r="M9" s="48">
        <v>0</v>
      </c>
      <c r="N9" s="48">
        <f t="shared" si="4"/>
        <v>12830651.072932238</v>
      </c>
      <c r="O9" s="32">
        <f t="shared" si="5"/>
        <v>177309.66293223761</v>
      </c>
      <c r="P9" s="41">
        <f t="shared" si="6"/>
        <v>1.4012872741433254E-2</v>
      </c>
      <c r="Q9" s="12">
        <f t="shared" si="1"/>
        <v>1.4012872741433254E-2</v>
      </c>
      <c r="R9" s="134">
        <f t="shared" si="2"/>
        <v>31438716569.143715</v>
      </c>
      <c r="S9" s="134">
        <f t="shared" si="7"/>
        <v>516250.33745819889</v>
      </c>
      <c r="T9" s="134">
        <f t="shared" si="8"/>
        <v>266514410925.70422</v>
      </c>
      <c r="V9" s="112" t="s">
        <v>20</v>
      </c>
      <c r="W9" s="112">
        <v>102</v>
      </c>
      <c r="AF9" s="105"/>
      <c r="AG9" s="105"/>
      <c r="AH9" s="105"/>
      <c r="AI9" s="105"/>
    </row>
    <row r="10" spans="1:35" x14ac:dyDescent="0.2">
      <c r="A10" s="47">
        <v>42613</v>
      </c>
      <c r="B10" s="48">
        <f>Inputs!D67</f>
        <v>20027554.73</v>
      </c>
      <c r="C10" s="48">
        <f>Inputs!E67</f>
        <v>228668.65</v>
      </c>
      <c r="D10" s="48">
        <f t="shared" si="0"/>
        <v>20256223.379999999</v>
      </c>
      <c r="E10" s="48">
        <f>Inputs!AE67</f>
        <v>1456378.23</v>
      </c>
      <c r="F10" s="48">
        <v>4753916.74</v>
      </c>
      <c r="G10" s="48">
        <f t="shared" si="3"/>
        <v>14045928.409999998</v>
      </c>
      <c r="H10" s="56">
        <v>8.6000000000000014</v>
      </c>
      <c r="I10" s="56">
        <v>79.587499999999991</v>
      </c>
      <c r="J10" s="48">
        <v>31</v>
      </c>
      <c r="K10" s="110">
        <v>0</v>
      </c>
      <c r="L10" s="48">
        <f>Inputs!G67+Inputs!I67+Inputs!L67+Inputs!O67+Inputs!R67+Inputs!AA67</f>
        <v>7045</v>
      </c>
      <c r="M10" s="48">
        <v>0</v>
      </c>
      <c r="N10" s="48">
        <f t="shared" si="4"/>
        <v>12297882.723787708</v>
      </c>
      <c r="O10" s="32">
        <f t="shared" si="5"/>
        <v>-1748045.6862122901</v>
      </c>
      <c r="P10" s="41">
        <f t="shared" si="6"/>
        <v>-0.12445212841664272</v>
      </c>
      <c r="Q10" s="12">
        <f t="shared" si="1"/>
        <v>0.12445212841664272</v>
      </c>
      <c r="R10" s="134">
        <f t="shared" si="2"/>
        <v>3055663721085.396</v>
      </c>
      <c r="S10" s="134">
        <f t="shared" si="7"/>
        <v>-1925355.3491445277</v>
      </c>
      <c r="T10" s="134">
        <f t="shared" si="8"/>
        <v>3706993220479.4463</v>
      </c>
      <c r="AF10" s="105"/>
      <c r="AG10" s="105"/>
      <c r="AH10" s="105"/>
      <c r="AI10" s="105"/>
    </row>
    <row r="11" spans="1:35" ht="13.5" thickBot="1" x14ac:dyDescent="0.25">
      <c r="A11" s="47">
        <v>42643</v>
      </c>
      <c r="B11" s="48">
        <f>Inputs!D68</f>
        <v>17024200.449999999</v>
      </c>
      <c r="C11" s="48">
        <f>Inputs!E68</f>
        <v>191588.72</v>
      </c>
      <c r="D11" s="48">
        <f t="shared" si="0"/>
        <v>17215789.169999998</v>
      </c>
      <c r="E11" s="48">
        <f>Inputs!AE68</f>
        <v>1349320.0799999998</v>
      </c>
      <c r="F11" s="48">
        <v>4536643.54</v>
      </c>
      <c r="G11" s="48">
        <f t="shared" si="3"/>
        <v>11329825.549999997</v>
      </c>
      <c r="H11" s="56">
        <v>62.674999999999983</v>
      </c>
      <c r="I11" s="56">
        <v>31.699999999999996</v>
      </c>
      <c r="J11" s="48">
        <v>30</v>
      </c>
      <c r="K11" s="110">
        <v>1</v>
      </c>
      <c r="L11" s="48">
        <f>Inputs!G68+Inputs!I68+Inputs!L68+Inputs!O68+Inputs!R68+Inputs!AA68</f>
        <v>7053</v>
      </c>
      <c r="M11" s="48">
        <v>0</v>
      </c>
      <c r="N11" s="48">
        <f t="shared" si="4"/>
        <v>10201476.098436007</v>
      </c>
      <c r="O11" s="32">
        <f t="shared" si="5"/>
        <v>-1128349.4515639897</v>
      </c>
      <c r="P11" s="41">
        <f t="shared" si="6"/>
        <v>-9.9591070187659683E-2</v>
      </c>
      <c r="Q11" s="12">
        <f t="shared" si="1"/>
        <v>9.9591070187659683E-2</v>
      </c>
      <c r="R11" s="134">
        <f t="shared" si="2"/>
        <v>1273172484844.7563</v>
      </c>
      <c r="S11" s="134">
        <f t="shared" si="7"/>
        <v>619696.23464830033</v>
      </c>
      <c r="T11" s="134">
        <f t="shared" si="8"/>
        <v>384023423237.28131</v>
      </c>
      <c r="V11" t="s">
        <v>21</v>
      </c>
    </row>
    <row r="12" spans="1:35" x14ac:dyDescent="0.2">
      <c r="A12" s="47">
        <v>42674</v>
      </c>
      <c r="B12" s="48">
        <f>Inputs!D69</f>
        <v>15911420.27</v>
      </c>
      <c r="C12" s="48">
        <f>Inputs!E69</f>
        <v>132639.69</v>
      </c>
      <c r="D12" s="48">
        <f t="shared" si="0"/>
        <v>16044059.959999999</v>
      </c>
      <c r="E12" s="48">
        <f>Inputs!AE69</f>
        <v>1234720.6599999999</v>
      </c>
      <c r="F12" s="48">
        <v>4536507.6399999997</v>
      </c>
      <c r="G12" s="48">
        <f t="shared" si="3"/>
        <v>10272831.66</v>
      </c>
      <c r="H12" s="56">
        <v>229.3125</v>
      </c>
      <c r="I12" s="56">
        <v>5.1125000000000007</v>
      </c>
      <c r="J12" s="48">
        <v>31</v>
      </c>
      <c r="K12" s="110">
        <v>1</v>
      </c>
      <c r="L12" s="48">
        <f>Inputs!G69+Inputs!I69+Inputs!L69+Inputs!O69+Inputs!R69+Inputs!AA69</f>
        <v>7064</v>
      </c>
      <c r="M12" s="48">
        <v>0</v>
      </c>
      <c r="N12" s="48">
        <f t="shared" si="4"/>
        <v>10112524.566140508</v>
      </c>
      <c r="O12" s="32">
        <f t="shared" si="5"/>
        <v>-160307.09385949187</v>
      </c>
      <c r="P12" s="41">
        <f t="shared" si="6"/>
        <v>-1.5604956760236823E-2</v>
      </c>
      <c r="Q12" s="12">
        <f t="shared" si="1"/>
        <v>1.5604956760236823E-2</v>
      </c>
      <c r="R12" s="134">
        <f t="shared" si="2"/>
        <v>25698364341.675938</v>
      </c>
      <c r="S12" s="134">
        <f t="shared" si="7"/>
        <v>968042.35770449787</v>
      </c>
      <c r="T12" s="134">
        <f t="shared" si="8"/>
        <v>937106006310.08301</v>
      </c>
      <c r="V12" s="113"/>
      <c r="W12" s="113" t="s">
        <v>25</v>
      </c>
      <c r="X12" s="113" t="s">
        <v>26</v>
      </c>
      <c r="Y12" s="113" t="s">
        <v>27</v>
      </c>
      <c r="Z12" s="113" t="s">
        <v>28</v>
      </c>
      <c r="AA12" s="113" t="s">
        <v>29</v>
      </c>
    </row>
    <row r="13" spans="1:35" x14ac:dyDescent="0.2">
      <c r="A13" s="47">
        <v>42704</v>
      </c>
      <c r="B13" s="48">
        <f>Inputs!D70</f>
        <v>15908144.58</v>
      </c>
      <c r="C13" s="48">
        <f>Inputs!E70</f>
        <v>91505.37</v>
      </c>
      <c r="D13" s="48">
        <f t="shared" si="0"/>
        <v>15999649.949999999</v>
      </c>
      <c r="E13" s="48">
        <f>Inputs!AE70</f>
        <v>1266138.96</v>
      </c>
      <c r="F13" s="48">
        <v>4373435.6499999994</v>
      </c>
      <c r="G13" s="48">
        <f t="shared" si="3"/>
        <v>10360075.34</v>
      </c>
      <c r="H13" s="56">
        <v>439.67500000000001</v>
      </c>
      <c r="I13" s="56">
        <v>0.05</v>
      </c>
      <c r="J13" s="48">
        <v>30</v>
      </c>
      <c r="K13" s="110">
        <v>0</v>
      </c>
      <c r="L13" s="48">
        <f>Inputs!G70+Inputs!I70+Inputs!L70+Inputs!O70+Inputs!R70+Inputs!AA70</f>
        <v>7067</v>
      </c>
      <c r="M13" s="48">
        <v>0</v>
      </c>
      <c r="N13" s="48">
        <f t="shared" si="4"/>
        <v>10458866.04424719</v>
      </c>
      <c r="O13" s="32">
        <f t="shared" si="5"/>
        <v>98790.704247189686</v>
      </c>
      <c r="P13" s="41">
        <f t="shared" si="6"/>
        <v>9.5357129176234044E-3</v>
      </c>
      <c r="Q13" s="12">
        <f t="shared" si="1"/>
        <v>9.5357129176234044E-3</v>
      </c>
      <c r="R13" s="134">
        <f t="shared" si="2"/>
        <v>9759603245.6557026</v>
      </c>
      <c r="S13" s="134">
        <f t="shared" si="7"/>
        <v>259097.79810668156</v>
      </c>
      <c r="T13" s="134">
        <f t="shared" si="8"/>
        <v>67131668983.730713</v>
      </c>
      <c r="V13" t="s">
        <v>22</v>
      </c>
      <c r="W13">
        <v>6</v>
      </c>
      <c r="X13">
        <v>191117963834378.84</v>
      </c>
      <c r="Y13">
        <v>31852993972396.473</v>
      </c>
      <c r="Z13">
        <v>145.25439119544197</v>
      </c>
      <c r="AA13">
        <v>1.366542954917963E-45</v>
      </c>
    </row>
    <row r="14" spans="1:35" x14ac:dyDescent="0.2">
      <c r="A14" s="47">
        <v>42735</v>
      </c>
      <c r="B14" s="48">
        <f>Inputs!D71</f>
        <v>16116946.359999999</v>
      </c>
      <c r="C14" s="48">
        <f>Inputs!E71</f>
        <v>14828.03</v>
      </c>
      <c r="D14" s="48">
        <f t="shared" si="0"/>
        <v>16131774.389999999</v>
      </c>
      <c r="E14" s="48">
        <f>Inputs!AE71</f>
        <v>1137069.6299999999</v>
      </c>
      <c r="F14" s="48">
        <v>3672969.6100000003</v>
      </c>
      <c r="G14" s="48">
        <f t="shared" si="3"/>
        <v>11321735.149999999</v>
      </c>
      <c r="H14" s="56">
        <v>573.38750000000005</v>
      </c>
      <c r="I14" s="56">
        <v>0</v>
      </c>
      <c r="J14" s="48">
        <v>31</v>
      </c>
      <c r="K14" s="110">
        <v>0</v>
      </c>
      <c r="L14" s="48">
        <f>Inputs!G71+Inputs!I71+Inputs!L71+Inputs!O71+Inputs!R71+Inputs!AA71</f>
        <v>7085</v>
      </c>
      <c r="M14" s="48">
        <v>0</v>
      </c>
      <c r="N14" s="48">
        <f t="shared" si="4"/>
        <v>11070186.194583295</v>
      </c>
      <c r="O14" s="32">
        <f t="shared" si="5"/>
        <v>-251548.9554167036</v>
      </c>
      <c r="P14" s="41">
        <f t="shared" si="6"/>
        <v>-2.2218233520212988E-2</v>
      </c>
      <c r="Q14" s="12">
        <f t="shared" si="1"/>
        <v>2.2218233520212988E-2</v>
      </c>
      <c r="R14" s="134">
        <f t="shared" si="2"/>
        <v>63276876971.234734</v>
      </c>
      <c r="S14" s="134">
        <f t="shared" si="7"/>
        <v>-350339.65966389328</v>
      </c>
      <c r="T14" s="134">
        <f t="shared" si="8"/>
        <v>122737877133.41257</v>
      </c>
      <c r="V14" t="s">
        <v>23</v>
      </c>
      <c r="W14">
        <v>95</v>
      </c>
      <c r="X14">
        <v>20832653680714.477</v>
      </c>
      <c r="Y14">
        <v>219291091375.94186</v>
      </c>
    </row>
    <row r="15" spans="1:35" ht="13.5" thickBot="1" x14ac:dyDescent="0.25">
      <c r="A15" s="47">
        <v>42766</v>
      </c>
      <c r="B15" s="48">
        <f>Inputs!D72</f>
        <v>17123786.129999999</v>
      </c>
      <c r="C15" s="48">
        <f>Inputs!E72</f>
        <v>40918.46</v>
      </c>
      <c r="D15" s="48">
        <f t="shared" si="0"/>
        <v>17164704.59</v>
      </c>
      <c r="E15" s="48">
        <f>Inputs!AE72</f>
        <v>1299339.8</v>
      </c>
      <c r="F15" s="48">
        <v>4258095.4399999995</v>
      </c>
      <c r="G15" s="48">
        <f t="shared" si="3"/>
        <v>11607269.35</v>
      </c>
      <c r="H15" s="56">
        <v>679.58749999999998</v>
      </c>
      <c r="I15" s="56">
        <v>0</v>
      </c>
      <c r="J15" s="48">
        <v>31</v>
      </c>
      <c r="K15" s="110">
        <v>0</v>
      </c>
      <c r="L15" s="48">
        <f>Inputs!G72+Inputs!I72+Inputs!L72+Inputs!O72+Inputs!R72+Inputs!AA72</f>
        <v>7094</v>
      </c>
      <c r="M15" s="48">
        <v>0</v>
      </c>
      <c r="N15" s="48">
        <f t="shared" si="4"/>
        <v>11258996.723402342</v>
      </c>
      <c r="O15" s="32">
        <f t="shared" si="5"/>
        <v>-348272.6265976578</v>
      </c>
      <c r="P15" s="41">
        <f t="shared" si="6"/>
        <v>-3.0004699304893603E-2</v>
      </c>
      <c r="Q15" s="12">
        <f t="shared" si="1"/>
        <v>3.0004699304893603E-2</v>
      </c>
      <c r="R15" s="134">
        <f t="shared" si="2"/>
        <v>121293822437.23158</v>
      </c>
      <c r="S15" s="134">
        <f t="shared" si="7"/>
        <v>-96723.671180954203</v>
      </c>
      <c r="T15" s="134">
        <f t="shared" si="8"/>
        <v>9355468566.7213497</v>
      </c>
      <c r="V15" s="112" t="s">
        <v>7</v>
      </c>
      <c r="W15" s="112">
        <v>101</v>
      </c>
      <c r="X15" s="112">
        <v>211950617515093.31</v>
      </c>
      <c r="Y15" s="112"/>
      <c r="Z15" s="112"/>
      <c r="AA15" s="112"/>
    </row>
    <row r="16" spans="1:35" ht="13.5" thickBot="1" x14ac:dyDescent="0.25">
      <c r="A16" s="47">
        <v>42794</v>
      </c>
      <c r="B16" s="48">
        <f>Inputs!D73</f>
        <v>15034182.73</v>
      </c>
      <c r="C16" s="48">
        <f>Inputs!E73</f>
        <v>98842.77</v>
      </c>
      <c r="D16" s="48">
        <f t="shared" si="0"/>
        <v>15133025.5</v>
      </c>
      <c r="E16" s="48">
        <f>Inputs!AE73</f>
        <v>1201380.51</v>
      </c>
      <c r="F16" s="48">
        <v>3901375.5300000003</v>
      </c>
      <c r="G16" s="48">
        <f t="shared" si="3"/>
        <v>10030269.460000001</v>
      </c>
      <c r="H16" s="56">
        <v>599.76249999999993</v>
      </c>
      <c r="I16" s="56">
        <v>0</v>
      </c>
      <c r="J16" s="48">
        <v>28</v>
      </c>
      <c r="K16" s="110">
        <v>0</v>
      </c>
      <c r="L16" s="48">
        <f>Inputs!G73+Inputs!I73+Inputs!L73+Inputs!O73+Inputs!R73+Inputs!AA73</f>
        <v>7111</v>
      </c>
      <c r="M16" s="48">
        <v>0</v>
      </c>
      <c r="N16" s="48">
        <f t="shared" si="4"/>
        <v>10081475.544702381</v>
      </c>
      <c r="O16" s="32">
        <f t="shared" si="5"/>
        <v>51206.084702380002</v>
      </c>
      <c r="P16" s="41">
        <f t="shared" si="6"/>
        <v>5.1051554403983082E-3</v>
      </c>
      <c r="Q16" s="12">
        <f t="shared" si="1"/>
        <v>5.1051554403983082E-3</v>
      </c>
      <c r="R16" s="134">
        <f t="shared" si="2"/>
        <v>2622063110.5473151</v>
      </c>
      <c r="S16" s="134">
        <f t="shared" si="7"/>
        <v>399478.7113000378</v>
      </c>
      <c r="T16" s="134">
        <f t="shared" si="8"/>
        <v>159583240781.93893</v>
      </c>
    </row>
    <row r="17" spans="1:30" x14ac:dyDescent="0.2">
      <c r="A17" s="47">
        <v>42825</v>
      </c>
      <c r="B17" s="48">
        <f>Inputs!D74</f>
        <v>16518332.300000001</v>
      </c>
      <c r="C17" s="48">
        <f>Inputs!E74</f>
        <v>144381.45000000001</v>
      </c>
      <c r="D17" s="48">
        <f t="shared" si="0"/>
        <v>16662713.75</v>
      </c>
      <c r="E17" s="48">
        <f>Inputs!AE74</f>
        <v>1325848.7599999998</v>
      </c>
      <c r="F17" s="48">
        <v>4291491.49</v>
      </c>
      <c r="G17" s="48">
        <f t="shared" si="3"/>
        <v>11045373.5</v>
      </c>
      <c r="H17" s="56">
        <v>527.26250000000005</v>
      </c>
      <c r="I17" s="56">
        <v>0</v>
      </c>
      <c r="J17" s="48">
        <v>31</v>
      </c>
      <c r="K17" s="110">
        <v>1</v>
      </c>
      <c r="L17" s="48">
        <f>Inputs!G74+Inputs!I74+Inputs!L74+Inputs!O74+Inputs!R74+Inputs!AA74</f>
        <v>7115</v>
      </c>
      <c r="M17" s="48">
        <v>0</v>
      </c>
      <c r="N17" s="48">
        <f t="shared" si="4"/>
        <v>10552479.139877735</v>
      </c>
      <c r="O17" s="32">
        <f t="shared" si="5"/>
        <v>-492894.36012226529</v>
      </c>
      <c r="P17" s="41">
        <f t="shared" si="6"/>
        <v>-4.4624508181843311E-2</v>
      </c>
      <c r="Q17" s="12">
        <f t="shared" si="1"/>
        <v>4.4624508181843311E-2</v>
      </c>
      <c r="R17" s="134">
        <f t="shared" si="2"/>
        <v>242944850240.33734</v>
      </c>
      <c r="S17" s="134">
        <f t="shared" si="7"/>
        <v>-544100.4448246453</v>
      </c>
      <c r="T17" s="134">
        <f t="shared" si="8"/>
        <v>296045294058.37689</v>
      </c>
      <c r="V17" s="113"/>
      <c r="W17" s="113" t="s">
        <v>30</v>
      </c>
      <c r="X17" s="113" t="s">
        <v>19</v>
      </c>
      <c r="Y17" s="113" t="s">
        <v>31</v>
      </c>
      <c r="Z17" s="113" t="s">
        <v>32</v>
      </c>
      <c r="AA17" s="113" t="s">
        <v>33</v>
      </c>
      <c r="AB17" s="113" t="s">
        <v>34</v>
      </c>
      <c r="AC17" s="113" t="s">
        <v>145</v>
      </c>
      <c r="AD17" s="113" t="s">
        <v>146</v>
      </c>
    </row>
    <row r="18" spans="1:30" x14ac:dyDescent="0.2">
      <c r="A18" s="47">
        <v>42855</v>
      </c>
      <c r="B18" s="48">
        <f>Inputs!D75</f>
        <v>13982812.939999999</v>
      </c>
      <c r="C18" s="48">
        <f>Inputs!E75</f>
        <v>180225.96</v>
      </c>
      <c r="D18" s="48">
        <f t="shared" si="0"/>
        <v>14163038.9</v>
      </c>
      <c r="E18" s="48">
        <f>Inputs!AE75</f>
        <v>1205713.79</v>
      </c>
      <c r="F18" s="48">
        <v>3567728.34</v>
      </c>
      <c r="G18" s="48">
        <f t="shared" si="3"/>
        <v>9389596.7699999996</v>
      </c>
      <c r="H18" s="56">
        <v>349.3125</v>
      </c>
      <c r="I18" s="56">
        <v>0.32500000000000001</v>
      </c>
      <c r="J18" s="48">
        <v>30</v>
      </c>
      <c r="K18" s="110">
        <v>1</v>
      </c>
      <c r="L18" s="48">
        <f>Inputs!G75+Inputs!I75+Inputs!L75+Inputs!O75+Inputs!R75+Inputs!AA75</f>
        <v>7119</v>
      </c>
      <c r="M18" s="48">
        <v>0</v>
      </c>
      <c r="N18" s="48">
        <f t="shared" si="4"/>
        <v>9922735.4825263917</v>
      </c>
      <c r="O18" s="32">
        <f t="shared" si="5"/>
        <v>533138.71252639219</v>
      </c>
      <c r="P18" s="41">
        <f t="shared" si="6"/>
        <v>5.6779723941903865E-2</v>
      </c>
      <c r="Q18" s="12">
        <f t="shared" si="1"/>
        <v>5.6779723941903865E-2</v>
      </c>
      <c r="R18" s="134">
        <f t="shared" si="2"/>
        <v>284236886794.29907</v>
      </c>
      <c r="S18" s="134">
        <f t="shared" si="7"/>
        <v>1026033.0726486575</v>
      </c>
      <c r="T18" s="134">
        <f t="shared" si="8"/>
        <v>1052743866168.8452</v>
      </c>
      <c r="V18" t="s">
        <v>24</v>
      </c>
      <c r="W18">
        <v>-15517366.883225877</v>
      </c>
      <c r="X18">
        <v>1955639.3141741171</v>
      </c>
      <c r="Y18">
        <v>-7.9346773051445796</v>
      </c>
      <c r="Z18">
        <v>4.1320138499705718E-12</v>
      </c>
      <c r="AA18">
        <v>-19399801.794184845</v>
      </c>
      <c r="AB18">
        <v>-11634931.972266909</v>
      </c>
      <c r="AC18">
        <v>-19399801.794184845</v>
      </c>
      <c r="AD18">
        <v>-11634931.972266909</v>
      </c>
    </row>
    <row r="19" spans="1:30" x14ac:dyDescent="0.2">
      <c r="A19" s="47">
        <v>42886</v>
      </c>
      <c r="B19" s="48">
        <f>Inputs!D76</f>
        <v>15061646.42</v>
      </c>
      <c r="C19" s="48">
        <f>Inputs!E76</f>
        <v>211937.72</v>
      </c>
      <c r="D19" s="48">
        <f t="shared" si="0"/>
        <v>15273584.140000001</v>
      </c>
      <c r="E19" s="48">
        <f>Inputs!AE76</f>
        <v>1314156.01</v>
      </c>
      <c r="F19" s="48">
        <v>3987885.81</v>
      </c>
      <c r="G19" s="48">
        <f t="shared" si="3"/>
        <v>9971542.3200000003</v>
      </c>
      <c r="H19" s="56">
        <v>159.125</v>
      </c>
      <c r="I19" s="56">
        <v>18.412500000000001</v>
      </c>
      <c r="J19" s="48">
        <v>31</v>
      </c>
      <c r="K19" s="110">
        <v>1</v>
      </c>
      <c r="L19" s="48">
        <f>Inputs!G76+Inputs!I76+Inputs!L76+Inputs!O76+Inputs!R76+Inputs!AA76</f>
        <v>7125</v>
      </c>
      <c r="M19" s="48">
        <v>0</v>
      </c>
      <c r="N19" s="48">
        <f t="shared" si="4"/>
        <v>10494701.603068762</v>
      </c>
      <c r="O19" s="32">
        <f t="shared" si="5"/>
        <v>523159.28306876123</v>
      </c>
      <c r="P19" s="41">
        <f t="shared" si="6"/>
        <v>5.246523218574288E-2</v>
      </c>
      <c r="Q19" s="12">
        <f t="shared" si="1"/>
        <v>5.246523218574288E-2</v>
      </c>
      <c r="R19" s="134">
        <f t="shared" si="2"/>
        <v>273695635461.02023</v>
      </c>
      <c r="S19" s="134">
        <f t="shared" si="7"/>
        <v>-9979.4294576309621</v>
      </c>
      <c r="T19" s="134">
        <f t="shared" si="8"/>
        <v>99589012.299832597</v>
      </c>
      <c r="V19" t="s">
        <v>2</v>
      </c>
      <c r="W19">
        <v>1604.8595902076861</v>
      </c>
      <c r="X19">
        <v>338.95106242253007</v>
      </c>
      <c r="Y19">
        <v>4.7347825929133629</v>
      </c>
      <c r="Z19">
        <v>7.6501570590017121E-6</v>
      </c>
      <c r="AA19">
        <v>931.9566533941038</v>
      </c>
      <c r="AB19">
        <v>2277.7625270212684</v>
      </c>
      <c r="AC19">
        <v>931.9566533941038</v>
      </c>
      <c r="AD19">
        <v>2277.7625270212684</v>
      </c>
    </row>
    <row r="20" spans="1:30" x14ac:dyDescent="0.2">
      <c r="A20" s="47">
        <v>42916</v>
      </c>
      <c r="B20" s="48">
        <f>Inputs!D77</f>
        <v>16237904.83</v>
      </c>
      <c r="C20" s="48">
        <f>Inputs!E77</f>
        <v>236828.58</v>
      </c>
      <c r="D20" s="48">
        <f t="shared" si="0"/>
        <v>16474733.41</v>
      </c>
      <c r="E20" s="48">
        <f>Inputs!AE77</f>
        <v>1376051.22</v>
      </c>
      <c r="F20" s="48">
        <v>3867008.4699999997</v>
      </c>
      <c r="G20" s="48">
        <f t="shared" si="3"/>
        <v>11231673.719999999</v>
      </c>
      <c r="H20" s="56">
        <v>33.324999999999996</v>
      </c>
      <c r="I20" s="56">
        <v>50.612499999999997</v>
      </c>
      <c r="J20" s="48">
        <v>30</v>
      </c>
      <c r="K20" s="110">
        <v>0</v>
      </c>
      <c r="L20" s="48">
        <f>Inputs!G77+Inputs!I77+Inputs!L77+Inputs!O77+Inputs!R77+Inputs!AA77</f>
        <v>7136</v>
      </c>
      <c r="M20" s="48">
        <v>0</v>
      </c>
      <c r="N20" s="48">
        <f t="shared" si="4"/>
        <v>11355293.407809382</v>
      </c>
      <c r="O20" s="32">
        <f t="shared" si="5"/>
        <v>123619.6878093835</v>
      </c>
      <c r="P20" s="41">
        <f t="shared" si="6"/>
        <v>1.1006346061251457E-2</v>
      </c>
      <c r="Q20" s="12">
        <f t="shared" si="1"/>
        <v>1.1006346061251457E-2</v>
      </c>
      <c r="R20" s="134">
        <f t="shared" si="2"/>
        <v>15281827214.089439</v>
      </c>
      <c r="S20" s="134">
        <f t="shared" si="7"/>
        <v>-399539.59525937773</v>
      </c>
      <c r="T20" s="134">
        <f t="shared" si="8"/>
        <v>159631888180.02737</v>
      </c>
      <c r="V20" t="s">
        <v>3</v>
      </c>
      <c r="W20">
        <v>27840.620000543426</v>
      </c>
      <c r="X20">
        <v>2480.9856263013626</v>
      </c>
      <c r="Y20">
        <v>11.221596653120494</v>
      </c>
      <c r="Z20">
        <v>4.1782893897927143E-19</v>
      </c>
      <c r="AA20">
        <v>22915.240796245933</v>
      </c>
      <c r="AB20">
        <v>32765.999204840919</v>
      </c>
      <c r="AC20">
        <v>22915.240796245933</v>
      </c>
      <c r="AD20">
        <v>32765.999204840919</v>
      </c>
    </row>
    <row r="21" spans="1:30" x14ac:dyDescent="0.2">
      <c r="A21" s="47">
        <v>42947</v>
      </c>
      <c r="B21" s="48">
        <f>Inputs!D78</f>
        <v>16605648.27</v>
      </c>
      <c r="C21" s="48">
        <f>Inputs!E78</f>
        <v>225248.93</v>
      </c>
      <c r="D21" s="48">
        <f t="shared" si="0"/>
        <v>16830897.199999999</v>
      </c>
      <c r="E21" s="48">
        <f>Inputs!AE78</f>
        <v>1358368.19</v>
      </c>
      <c r="F21" s="48">
        <v>3233481.45</v>
      </c>
      <c r="G21" s="48">
        <f t="shared" si="3"/>
        <v>12239047.559999999</v>
      </c>
      <c r="H21" s="56">
        <v>2.2625000000000002</v>
      </c>
      <c r="I21" s="56">
        <v>100.26249999999999</v>
      </c>
      <c r="J21" s="48">
        <v>31</v>
      </c>
      <c r="K21" s="110">
        <v>0</v>
      </c>
      <c r="L21" s="48">
        <f>Inputs!G78+Inputs!I78+Inputs!L78+Inputs!O78+Inputs!R78+Inputs!AA78</f>
        <v>7145</v>
      </c>
      <c r="M21" s="48">
        <v>0</v>
      </c>
      <c r="N21" s="48">
        <f t="shared" si="4"/>
        <v>13067477.192857031</v>
      </c>
      <c r="O21" s="32">
        <f t="shared" si="5"/>
        <v>828429.63285703212</v>
      </c>
      <c r="P21" s="41">
        <f t="shared" si="6"/>
        <v>6.7687426557972469E-2</v>
      </c>
      <c r="Q21" s="12">
        <f t="shared" si="1"/>
        <v>6.7687426557972469E-2</v>
      </c>
      <c r="R21" s="134">
        <f t="shared" si="2"/>
        <v>686295656595.63708</v>
      </c>
      <c r="S21" s="134">
        <f t="shared" si="7"/>
        <v>704809.94504764862</v>
      </c>
      <c r="T21" s="134">
        <f t="shared" si="8"/>
        <v>496757058638.06946</v>
      </c>
      <c r="V21" t="s">
        <v>90</v>
      </c>
      <c r="W21">
        <v>361373.5127025033</v>
      </c>
      <c r="X21">
        <v>61040.350071870896</v>
      </c>
      <c r="Y21">
        <v>5.9202398458889958</v>
      </c>
      <c r="Z21">
        <v>5.0932993728936912E-8</v>
      </c>
      <c r="AA21">
        <v>240193.09646799474</v>
      </c>
      <c r="AB21">
        <v>482553.92893701186</v>
      </c>
      <c r="AC21">
        <v>240193.09646799474</v>
      </c>
      <c r="AD21">
        <v>482553.92893701186</v>
      </c>
    </row>
    <row r="22" spans="1:30" x14ac:dyDescent="0.2">
      <c r="A22" s="47">
        <v>42978</v>
      </c>
      <c r="B22" s="48">
        <f>Inputs!D79</f>
        <v>16791868.32</v>
      </c>
      <c r="C22" s="48">
        <f>Inputs!E79</f>
        <v>209082.47</v>
      </c>
      <c r="D22" s="48">
        <f t="shared" si="0"/>
        <v>17000950.789999999</v>
      </c>
      <c r="E22" s="48">
        <f>Inputs!AE79</f>
        <v>1152624.01</v>
      </c>
      <c r="F22" s="48">
        <v>3878368.4</v>
      </c>
      <c r="G22" s="48">
        <f t="shared" si="3"/>
        <v>11969958.379999999</v>
      </c>
      <c r="H22" s="56">
        <v>8.6000000000000014</v>
      </c>
      <c r="I22" s="56">
        <v>79.587499999999991</v>
      </c>
      <c r="J22" s="48">
        <v>31</v>
      </c>
      <c r="K22" s="110">
        <v>0</v>
      </c>
      <c r="L22" s="48">
        <f>Inputs!G79+Inputs!I79+Inputs!L79+Inputs!O79+Inputs!R79+Inputs!AA79</f>
        <v>7160</v>
      </c>
      <c r="M22" s="48">
        <v>0</v>
      </c>
      <c r="N22" s="48">
        <f t="shared" si="4"/>
        <v>12532667.239230393</v>
      </c>
      <c r="O22" s="32">
        <f t="shared" si="5"/>
        <v>562708.85923039354</v>
      </c>
      <c r="P22" s="41">
        <f t="shared" si="6"/>
        <v>4.7010093215578384E-2</v>
      </c>
      <c r="Q22" s="12">
        <f t="shared" si="1"/>
        <v>4.7010093215578384E-2</v>
      </c>
      <c r="R22" s="134">
        <f t="shared" si="2"/>
        <v>316641260256.37085</v>
      </c>
      <c r="S22" s="134">
        <f t="shared" si="7"/>
        <v>-265720.77362663858</v>
      </c>
      <c r="T22" s="134">
        <f t="shared" si="8"/>
        <v>70607529536.739304</v>
      </c>
      <c r="V22" t="s">
        <v>13</v>
      </c>
      <c r="W22">
        <v>-504931.04057053849</v>
      </c>
      <c r="X22">
        <v>125584.76107825078</v>
      </c>
      <c r="Y22">
        <v>-4.0206394170381889</v>
      </c>
      <c r="Z22">
        <v>1.1632767859182408E-4</v>
      </c>
      <c r="AA22">
        <v>-754248.31352613401</v>
      </c>
      <c r="AB22">
        <v>-255613.767614943</v>
      </c>
      <c r="AC22">
        <v>-754248.31352613401</v>
      </c>
      <c r="AD22">
        <v>-255613.767614943</v>
      </c>
    </row>
    <row r="23" spans="1:30" x14ac:dyDescent="0.2">
      <c r="A23" s="47">
        <v>43008</v>
      </c>
      <c r="B23" s="48">
        <f>Inputs!D80</f>
        <v>15184922.210000001</v>
      </c>
      <c r="C23" s="48">
        <f>Inputs!E80</f>
        <v>202752.04</v>
      </c>
      <c r="D23" s="48">
        <f t="shared" si="0"/>
        <v>15387674.25</v>
      </c>
      <c r="E23" s="48">
        <f>Inputs!AE80</f>
        <v>1015208.41</v>
      </c>
      <c r="F23" s="48">
        <v>3513213.06</v>
      </c>
      <c r="G23" s="48">
        <f t="shared" si="3"/>
        <v>10859252.779999999</v>
      </c>
      <c r="H23" s="56">
        <v>62.674999999999983</v>
      </c>
      <c r="I23" s="56">
        <v>31.699999999999996</v>
      </c>
      <c r="J23" s="48">
        <v>30</v>
      </c>
      <c r="K23" s="110">
        <v>1</v>
      </c>
      <c r="L23" s="48">
        <f>Inputs!G80+Inputs!I80+Inputs!L80+Inputs!O80+Inputs!R80+Inputs!AA80</f>
        <v>7167</v>
      </c>
      <c r="M23" s="48">
        <v>0</v>
      </c>
      <c r="N23" s="48">
        <f t="shared" si="4"/>
        <v>10434219.009396579</v>
      </c>
      <c r="O23" s="32">
        <f t="shared" si="5"/>
        <v>-425033.77060342021</v>
      </c>
      <c r="P23" s="41">
        <f t="shared" si="6"/>
        <v>-3.9140240973690663E-2</v>
      </c>
      <c r="Q23" s="12">
        <f t="shared" si="1"/>
        <v>3.9140240973690663E-2</v>
      </c>
      <c r="R23" s="134">
        <f t="shared" si="2"/>
        <v>180653706153.36084</v>
      </c>
      <c r="S23" s="134">
        <f t="shared" si="7"/>
        <v>-987742.62983381376</v>
      </c>
      <c r="T23" s="134">
        <f t="shared" si="8"/>
        <v>975635502791.01843</v>
      </c>
      <c r="V23" t="s">
        <v>104</v>
      </c>
      <c r="W23">
        <v>2041.6044821102837</v>
      </c>
      <c r="X23">
        <v>96.918946736914521</v>
      </c>
      <c r="Y23">
        <v>21.065070874657749</v>
      </c>
      <c r="Z23">
        <v>1.4274882249424089E-37</v>
      </c>
      <c r="AA23">
        <v>1849.1960458421283</v>
      </c>
      <c r="AB23">
        <v>2234.0129183784393</v>
      </c>
      <c r="AC23">
        <v>1849.1960458421283</v>
      </c>
      <c r="AD23">
        <v>2234.0129183784393</v>
      </c>
    </row>
    <row r="24" spans="1:30" ht="13.5" thickBot="1" x14ac:dyDescent="0.25">
      <c r="A24" s="47">
        <v>43039</v>
      </c>
      <c r="B24" s="48">
        <f>Inputs!D81</f>
        <v>14823920.949999999</v>
      </c>
      <c r="C24" s="48">
        <f>Inputs!E81</f>
        <v>127443.61</v>
      </c>
      <c r="D24" s="48">
        <f t="shared" si="0"/>
        <v>14951364.559999999</v>
      </c>
      <c r="E24" s="48">
        <f>Inputs!AE81</f>
        <v>941287.92</v>
      </c>
      <c r="F24" s="48">
        <v>3734043.4200000004</v>
      </c>
      <c r="G24" s="48">
        <f t="shared" si="3"/>
        <v>10276033.219999999</v>
      </c>
      <c r="H24" s="56">
        <v>229.3125</v>
      </c>
      <c r="I24" s="56">
        <v>5.1125000000000007</v>
      </c>
      <c r="J24" s="48">
        <v>31</v>
      </c>
      <c r="K24" s="110">
        <v>1</v>
      </c>
      <c r="L24" s="48">
        <f>Inputs!G81+Inputs!I81+Inputs!L81+Inputs!O81+Inputs!R81+Inputs!AA81</f>
        <v>7177</v>
      </c>
      <c r="M24" s="48">
        <v>0</v>
      </c>
      <c r="N24" s="48">
        <f t="shared" si="4"/>
        <v>10343225.872618971</v>
      </c>
      <c r="O24" s="32">
        <f t="shared" si="5"/>
        <v>67192.652618972585</v>
      </c>
      <c r="P24" s="41">
        <f t="shared" si="6"/>
        <v>6.5387733944064254E-3</v>
      </c>
      <c r="Q24" s="12">
        <f t="shared" si="1"/>
        <v>6.5387733944064254E-3</v>
      </c>
      <c r="R24" s="134">
        <f t="shared" si="2"/>
        <v>4514852565.9739237</v>
      </c>
      <c r="S24" s="134">
        <f t="shared" si="7"/>
        <v>492226.4232223928</v>
      </c>
      <c r="T24" s="134">
        <f t="shared" si="8"/>
        <v>242286851718.31015</v>
      </c>
      <c r="V24" s="112" t="s">
        <v>114</v>
      </c>
      <c r="W24" s="112">
        <v>-1746158.5069323629</v>
      </c>
      <c r="X24" s="112">
        <v>339539.75484008068</v>
      </c>
      <c r="Y24" s="112">
        <v>-5.1427218228239093</v>
      </c>
      <c r="Z24" s="112">
        <v>1.4504432290539119E-6</v>
      </c>
      <c r="AA24" s="112">
        <v>-2420230.1459586434</v>
      </c>
      <c r="AB24" s="112">
        <v>-1072086.8679060822</v>
      </c>
      <c r="AC24" s="112">
        <v>-2420230.1459586434</v>
      </c>
      <c r="AD24" s="112">
        <v>-1072086.8679060822</v>
      </c>
    </row>
    <row r="25" spans="1:30" x14ac:dyDescent="0.2">
      <c r="A25" s="47">
        <v>43069</v>
      </c>
      <c r="B25" s="48">
        <f>Inputs!D82</f>
        <v>15176795.18</v>
      </c>
      <c r="C25" s="48">
        <f>Inputs!E82</f>
        <v>76466.039999999994</v>
      </c>
      <c r="D25" s="48">
        <f t="shared" si="0"/>
        <v>15253261.219999999</v>
      </c>
      <c r="E25" s="48">
        <f>Inputs!AE82</f>
        <v>892084.91999999993</v>
      </c>
      <c r="F25" s="48">
        <v>3835597.14</v>
      </c>
      <c r="G25" s="48">
        <f t="shared" si="3"/>
        <v>10525579.159999998</v>
      </c>
      <c r="H25" s="56">
        <v>439.67500000000001</v>
      </c>
      <c r="I25" s="56">
        <v>0.05</v>
      </c>
      <c r="J25" s="48">
        <v>30</v>
      </c>
      <c r="K25" s="110">
        <v>0</v>
      </c>
      <c r="L25" s="48">
        <f>Inputs!G82+Inputs!I82+Inputs!L82+Inputs!O82+Inputs!R82+Inputs!AA82</f>
        <v>7191</v>
      </c>
      <c r="M25" s="48">
        <v>0</v>
      </c>
      <c r="N25" s="48">
        <f t="shared" si="4"/>
        <v>10712025.000028864</v>
      </c>
      <c r="O25" s="32">
        <f t="shared" si="5"/>
        <v>186445.84002886526</v>
      </c>
      <c r="P25" s="41">
        <f t="shared" si="6"/>
        <v>1.7713594396535352E-2</v>
      </c>
      <c r="Q25" s="12">
        <f t="shared" si="1"/>
        <v>1.7713594396535352E-2</v>
      </c>
      <c r="R25" s="134">
        <f t="shared" si="2"/>
        <v>34762051264.069214</v>
      </c>
      <c r="S25" s="134">
        <f t="shared" si="7"/>
        <v>119253.18740989268</v>
      </c>
      <c r="T25" s="134">
        <f t="shared" si="8"/>
        <v>14221322707.418985</v>
      </c>
    </row>
    <row r="26" spans="1:30" x14ac:dyDescent="0.2">
      <c r="A26" s="47">
        <v>43100</v>
      </c>
      <c r="B26" s="48">
        <f>Inputs!D83</f>
        <v>15312049.84</v>
      </c>
      <c r="C26" s="48">
        <f>Inputs!E83</f>
        <v>29462.42</v>
      </c>
      <c r="D26" s="48">
        <f t="shared" si="0"/>
        <v>15341512.26</v>
      </c>
      <c r="E26" s="48">
        <f>Inputs!AE83</f>
        <v>768931.66999999993</v>
      </c>
      <c r="F26" s="48">
        <v>3124271.8600000003</v>
      </c>
      <c r="G26" s="48">
        <f t="shared" si="3"/>
        <v>11448308.73</v>
      </c>
      <c r="H26" s="56">
        <v>573.38750000000005</v>
      </c>
      <c r="I26" s="56">
        <v>0</v>
      </c>
      <c r="J26" s="48">
        <v>31</v>
      </c>
      <c r="K26" s="110">
        <v>0</v>
      </c>
      <c r="L26" s="48">
        <f>Inputs!G83+Inputs!I83+Inputs!L83+Inputs!O83+Inputs!R83+Inputs!AA83</f>
        <v>7190</v>
      </c>
      <c r="M26" s="48">
        <v>0</v>
      </c>
      <c r="N26" s="48">
        <f t="shared" si="4"/>
        <v>11284554.665204875</v>
      </c>
      <c r="O26" s="32">
        <f t="shared" si="5"/>
        <v>-163754.06479512528</v>
      </c>
      <c r="P26" s="41">
        <f t="shared" si="6"/>
        <v>-1.4303777846767177E-2</v>
      </c>
      <c r="Q26" s="12">
        <f t="shared" si="1"/>
        <v>1.4303777846767177E-2</v>
      </c>
      <c r="R26" s="134">
        <f t="shared" si="2"/>
        <v>26815393736.926086</v>
      </c>
      <c r="S26" s="134">
        <f t="shared" si="7"/>
        <v>-350199.90482399054</v>
      </c>
      <c r="T26" s="134">
        <f t="shared" si="8"/>
        <v>122639973338.73203</v>
      </c>
    </row>
    <row r="27" spans="1:30" x14ac:dyDescent="0.2">
      <c r="A27" s="47">
        <v>43131</v>
      </c>
      <c r="B27" s="48">
        <f>Inputs!D84</f>
        <v>16892328.899999995</v>
      </c>
      <c r="C27" s="48">
        <f>Inputs!E84</f>
        <v>37099.270000000004</v>
      </c>
      <c r="D27" s="48">
        <f t="shared" si="0"/>
        <v>16929428.169999994</v>
      </c>
      <c r="E27" s="48">
        <f>Inputs!AE84</f>
        <v>920893.58000000007</v>
      </c>
      <c r="F27" s="48">
        <v>3911965.81</v>
      </c>
      <c r="G27" s="48">
        <f t="shared" si="3"/>
        <v>12096568.779999994</v>
      </c>
      <c r="H27" s="56">
        <v>679.58749999999998</v>
      </c>
      <c r="I27" s="56">
        <v>0</v>
      </c>
      <c r="J27" s="48">
        <v>31</v>
      </c>
      <c r="K27" s="110">
        <v>0</v>
      </c>
      <c r="L27" s="48">
        <f>Inputs!G84+Inputs!I84+Inputs!L84+Inputs!O84+Inputs!R84+Inputs!AA84</f>
        <v>7199</v>
      </c>
      <c r="M27" s="48">
        <v>0</v>
      </c>
      <c r="N27" s="48">
        <f>$W$18+$W$19*H27+$W$20*I27+$W$21*J27+$W$22*K27+$W$23*L27+M27*$W$24</f>
        <v>11473365.194023922</v>
      </c>
      <c r="O27" s="32">
        <f t="shared" si="5"/>
        <v>-623203.58597607166</v>
      </c>
      <c r="P27" s="41">
        <f t="shared" si="6"/>
        <v>-5.1519037944582492E-2</v>
      </c>
      <c r="Q27" s="12">
        <f t="shared" si="1"/>
        <v>5.1519037944582492E-2</v>
      </c>
      <c r="R27" s="134">
        <f t="shared" si="2"/>
        <v>388382709573.43494</v>
      </c>
      <c r="S27" s="134">
        <f t="shared" si="7"/>
        <v>-459449.52118094638</v>
      </c>
      <c r="T27" s="134">
        <f t="shared" si="8"/>
        <v>211093862513.40091</v>
      </c>
    </row>
    <row r="28" spans="1:30" x14ac:dyDescent="0.2">
      <c r="A28" s="47">
        <v>43159</v>
      </c>
      <c r="B28" s="48">
        <f>Inputs!D85</f>
        <v>14940711.98</v>
      </c>
      <c r="C28" s="48">
        <f>Inputs!E85</f>
        <v>50870.44</v>
      </c>
      <c r="D28" s="48">
        <f t="shared" si="0"/>
        <v>14991582.42</v>
      </c>
      <c r="E28" s="48">
        <f>Inputs!AE85</f>
        <v>760193.62</v>
      </c>
      <c r="F28" s="48">
        <v>3678957.04</v>
      </c>
      <c r="G28" s="48">
        <f t="shared" si="3"/>
        <v>10552431.760000002</v>
      </c>
      <c r="H28" s="56">
        <v>599.76249999999993</v>
      </c>
      <c r="I28" s="56">
        <v>0</v>
      </c>
      <c r="J28" s="48">
        <v>28</v>
      </c>
      <c r="K28" s="110">
        <v>0</v>
      </c>
      <c r="L28" s="48">
        <f>Inputs!G85+Inputs!I85+Inputs!L85+Inputs!O85+Inputs!R85+Inputs!AA85</f>
        <v>7202</v>
      </c>
      <c r="M28" s="48">
        <v>0</v>
      </c>
      <c r="N28" s="48">
        <f>$W$18+$W$19*H28+$W$20*I28+$W$21*J28+$W$22*K28+$W$23*L28+M28*$W$24</f>
        <v>10267261.552574417</v>
      </c>
      <c r="O28" s="32">
        <f t="shared" si="5"/>
        <v>-285170.20742558502</v>
      </c>
      <c r="P28" s="41">
        <f t="shared" si="6"/>
        <v>-2.7024122392958736E-2</v>
      </c>
      <c r="Q28" s="12">
        <f t="shared" si="1"/>
        <v>2.7024122392958736E-2</v>
      </c>
      <c r="R28" s="134">
        <f t="shared" si="2"/>
        <v>81322047203.151184</v>
      </c>
      <c r="S28" s="134">
        <f t="shared" si="7"/>
        <v>338033.37855048664</v>
      </c>
      <c r="T28" s="134">
        <f t="shared" si="8"/>
        <v>114266565014.25661</v>
      </c>
      <c r="V28" t="s">
        <v>136</v>
      </c>
      <c r="W28" s="143">
        <f>T87</f>
        <v>31098770295790.145</v>
      </c>
    </row>
    <row r="29" spans="1:30" x14ac:dyDescent="0.2">
      <c r="A29" s="47">
        <v>43190</v>
      </c>
      <c r="B29" s="48">
        <f>Inputs!D86</f>
        <v>15870053.460000001</v>
      </c>
      <c r="C29" s="48">
        <f>Inputs!E86</f>
        <v>157401.99</v>
      </c>
      <c r="D29" s="48">
        <f t="shared" si="0"/>
        <v>16027455.450000001</v>
      </c>
      <c r="E29" s="48">
        <f>Inputs!AE86</f>
        <v>806290.22000000009</v>
      </c>
      <c r="F29" s="48">
        <v>3925852.3400000003</v>
      </c>
      <c r="G29" s="48">
        <f t="shared" si="3"/>
        <v>11295312.890000001</v>
      </c>
      <c r="H29" s="56">
        <v>527.26250000000005</v>
      </c>
      <c r="I29" s="56">
        <v>0</v>
      </c>
      <c r="J29" s="48">
        <v>31</v>
      </c>
      <c r="K29" s="110">
        <v>1</v>
      </c>
      <c r="L29" s="48">
        <f>Inputs!G86+Inputs!I86+Inputs!L86+Inputs!O86+Inputs!R86+Inputs!AA86</f>
        <v>7212</v>
      </c>
      <c r="M29" s="48">
        <v>0</v>
      </c>
      <c r="N29" s="48">
        <f t="shared" si="4"/>
        <v>10750514.774642432</v>
      </c>
      <c r="O29" s="32">
        <f t="shared" si="5"/>
        <v>-544798.11535756849</v>
      </c>
      <c r="P29" s="41">
        <f t="shared" si="6"/>
        <v>-4.8232228771625328E-2</v>
      </c>
      <c r="Q29" s="12">
        <f t="shared" si="1"/>
        <v>4.8232228771625328E-2</v>
      </c>
      <c r="R29" s="134">
        <f t="shared" si="2"/>
        <v>296804986497.15851</v>
      </c>
      <c r="S29" s="134">
        <f t="shared" si="7"/>
        <v>-259627.90793198347</v>
      </c>
      <c r="T29" s="134">
        <f t="shared" si="8"/>
        <v>67406650577.138489</v>
      </c>
      <c r="V29" t="s">
        <v>137</v>
      </c>
      <c r="W29" s="143">
        <f>R87</f>
        <v>25004452739807.84</v>
      </c>
    </row>
    <row r="30" spans="1:30" x14ac:dyDescent="0.2">
      <c r="A30" s="47">
        <v>43220</v>
      </c>
      <c r="B30" s="48">
        <f>Inputs!D87</f>
        <v>14690754.840000002</v>
      </c>
      <c r="C30" s="48">
        <f>Inputs!E87</f>
        <v>155665.48000000001</v>
      </c>
      <c r="D30" s="48">
        <f t="shared" si="0"/>
        <v>14846420.320000002</v>
      </c>
      <c r="E30" s="48">
        <f>Inputs!AE87</f>
        <v>722326.02</v>
      </c>
      <c r="F30" s="48">
        <v>3713769.13</v>
      </c>
      <c r="G30" s="48">
        <f t="shared" si="3"/>
        <v>10410325.170000002</v>
      </c>
      <c r="H30" s="56">
        <v>349.3125</v>
      </c>
      <c r="I30" s="56">
        <v>0.32500000000000001</v>
      </c>
      <c r="J30" s="48">
        <v>30</v>
      </c>
      <c r="K30" s="110">
        <v>1</v>
      </c>
      <c r="L30" s="48">
        <f>Inputs!G87+Inputs!I87+Inputs!L87+Inputs!O87+Inputs!R87+Inputs!AA87</f>
        <v>7220</v>
      </c>
      <c r="M30" s="48">
        <v>0</v>
      </c>
      <c r="N30" s="48">
        <f t="shared" si="4"/>
        <v>10128937.535219532</v>
      </c>
      <c r="O30" s="32">
        <f t="shared" si="5"/>
        <v>-281387.63478047028</v>
      </c>
      <c r="P30" s="41">
        <f t="shared" si="6"/>
        <v>-2.7029668159776629E-2</v>
      </c>
      <c r="Q30" s="12">
        <f t="shared" si="1"/>
        <v>2.7029668159776629E-2</v>
      </c>
      <c r="R30" s="134">
        <f t="shared" si="2"/>
        <v>79179001007.347336</v>
      </c>
      <c r="S30" s="134">
        <f t="shared" si="7"/>
        <v>263410.48057709821</v>
      </c>
      <c r="T30" s="134">
        <f t="shared" si="8"/>
        <v>69385081277.857834</v>
      </c>
    </row>
    <row r="31" spans="1:30" x14ac:dyDescent="0.2">
      <c r="A31" s="47">
        <v>43251</v>
      </c>
      <c r="B31" s="48">
        <f>Inputs!D88</f>
        <v>15199975.959999999</v>
      </c>
      <c r="C31" s="48">
        <f>Inputs!E88</f>
        <v>229192.52000000002</v>
      </c>
      <c r="D31" s="48">
        <f t="shared" si="0"/>
        <v>15429168.479999999</v>
      </c>
      <c r="E31" s="48">
        <f>Inputs!AE88</f>
        <v>825640.29</v>
      </c>
      <c r="F31" s="48">
        <v>3812144.22</v>
      </c>
      <c r="G31" s="48">
        <f t="shared" si="3"/>
        <v>10791383.969999997</v>
      </c>
      <c r="H31" s="56">
        <v>159.125</v>
      </c>
      <c r="I31" s="56">
        <v>18.412500000000001</v>
      </c>
      <c r="J31" s="48">
        <v>31</v>
      </c>
      <c r="K31" s="110">
        <v>1</v>
      </c>
      <c r="L31" s="48">
        <f>Inputs!G88+Inputs!I88+Inputs!L88+Inputs!O88+Inputs!R88+Inputs!AA88</f>
        <v>7230</v>
      </c>
      <c r="M31" s="48">
        <v>0</v>
      </c>
      <c r="N31" s="48">
        <f t="shared" si="4"/>
        <v>10709070.073690342</v>
      </c>
      <c r="O31" s="32">
        <f t="shared" si="5"/>
        <v>-82313.89630965516</v>
      </c>
      <c r="P31" s="41">
        <f t="shared" si="6"/>
        <v>-7.6277423302226529E-3</v>
      </c>
      <c r="Q31" s="12">
        <f t="shared" si="1"/>
        <v>7.6277423302226529E-3</v>
      </c>
      <c r="R31" s="134">
        <f t="shared" si="2"/>
        <v>6775577525.6766615</v>
      </c>
      <c r="S31" s="134">
        <f t="shared" si="7"/>
        <v>199073.73847081512</v>
      </c>
      <c r="T31" s="134">
        <f t="shared" si="8"/>
        <v>39630353348.746498</v>
      </c>
      <c r="V31" t="s">
        <v>138</v>
      </c>
      <c r="W31" s="156">
        <f>W28/W29</f>
        <v>1.24372929171451</v>
      </c>
    </row>
    <row r="32" spans="1:30" x14ac:dyDescent="0.2">
      <c r="A32" s="47">
        <v>43281</v>
      </c>
      <c r="B32" s="48">
        <f>Inputs!D89</f>
        <v>15726339.940000001</v>
      </c>
      <c r="C32" s="48">
        <f>Inputs!E89</f>
        <v>208452.3</v>
      </c>
      <c r="D32" s="48">
        <f t="shared" si="0"/>
        <v>15934792.240000002</v>
      </c>
      <c r="E32" s="48">
        <f>Inputs!AE89</f>
        <v>784226.41</v>
      </c>
      <c r="F32" s="48">
        <v>3559018.29</v>
      </c>
      <c r="G32" s="48">
        <f t="shared" si="3"/>
        <v>11591547.540000003</v>
      </c>
      <c r="H32" s="56">
        <v>33.324999999999996</v>
      </c>
      <c r="I32" s="56">
        <v>50.612499999999997</v>
      </c>
      <c r="J32" s="48">
        <v>30</v>
      </c>
      <c r="K32" s="110">
        <v>0</v>
      </c>
      <c r="L32" s="48">
        <f>Inputs!G89+Inputs!I89+Inputs!L89+Inputs!O89+Inputs!R89+Inputs!AA89</f>
        <v>7247</v>
      </c>
      <c r="M32" s="48">
        <v>0</v>
      </c>
      <c r="N32" s="48">
        <f t="shared" si="4"/>
        <v>11581911.505323622</v>
      </c>
      <c r="O32" s="32">
        <f t="shared" si="5"/>
        <v>-9636.0346763804555</v>
      </c>
      <c r="P32" s="41">
        <f t="shared" si="6"/>
        <v>-8.3129837867881905E-4</v>
      </c>
      <c r="Q32" s="12">
        <f t="shared" si="1"/>
        <v>8.3129837867881905E-4</v>
      </c>
      <c r="R32" s="134">
        <f t="shared" si="2"/>
        <v>92853164.284406587</v>
      </c>
      <c r="S32" s="134">
        <f t="shared" si="7"/>
        <v>72677.861633274704</v>
      </c>
      <c r="T32" s="134">
        <f t="shared" si="8"/>
        <v>5282071571.5854235</v>
      </c>
    </row>
    <row r="33" spans="1:20" x14ac:dyDescent="0.2">
      <c r="A33" s="47">
        <v>43312</v>
      </c>
      <c r="B33" s="48">
        <f>Inputs!D90</f>
        <v>17253025.84</v>
      </c>
      <c r="C33" s="48">
        <f>Inputs!E90</f>
        <v>237873.48</v>
      </c>
      <c r="D33" s="48">
        <f t="shared" si="0"/>
        <v>17490899.32</v>
      </c>
      <c r="E33" s="48">
        <f>Inputs!AE90</f>
        <v>792777.92999999993</v>
      </c>
      <c r="F33" s="48">
        <v>3396535.0500000003</v>
      </c>
      <c r="G33" s="48">
        <f t="shared" si="3"/>
        <v>13301586.34</v>
      </c>
      <c r="H33" s="56">
        <v>2.2625000000000002</v>
      </c>
      <c r="I33" s="56">
        <v>100.26249999999999</v>
      </c>
      <c r="J33" s="48">
        <v>31</v>
      </c>
      <c r="K33" s="110">
        <v>0</v>
      </c>
      <c r="L33" s="48">
        <f>Inputs!G90+Inputs!I90+Inputs!L90+Inputs!O90+Inputs!R90+Inputs!AA90</f>
        <v>7270</v>
      </c>
      <c r="M33" s="48">
        <v>0</v>
      </c>
      <c r="N33" s="48">
        <f t="shared" si="4"/>
        <v>13322677.753120815</v>
      </c>
      <c r="O33" s="32">
        <f t="shared" si="5"/>
        <v>21091.41312081553</v>
      </c>
      <c r="P33" s="41">
        <f t="shared" si="6"/>
        <v>1.5856314112994384E-3</v>
      </c>
      <c r="Q33" s="12">
        <f t="shared" si="1"/>
        <v>1.5856314112994384E-3</v>
      </c>
      <c r="R33" s="134">
        <f t="shared" si="2"/>
        <v>444847707.43290949</v>
      </c>
      <c r="S33" s="134">
        <f t="shared" si="7"/>
        <v>30727.447797195986</v>
      </c>
      <c r="T33" s="134">
        <f t="shared" si="8"/>
        <v>944176048.12940443</v>
      </c>
    </row>
    <row r="34" spans="1:20" x14ac:dyDescent="0.2">
      <c r="A34" s="47">
        <v>43343</v>
      </c>
      <c r="B34" s="48">
        <f>Inputs!D91</f>
        <v>17560844.650000006</v>
      </c>
      <c r="C34" s="48">
        <f>Inputs!E91</f>
        <v>198710.13</v>
      </c>
      <c r="D34" s="48">
        <f t="shared" si="0"/>
        <v>17759554.780000005</v>
      </c>
      <c r="E34" s="48">
        <f>Inputs!AE91</f>
        <v>827923.55</v>
      </c>
      <c r="F34" s="48">
        <v>3522903.7199999997</v>
      </c>
      <c r="G34" s="48">
        <f t="shared" si="3"/>
        <v>13408727.510000005</v>
      </c>
      <c r="H34" s="56">
        <v>8.6000000000000014</v>
      </c>
      <c r="I34" s="56">
        <v>79.587499999999991</v>
      </c>
      <c r="J34" s="48">
        <v>31</v>
      </c>
      <c r="K34" s="110">
        <v>0</v>
      </c>
      <c r="L34" s="48">
        <f>Inputs!G91+Inputs!I91+Inputs!L91+Inputs!O91+Inputs!R91+Inputs!AA91</f>
        <v>7289</v>
      </c>
      <c r="M34" s="48">
        <v>0</v>
      </c>
      <c r="N34" s="48">
        <f t="shared" si="4"/>
        <v>12796034.217422618</v>
      </c>
      <c r="O34" s="32">
        <f t="shared" si="5"/>
        <v>-612693.29257738777</v>
      </c>
      <c r="P34" s="41">
        <f t="shared" si="6"/>
        <v>-4.5693619481822663E-2</v>
      </c>
      <c r="Q34" s="12">
        <f t="shared" si="1"/>
        <v>4.5693619481822663E-2</v>
      </c>
      <c r="R34" s="134">
        <f t="shared" si="2"/>
        <v>375393070769.3205</v>
      </c>
      <c r="S34" s="134">
        <f t="shared" si="7"/>
        <v>-633784.7056982033</v>
      </c>
      <c r="T34" s="134">
        <f t="shared" si="8"/>
        <v>401683053176.95819</v>
      </c>
    </row>
    <row r="35" spans="1:20" x14ac:dyDescent="0.2">
      <c r="A35" s="47">
        <v>43373</v>
      </c>
      <c r="B35" s="48">
        <f>Inputs!D92</f>
        <v>15504314.149999997</v>
      </c>
      <c r="C35" s="48">
        <f>Inputs!E92</f>
        <v>151817.58000000002</v>
      </c>
      <c r="D35" s="48">
        <f t="shared" si="0"/>
        <v>15656131.729999997</v>
      </c>
      <c r="E35" s="48">
        <f>Inputs!AE92</f>
        <v>797357.40999999992</v>
      </c>
      <c r="F35" s="48">
        <v>3371795.6599999997</v>
      </c>
      <c r="G35" s="48">
        <f t="shared" si="3"/>
        <v>11486978.659999996</v>
      </c>
      <c r="H35" s="56">
        <v>62.674999999999983</v>
      </c>
      <c r="I35" s="56">
        <v>31.699999999999996</v>
      </c>
      <c r="J35" s="48">
        <v>30</v>
      </c>
      <c r="K35" s="110">
        <v>1</v>
      </c>
      <c r="L35" s="48">
        <f>Inputs!G92+Inputs!I92+Inputs!L92+Inputs!O92+Inputs!R92+Inputs!AA92</f>
        <v>7297</v>
      </c>
      <c r="M35" s="48">
        <v>0</v>
      </c>
      <c r="N35" s="48">
        <f t="shared" si="4"/>
        <v>10699627.592070917</v>
      </c>
      <c r="O35" s="32">
        <f t="shared" si="5"/>
        <v>-787351.06792907976</v>
      </c>
      <c r="P35" s="41">
        <f t="shared" si="6"/>
        <v>-6.8542920748237895E-2</v>
      </c>
      <c r="Q35" s="12">
        <f t="shared" si="1"/>
        <v>6.8542920748237895E-2</v>
      </c>
      <c r="R35" s="134">
        <f t="shared" si="2"/>
        <v>619921704169.06238</v>
      </c>
      <c r="S35" s="134">
        <f t="shared" si="7"/>
        <v>-174657.77535169199</v>
      </c>
      <c r="T35" s="134">
        <f t="shared" si="8"/>
        <v>30505338490.802105</v>
      </c>
    </row>
    <row r="36" spans="1:20" x14ac:dyDescent="0.2">
      <c r="A36" s="47">
        <v>43404</v>
      </c>
      <c r="B36" s="48">
        <f>Inputs!D93</f>
        <v>15079922.620000003</v>
      </c>
      <c r="C36" s="48">
        <f>Inputs!E93</f>
        <v>103570.98</v>
      </c>
      <c r="D36" s="48">
        <f t="shared" si="0"/>
        <v>15183493.600000003</v>
      </c>
      <c r="E36" s="48">
        <f>Inputs!AE93</f>
        <v>847707.74</v>
      </c>
      <c r="F36" s="48">
        <v>3547208.5700000003</v>
      </c>
      <c r="G36" s="48">
        <f t="shared" si="3"/>
        <v>10788577.290000003</v>
      </c>
      <c r="H36" s="56">
        <v>229.3125</v>
      </c>
      <c r="I36" s="56">
        <v>5.1125000000000007</v>
      </c>
      <c r="J36" s="48">
        <v>31</v>
      </c>
      <c r="K36" s="110">
        <v>1</v>
      </c>
      <c r="L36" s="48">
        <f>Inputs!G93+Inputs!I93+Inputs!L93+Inputs!O93+Inputs!R93+Inputs!AA93</f>
        <v>7309</v>
      </c>
      <c r="M36" s="48">
        <v>0</v>
      </c>
      <c r="N36" s="48">
        <f t="shared" si="4"/>
        <v>10612717.664257528</v>
      </c>
      <c r="O36" s="32">
        <f t="shared" si="5"/>
        <v>-175859.62574247457</v>
      </c>
      <c r="P36" s="41">
        <f t="shared" si="6"/>
        <v>-1.6300539080855443E-2</v>
      </c>
      <c r="Q36" s="12">
        <f t="shared" si="1"/>
        <v>1.6300539080855443E-2</v>
      </c>
      <c r="R36" s="134">
        <f t="shared" si="2"/>
        <v>30926607966.283226</v>
      </c>
      <c r="S36" s="134">
        <f t="shared" si="7"/>
        <v>611491.44218660519</v>
      </c>
      <c r="T36" s="134">
        <f t="shared" si="8"/>
        <v>373921783867.45428</v>
      </c>
    </row>
    <row r="37" spans="1:20" x14ac:dyDescent="0.2">
      <c r="A37" s="47">
        <v>43434</v>
      </c>
      <c r="B37" s="48">
        <f>Inputs!D94</f>
        <v>15240429.750000002</v>
      </c>
      <c r="C37" s="48">
        <f>Inputs!E94</f>
        <v>36530.949999999997</v>
      </c>
      <c r="D37" s="48">
        <f t="shared" si="0"/>
        <v>15276960.700000001</v>
      </c>
      <c r="E37" s="48">
        <f>Inputs!AE94</f>
        <v>844669.66999999993</v>
      </c>
      <c r="F37" s="48">
        <v>3441518.25</v>
      </c>
      <c r="G37" s="48">
        <f t="shared" si="3"/>
        <v>10990772.780000001</v>
      </c>
      <c r="H37" s="56">
        <v>439.67500000000001</v>
      </c>
      <c r="I37" s="56">
        <v>0.05</v>
      </c>
      <c r="J37" s="48">
        <v>30</v>
      </c>
      <c r="K37" s="110">
        <v>0</v>
      </c>
      <c r="L37" s="48">
        <f>Inputs!G94+Inputs!I94+Inputs!L94+Inputs!O94+Inputs!R94+Inputs!AA94</f>
        <v>7309</v>
      </c>
      <c r="M37" s="48">
        <v>0</v>
      </c>
      <c r="N37" s="48">
        <f t="shared" si="4"/>
        <v>10952934.328917878</v>
      </c>
      <c r="O37" s="32">
        <f t="shared" si="5"/>
        <v>-37838.451082123443</v>
      </c>
      <c r="P37" s="41">
        <f t="shared" si="6"/>
        <v>-3.4427470969992558E-3</v>
      </c>
      <c r="Q37" s="12">
        <f t="shared" si="1"/>
        <v>3.4427470969992558E-3</v>
      </c>
      <c r="R37" s="134">
        <f t="shared" si="2"/>
        <v>1431748380.2942488</v>
      </c>
      <c r="S37" s="134">
        <f t="shared" si="7"/>
        <v>138021.17466035113</v>
      </c>
      <c r="T37" s="134">
        <f t="shared" si="8"/>
        <v>19049844654.623154</v>
      </c>
    </row>
    <row r="38" spans="1:20" x14ac:dyDescent="0.2">
      <c r="A38" s="47">
        <v>43465</v>
      </c>
      <c r="B38" s="48">
        <f>Inputs!D95</f>
        <v>14436070.189999999</v>
      </c>
      <c r="C38" s="48">
        <f>Inputs!E95</f>
        <v>31997.420000000002</v>
      </c>
      <c r="D38" s="48">
        <f t="shared" si="0"/>
        <v>14468067.609999999</v>
      </c>
      <c r="E38" s="48">
        <f>Inputs!AE95</f>
        <v>620430.38</v>
      </c>
      <c r="F38" s="48">
        <v>2779734.3800000004</v>
      </c>
      <c r="G38" s="48">
        <f t="shared" si="3"/>
        <v>11067902.849999998</v>
      </c>
      <c r="H38" s="56">
        <v>573.38750000000005</v>
      </c>
      <c r="I38" s="56">
        <v>0</v>
      </c>
      <c r="J38" s="48">
        <v>31</v>
      </c>
      <c r="K38" s="110">
        <v>0</v>
      </c>
      <c r="L38" s="48">
        <f>Inputs!G95+Inputs!I95+Inputs!L95+Inputs!O95+Inputs!R95+Inputs!AA95</f>
        <v>7329</v>
      </c>
      <c r="M38" s="48">
        <v>0</v>
      </c>
      <c r="N38" s="48">
        <f t="shared" si="4"/>
        <v>11568337.688218204</v>
      </c>
      <c r="O38" s="32">
        <f t="shared" si="5"/>
        <v>500434.83821820654</v>
      </c>
      <c r="P38" s="41">
        <f t="shared" si="6"/>
        <v>4.5214964840263903E-2</v>
      </c>
      <c r="Q38" s="12">
        <f t="shared" si="1"/>
        <v>4.5214964840263903E-2</v>
      </c>
      <c r="R38" s="134">
        <f t="shared" si="2"/>
        <v>250435027302.48254</v>
      </c>
      <c r="S38" s="134">
        <f t="shared" si="7"/>
        <v>538273.28930032998</v>
      </c>
      <c r="T38" s="134">
        <f t="shared" si="8"/>
        <v>289738133974.19672</v>
      </c>
    </row>
    <row r="39" spans="1:20" x14ac:dyDescent="0.2">
      <c r="A39" s="47">
        <v>43496</v>
      </c>
      <c r="B39" s="48">
        <f>Inputs!D96</f>
        <v>16295154.600000001</v>
      </c>
      <c r="C39" s="48">
        <f>Inputs!E96</f>
        <v>46539.969999999994</v>
      </c>
      <c r="D39" s="48">
        <f t="shared" si="0"/>
        <v>16341694.570000002</v>
      </c>
      <c r="E39" s="48">
        <f>Inputs!AE96</f>
        <v>407405.83</v>
      </c>
      <c r="F39" s="48">
        <v>3683035.57</v>
      </c>
      <c r="G39" s="48">
        <f t="shared" si="3"/>
        <v>12251253.170000002</v>
      </c>
      <c r="H39" s="56">
        <v>679.58749999999998</v>
      </c>
      <c r="I39" s="56">
        <v>0</v>
      </c>
      <c r="J39" s="48">
        <v>31</v>
      </c>
      <c r="K39" s="110">
        <v>0</v>
      </c>
      <c r="L39" s="48">
        <f>Inputs!G96+Inputs!I96+Inputs!L96+Inputs!O96+Inputs!R96+Inputs!AA96</f>
        <v>7335</v>
      </c>
      <c r="M39" s="48">
        <v>0</v>
      </c>
      <c r="N39" s="48">
        <f t="shared" si="4"/>
        <v>11751023.403590921</v>
      </c>
      <c r="O39" s="32">
        <f t="shared" si="5"/>
        <v>-500229.76640908048</v>
      </c>
      <c r="P39" s="41">
        <f t="shared" si="6"/>
        <v>-4.083090598715302E-2</v>
      </c>
      <c r="Q39" s="12">
        <f t="shared" si="1"/>
        <v>4.083090598715302E-2</v>
      </c>
      <c r="R39" s="134">
        <f t="shared" si="2"/>
        <v>250229819201.68323</v>
      </c>
      <c r="S39" s="134">
        <f t="shared" si="7"/>
        <v>-1000664.604627287</v>
      </c>
      <c r="T39" s="134">
        <f t="shared" si="8"/>
        <v>1001329650953.8846</v>
      </c>
    </row>
    <row r="40" spans="1:20" x14ac:dyDescent="0.2">
      <c r="A40" s="47">
        <v>43524</v>
      </c>
      <c r="B40" s="48">
        <f>Inputs!D97</f>
        <v>14247811.720000001</v>
      </c>
      <c r="C40" s="48">
        <f>Inputs!E97</f>
        <v>62626.71</v>
      </c>
      <c r="D40" s="48">
        <f t="shared" si="0"/>
        <v>14310438.430000002</v>
      </c>
      <c r="E40" s="48">
        <f>Inputs!AE97</f>
        <v>332490.93</v>
      </c>
      <c r="F40" s="48">
        <v>3240575.56</v>
      </c>
      <c r="G40" s="48">
        <f t="shared" si="3"/>
        <v>10737371.940000001</v>
      </c>
      <c r="H40" s="56">
        <v>599.76249999999993</v>
      </c>
      <c r="I40" s="56">
        <v>0</v>
      </c>
      <c r="J40" s="48">
        <v>28</v>
      </c>
      <c r="K40" s="110">
        <v>0</v>
      </c>
      <c r="L40" s="48">
        <f>Inputs!G97+Inputs!I97+Inputs!L97+Inputs!O97+Inputs!R97+Inputs!AA97</f>
        <v>7343</v>
      </c>
      <c r="M40" s="48">
        <v>0</v>
      </c>
      <c r="N40" s="48">
        <f t="shared" si="4"/>
        <v>10555127.784551965</v>
      </c>
      <c r="O40" s="32">
        <f t="shared" si="5"/>
        <v>-182244.15544803627</v>
      </c>
      <c r="P40" s="41">
        <f t="shared" si="6"/>
        <v>-1.6972882793518676E-2</v>
      </c>
      <c r="Q40" s="12">
        <f t="shared" si="1"/>
        <v>1.6972882793518676E-2</v>
      </c>
      <c r="R40" s="134">
        <f t="shared" si="2"/>
        <v>33212932194.968006</v>
      </c>
      <c r="S40" s="134">
        <f t="shared" si="7"/>
        <v>317985.61096104421</v>
      </c>
      <c r="T40" s="134">
        <f t="shared" si="8"/>
        <v>101114848778.26855</v>
      </c>
    </row>
    <row r="41" spans="1:20" x14ac:dyDescent="0.2">
      <c r="A41" s="47">
        <v>43555</v>
      </c>
      <c r="B41" s="48">
        <f>Inputs!D98</f>
        <v>14861723.25</v>
      </c>
      <c r="C41" s="48">
        <f>Inputs!E98</f>
        <v>152139.06</v>
      </c>
      <c r="D41" s="48">
        <f t="shared" si="0"/>
        <v>15013862.310000001</v>
      </c>
      <c r="E41" s="48">
        <f>Inputs!AE98</f>
        <v>257080.83</v>
      </c>
      <c r="F41" s="48">
        <v>3459058.4499999997</v>
      </c>
      <c r="G41" s="48">
        <f t="shared" si="3"/>
        <v>11297723.030000001</v>
      </c>
      <c r="H41" s="56">
        <v>527.26250000000005</v>
      </c>
      <c r="I41" s="56">
        <v>0</v>
      </c>
      <c r="J41" s="48">
        <v>31</v>
      </c>
      <c r="K41" s="110">
        <v>1</v>
      </c>
      <c r="L41" s="48">
        <f>Inputs!G98+Inputs!I98+Inputs!L98+Inputs!O98+Inputs!R98+Inputs!AA98</f>
        <v>7347</v>
      </c>
      <c r="M41" s="48">
        <v>0</v>
      </c>
      <c r="N41" s="48">
        <f t="shared" si="4"/>
        <v>11026131.379727321</v>
      </c>
      <c r="O41" s="32">
        <f t="shared" si="5"/>
        <v>-271591.65027268045</v>
      </c>
      <c r="P41" s="41">
        <f t="shared" si="6"/>
        <v>-2.4039503318632905E-2</v>
      </c>
      <c r="Q41" s="12">
        <f t="shared" si="1"/>
        <v>2.4039503318632905E-2</v>
      </c>
      <c r="R41" s="134">
        <f t="shared" si="2"/>
        <v>73762024497.837967</v>
      </c>
      <c r="S41" s="134">
        <f t="shared" si="7"/>
        <v>-89347.494824644178</v>
      </c>
      <c r="T41" s="134">
        <f t="shared" si="8"/>
        <v>7982974831.4398184</v>
      </c>
    </row>
    <row r="42" spans="1:20" x14ac:dyDescent="0.2">
      <c r="A42" s="47">
        <v>43585</v>
      </c>
      <c r="B42" s="48">
        <f>Inputs!D99</f>
        <v>13124081.850000001</v>
      </c>
      <c r="C42" s="48">
        <f>Inputs!E99</f>
        <v>151196.49</v>
      </c>
      <c r="D42" s="48">
        <f t="shared" si="0"/>
        <v>13275278.340000002</v>
      </c>
      <c r="E42" s="48">
        <f>Inputs!AE99</f>
        <v>203874.13</v>
      </c>
      <c r="F42" s="48">
        <v>3178346.6399999997</v>
      </c>
      <c r="G42" s="48">
        <f t="shared" si="3"/>
        <v>9893057.5700000003</v>
      </c>
      <c r="H42" s="56">
        <v>349.3125</v>
      </c>
      <c r="I42" s="56">
        <v>0.32500000000000001</v>
      </c>
      <c r="J42" s="48">
        <v>30</v>
      </c>
      <c r="K42" s="110">
        <v>1</v>
      </c>
      <c r="L42" s="48">
        <f>Inputs!G99+Inputs!I99+Inputs!L99+Inputs!O99+Inputs!R99+Inputs!AA99</f>
        <v>7358</v>
      </c>
      <c r="M42" s="48">
        <v>0</v>
      </c>
      <c r="N42" s="48">
        <f t="shared" si="4"/>
        <v>10410678.95375075</v>
      </c>
      <c r="O42" s="32">
        <f t="shared" si="5"/>
        <v>517621.38375074975</v>
      </c>
      <c r="P42" s="41">
        <f t="shared" si="6"/>
        <v>5.2321679125814459E-2</v>
      </c>
      <c r="Q42" s="12">
        <f t="shared" si="1"/>
        <v>5.2321679125814459E-2</v>
      </c>
      <c r="R42" s="134">
        <f t="shared" si="2"/>
        <v>267931896916.04092</v>
      </c>
      <c r="S42" s="134">
        <f t="shared" si="7"/>
        <v>789213.0340234302</v>
      </c>
      <c r="T42" s="134">
        <f t="shared" si="8"/>
        <v>622857213072.46802</v>
      </c>
    </row>
    <row r="43" spans="1:20" x14ac:dyDescent="0.2">
      <c r="A43" s="47">
        <v>43616</v>
      </c>
      <c r="B43" s="48">
        <f>Inputs!D100</f>
        <v>13301422.26</v>
      </c>
      <c r="C43" s="48">
        <f>Inputs!E100</f>
        <v>191845.86</v>
      </c>
      <c r="D43" s="48">
        <f t="shared" si="0"/>
        <v>13493268.119999999</v>
      </c>
      <c r="E43" s="48">
        <f>Inputs!AE100</f>
        <v>178685.52999999997</v>
      </c>
      <c r="F43" s="48">
        <v>3335680.38</v>
      </c>
      <c r="G43" s="48">
        <f t="shared" si="3"/>
        <v>9978902.2100000009</v>
      </c>
      <c r="H43" s="56">
        <v>159.125</v>
      </c>
      <c r="I43" s="56">
        <v>18.412500000000001</v>
      </c>
      <c r="J43" s="48">
        <v>31</v>
      </c>
      <c r="K43" s="110">
        <v>1</v>
      </c>
      <c r="L43" s="48">
        <f>Inputs!G100+Inputs!I100+Inputs!L100+Inputs!O100+Inputs!R100+Inputs!AA100</f>
        <v>7367</v>
      </c>
      <c r="M43" s="48">
        <v>0</v>
      </c>
      <c r="N43" s="48">
        <f t="shared" si="4"/>
        <v>10988769.887739452</v>
      </c>
      <c r="O43" s="32">
        <f t="shared" si="5"/>
        <v>1009867.6777394507</v>
      </c>
      <c r="P43" s="41">
        <f t="shared" si="6"/>
        <v>0.10120027799525361</v>
      </c>
      <c r="Q43" s="12">
        <f t="shared" si="1"/>
        <v>0.10120027799525361</v>
      </c>
      <c r="R43" s="134">
        <f t="shared" si="2"/>
        <v>1019832726542.8711</v>
      </c>
      <c r="S43" s="134">
        <f t="shared" si="7"/>
        <v>492246.29398870096</v>
      </c>
      <c r="T43" s="134">
        <f t="shared" si="8"/>
        <v>242306413945.61063</v>
      </c>
    </row>
    <row r="44" spans="1:20" x14ac:dyDescent="0.2">
      <c r="A44" s="47">
        <v>43646</v>
      </c>
      <c r="B44" s="48">
        <f>Inputs!D101</f>
        <v>14098153.719999997</v>
      </c>
      <c r="C44" s="48">
        <f>Inputs!E101</f>
        <v>205535.26000000004</v>
      </c>
      <c r="D44" s="48">
        <f t="shared" si="0"/>
        <v>14303688.979999997</v>
      </c>
      <c r="E44" s="48">
        <f>Inputs!AE101</f>
        <v>166608.38999999998</v>
      </c>
      <c r="F44" s="48">
        <v>3264723.41</v>
      </c>
      <c r="G44" s="48">
        <f t="shared" si="3"/>
        <v>10872357.179999996</v>
      </c>
      <c r="H44" s="56">
        <v>33.324999999999996</v>
      </c>
      <c r="I44" s="56">
        <v>50.612499999999997</v>
      </c>
      <c r="J44" s="48">
        <v>30</v>
      </c>
      <c r="K44" s="110">
        <v>0</v>
      </c>
      <c r="L44" s="48">
        <f>Inputs!G101+Inputs!I101+Inputs!L101+Inputs!O101+Inputs!R101+Inputs!AA101</f>
        <v>7382</v>
      </c>
      <c r="M44" s="48">
        <v>0</v>
      </c>
      <c r="N44" s="48">
        <f t="shared" si="4"/>
        <v>11857528.110408511</v>
      </c>
      <c r="O44" s="32">
        <f t="shared" si="5"/>
        <v>985170.93040851504</v>
      </c>
      <c r="P44" s="41">
        <f t="shared" si="6"/>
        <v>9.0612450832719557E-2</v>
      </c>
      <c r="Q44" s="12">
        <f t="shared" si="1"/>
        <v>9.0612450832719557E-2</v>
      </c>
      <c r="R44" s="134">
        <f t="shared" si="2"/>
        <v>970561762121.97913</v>
      </c>
      <c r="S44" s="134">
        <f t="shared" si="7"/>
        <v>-24696.747330935672</v>
      </c>
      <c r="T44" s="134">
        <f t="shared" si="8"/>
        <v>609929328.72807825</v>
      </c>
    </row>
    <row r="45" spans="1:20" x14ac:dyDescent="0.2">
      <c r="A45" s="47">
        <v>43677</v>
      </c>
      <c r="B45" s="48">
        <f>Inputs!D102</f>
        <v>17237421.399999999</v>
      </c>
      <c r="C45" s="48">
        <f>Inputs!E102</f>
        <v>234680.17</v>
      </c>
      <c r="D45" s="48">
        <f t="shared" si="0"/>
        <v>17472101.57</v>
      </c>
      <c r="E45" s="48">
        <f>Inputs!AE102</f>
        <v>181458.09</v>
      </c>
      <c r="F45" s="48">
        <v>3433936.9</v>
      </c>
      <c r="G45" s="48">
        <f t="shared" si="3"/>
        <v>13856706.58</v>
      </c>
      <c r="H45" s="56">
        <v>2.2625000000000002</v>
      </c>
      <c r="I45" s="56">
        <v>100.26249999999999</v>
      </c>
      <c r="J45" s="48">
        <v>31</v>
      </c>
      <c r="K45" s="110">
        <v>0</v>
      </c>
      <c r="L45" s="48">
        <f>Inputs!G102+Inputs!I102+Inputs!L102+Inputs!O102+Inputs!R102+Inputs!AA102</f>
        <v>7383</v>
      </c>
      <c r="M45" s="48">
        <v>0</v>
      </c>
      <c r="N45" s="48">
        <f t="shared" si="4"/>
        <v>13553379.059599278</v>
      </c>
      <c r="O45" s="32">
        <f t="shared" si="5"/>
        <v>-303327.52040072158</v>
      </c>
      <c r="P45" s="41">
        <f t="shared" si="6"/>
        <v>-2.189030406680673E-2</v>
      </c>
      <c r="Q45" s="12">
        <f t="shared" si="1"/>
        <v>2.189030406680673E-2</v>
      </c>
      <c r="R45" s="134">
        <f t="shared" si="2"/>
        <v>92007584632.450165</v>
      </c>
      <c r="S45" s="134">
        <f t="shared" si="7"/>
        <v>-1288498.4508092366</v>
      </c>
      <c r="T45" s="134">
        <f t="shared" si="8"/>
        <v>1660228257737.8027</v>
      </c>
    </row>
    <row r="46" spans="1:20" x14ac:dyDescent="0.2">
      <c r="A46" s="47">
        <v>43708</v>
      </c>
      <c r="B46" s="48">
        <f>Inputs!D103</f>
        <v>16150313.539999997</v>
      </c>
      <c r="C46" s="48">
        <f>Inputs!E103</f>
        <v>220608.79000000004</v>
      </c>
      <c r="D46" s="48">
        <f t="shared" si="0"/>
        <v>16370922.329999998</v>
      </c>
      <c r="E46" s="48">
        <f>Inputs!AE103</f>
        <v>182486.43</v>
      </c>
      <c r="F46" s="48">
        <v>3410964.21</v>
      </c>
      <c r="G46" s="48">
        <f t="shared" si="3"/>
        <v>12777471.689999998</v>
      </c>
      <c r="H46" s="56">
        <v>8.6000000000000014</v>
      </c>
      <c r="I46" s="56">
        <v>79.587499999999991</v>
      </c>
      <c r="J46" s="48">
        <v>31</v>
      </c>
      <c r="K46" s="110">
        <v>0</v>
      </c>
      <c r="L46" s="48">
        <f>Inputs!G103+Inputs!I103+Inputs!L103+Inputs!O103+Inputs!R103+Inputs!AA103</f>
        <v>7409</v>
      </c>
      <c r="M46" s="48">
        <v>0</v>
      </c>
      <c r="N46" s="48">
        <f t="shared" si="4"/>
        <v>13041026.755275853</v>
      </c>
      <c r="O46" s="32">
        <f t="shared" si="5"/>
        <v>263555.06527585536</v>
      </c>
      <c r="P46" s="41">
        <f t="shared" si="6"/>
        <v>2.0626542689358558E-2</v>
      </c>
      <c r="Q46" s="12">
        <f t="shared" si="1"/>
        <v>2.0626542689358558E-2</v>
      </c>
      <c r="R46" s="134">
        <f t="shared" si="2"/>
        <v>69461272432.560379</v>
      </c>
      <c r="S46" s="134">
        <f t="shared" si="7"/>
        <v>566882.58567657694</v>
      </c>
      <c r="T46" s="134">
        <f t="shared" si="8"/>
        <v>321355865943.36157</v>
      </c>
    </row>
    <row r="47" spans="1:20" x14ac:dyDescent="0.2">
      <c r="A47" s="47">
        <v>43738</v>
      </c>
      <c r="B47" s="48">
        <f>Inputs!D104</f>
        <v>14159844.92</v>
      </c>
      <c r="C47" s="48">
        <f>Inputs!E104</f>
        <v>176014.12</v>
      </c>
      <c r="D47" s="48">
        <f t="shared" si="0"/>
        <v>14335859.039999999</v>
      </c>
      <c r="E47" s="48">
        <f>Inputs!AE104</f>
        <v>174129.58999999997</v>
      </c>
      <c r="F47" s="48">
        <v>3388939.5999999996</v>
      </c>
      <c r="G47" s="48">
        <f t="shared" si="3"/>
        <v>10772789.85</v>
      </c>
      <c r="H47" s="56">
        <v>62.674999999999983</v>
      </c>
      <c r="I47" s="56">
        <v>31.699999999999996</v>
      </c>
      <c r="J47" s="48">
        <v>30</v>
      </c>
      <c r="K47" s="110">
        <v>1</v>
      </c>
      <c r="L47" s="48">
        <f>Inputs!G104+Inputs!I104+Inputs!L104+Inputs!O104+Inputs!R104+Inputs!AA104</f>
        <v>7446</v>
      </c>
      <c r="M47" s="48">
        <v>0</v>
      </c>
      <c r="N47" s="48">
        <f t="shared" si="4"/>
        <v>11003826.65990535</v>
      </c>
      <c r="O47" s="32">
        <f t="shared" si="5"/>
        <v>231036.80990535021</v>
      </c>
      <c r="P47" s="41">
        <f t="shared" si="6"/>
        <v>2.1446330349176004E-2</v>
      </c>
      <c r="Q47" s="12">
        <f t="shared" si="1"/>
        <v>2.1446330349176004E-2</v>
      </c>
      <c r="R47" s="134">
        <f t="shared" si="2"/>
        <v>53378007531.240929</v>
      </c>
      <c r="S47" s="134">
        <f t="shared" si="7"/>
        <v>-32518.255370505154</v>
      </c>
      <c r="T47" s="134">
        <f t="shared" si="8"/>
        <v>1057436932.3413873</v>
      </c>
    </row>
    <row r="48" spans="1:20" x14ac:dyDescent="0.2">
      <c r="A48" s="47">
        <v>43769</v>
      </c>
      <c r="B48" s="48">
        <f>Inputs!D105</f>
        <v>13763436.57</v>
      </c>
      <c r="C48" s="48">
        <f>Inputs!E105</f>
        <v>131016.67999999998</v>
      </c>
      <c r="D48" s="48">
        <f t="shared" si="0"/>
        <v>13894453.25</v>
      </c>
      <c r="E48" s="48">
        <f>Inputs!AE105</f>
        <v>182414.28999999998</v>
      </c>
      <c r="F48" s="48">
        <v>3391531.8600000003</v>
      </c>
      <c r="G48" s="48">
        <f t="shared" si="3"/>
        <v>10320507.100000001</v>
      </c>
      <c r="H48" s="56">
        <v>229.3125</v>
      </c>
      <c r="I48" s="56">
        <v>5.1125000000000007</v>
      </c>
      <c r="J48" s="48">
        <v>31</v>
      </c>
      <c r="K48" s="110">
        <v>1</v>
      </c>
      <c r="L48" s="48">
        <f>Inputs!G105+Inputs!I105+Inputs!L105+Inputs!O105+Inputs!R105+Inputs!AA105</f>
        <v>7456</v>
      </c>
      <c r="M48" s="48">
        <v>0</v>
      </c>
      <c r="N48" s="48">
        <f t="shared" si="4"/>
        <v>10912833.52312774</v>
      </c>
      <c r="O48" s="32">
        <f t="shared" si="5"/>
        <v>592326.42312773876</v>
      </c>
      <c r="P48" s="41">
        <f t="shared" si="6"/>
        <v>5.7393151071785872E-2</v>
      </c>
      <c r="Q48" s="12">
        <f t="shared" si="1"/>
        <v>5.7393151071785872E-2</v>
      </c>
      <c r="R48" s="134">
        <f t="shared" si="2"/>
        <v>350850591535.30103</v>
      </c>
      <c r="S48" s="134">
        <f t="shared" si="7"/>
        <v>361289.61322238855</v>
      </c>
      <c r="T48" s="134">
        <f t="shared" si="8"/>
        <v>130530184622.38312</v>
      </c>
    </row>
    <row r="49" spans="1:20" x14ac:dyDescent="0.2">
      <c r="A49" s="47">
        <v>43799</v>
      </c>
      <c r="B49" s="48">
        <f>Inputs!D106</f>
        <v>14270971.950000003</v>
      </c>
      <c r="C49" s="48">
        <f>Inputs!E106</f>
        <v>54537.3</v>
      </c>
      <c r="D49" s="48">
        <f t="shared" si="0"/>
        <v>14325509.250000004</v>
      </c>
      <c r="E49" s="48">
        <f>Inputs!AE106</f>
        <v>189033.54000000004</v>
      </c>
      <c r="F49" s="48">
        <v>3150961.7699999996</v>
      </c>
      <c r="G49" s="48">
        <f t="shared" si="3"/>
        <v>10985513.940000005</v>
      </c>
      <c r="H49" s="56">
        <v>439.67500000000001</v>
      </c>
      <c r="I49" s="56">
        <v>0.05</v>
      </c>
      <c r="J49" s="48">
        <v>30</v>
      </c>
      <c r="K49" s="110">
        <v>0</v>
      </c>
      <c r="L49" s="48">
        <f>Inputs!G106+Inputs!I106+Inputs!L106+Inputs!O106+Inputs!R106+Inputs!AA106</f>
        <v>7479</v>
      </c>
      <c r="M49" s="48">
        <v>0</v>
      </c>
      <c r="N49" s="48">
        <f t="shared" si="4"/>
        <v>11300007.090876626</v>
      </c>
      <c r="O49" s="32">
        <f t="shared" si="5"/>
        <v>314493.15087662078</v>
      </c>
      <c r="P49" s="41">
        <f t="shared" si="6"/>
        <v>2.8627987055890137E-2</v>
      </c>
      <c r="Q49" s="12">
        <f t="shared" si="1"/>
        <v>2.8627987055890137E-2</v>
      </c>
      <c r="R49" s="134">
        <f t="shared" si="2"/>
        <v>98905941948.304962</v>
      </c>
      <c r="S49" s="134">
        <f t="shared" si="7"/>
        <v>-277833.27225111797</v>
      </c>
      <c r="T49" s="134">
        <f t="shared" si="8"/>
        <v>77191327169.76384</v>
      </c>
    </row>
    <row r="50" spans="1:20" x14ac:dyDescent="0.2">
      <c r="A50" s="47">
        <v>43830</v>
      </c>
      <c r="B50" s="48">
        <f>Inputs!D107</f>
        <v>14104425.360000001</v>
      </c>
      <c r="C50" s="48">
        <f>Inputs!E107</f>
        <v>40652.15</v>
      </c>
      <c r="D50" s="48">
        <f t="shared" si="0"/>
        <v>14145077.510000002</v>
      </c>
      <c r="E50" s="48">
        <f>Inputs!AE107</f>
        <v>156379.99</v>
      </c>
      <c r="F50" s="48">
        <v>2676040.65</v>
      </c>
      <c r="G50" s="48">
        <f t="shared" si="3"/>
        <v>11312656.870000001</v>
      </c>
      <c r="H50" s="56">
        <v>573.38750000000005</v>
      </c>
      <c r="I50" s="56">
        <v>0</v>
      </c>
      <c r="J50" s="48">
        <v>31</v>
      </c>
      <c r="K50" s="110">
        <v>0</v>
      </c>
      <c r="L50" s="48">
        <f>Inputs!G107+Inputs!I107+Inputs!L107+Inputs!O107+Inputs!R107+Inputs!AA107</f>
        <v>7489</v>
      </c>
      <c r="M50" s="48">
        <v>0</v>
      </c>
      <c r="N50" s="48">
        <f t="shared" si="4"/>
        <v>11894994.40535585</v>
      </c>
      <c r="O50" s="32">
        <f t="shared" si="5"/>
        <v>582337.53535584919</v>
      </c>
      <c r="P50" s="41">
        <f t="shared" si="6"/>
        <v>5.1476637367137708E-2</v>
      </c>
      <c r="Q50" s="12">
        <f t="shared" si="1"/>
        <v>5.1476637367137708E-2</v>
      </c>
      <c r="R50" s="134">
        <f t="shared" si="2"/>
        <v>339117005084.32489</v>
      </c>
      <c r="S50" s="134">
        <f t="shared" si="7"/>
        <v>267844.38447922841</v>
      </c>
      <c r="T50" s="134">
        <f t="shared" si="8"/>
        <v>71740614297.056732</v>
      </c>
    </row>
    <row r="51" spans="1:20" x14ac:dyDescent="0.2">
      <c r="A51" s="47">
        <v>43861</v>
      </c>
      <c r="B51" s="48">
        <f>Inputs!D108</f>
        <v>15014091.720000003</v>
      </c>
      <c r="C51" s="48">
        <f>Inputs!E108</f>
        <v>35136.76</v>
      </c>
      <c r="D51" s="48">
        <f t="shared" si="0"/>
        <v>15049228.480000002</v>
      </c>
      <c r="E51" s="48">
        <f>Inputs!AE108</f>
        <v>171026.52000000002</v>
      </c>
      <c r="F51" s="48">
        <v>3175805.51</v>
      </c>
      <c r="G51" s="48">
        <f t="shared" si="3"/>
        <v>11702396.450000003</v>
      </c>
      <c r="H51" s="56">
        <v>679.58749999999998</v>
      </c>
      <c r="I51" s="56">
        <v>0</v>
      </c>
      <c r="J51" s="48">
        <v>31</v>
      </c>
      <c r="K51" s="110">
        <v>0</v>
      </c>
      <c r="L51" s="48">
        <f>Inputs!G108+Inputs!I108+Inputs!L108+Inputs!O108+Inputs!R108+Inputs!AA108</f>
        <v>7508</v>
      </c>
      <c r="M51" s="48">
        <v>0</v>
      </c>
      <c r="N51" s="48">
        <f t="shared" si="4"/>
        <v>12104220.978995999</v>
      </c>
      <c r="O51" s="32">
        <f t="shared" si="5"/>
        <v>401824.52899599634</v>
      </c>
      <c r="P51" s="41">
        <f t="shared" si="6"/>
        <v>3.4336943780091833E-2</v>
      </c>
      <c r="Q51" s="12">
        <f t="shared" si="1"/>
        <v>3.4336943780091833E-2</v>
      </c>
      <c r="R51" s="134">
        <f t="shared" si="2"/>
        <v>161462952102.85431</v>
      </c>
      <c r="S51" s="134">
        <f t="shared" si="7"/>
        <v>-180513.00635985285</v>
      </c>
      <c r="T51" s="134">
        <f t="shared" si="8"/>
        <v>32584945465.072277</v>
      </c>
    </row>
    <row r="52" spans="1:20" x14ac:dyDescent="0.2">
      <c r="A52" s="47">
        <v>43890</v>
      </c>
      <c r="B52" s="48">
        <f>Inputs!D109</f>
        <v>14192237.660000002</v>
      </c>
      <c r="C52" s="48">
        <f>Inputs!E109</f>
        <v>77809.59</v>
      </c>
      <c r="D52" s="48">
        <f t="shared" si="0"/>
        <v>14270047.250000002</v>
      </c>
      <c r="E52" s="48">
        <f>Inputs!AE109</f>
        <v>163565.26999999999</v>
      </c>
      <c r="F52" s="48">
        <v>3106057.9</v>
      </c>
      <c r="G52" s="48">
        <f t="shared" si="3"/>
        <v>11000424.080000002</v>
      </c>
      <c r="H52" s="56">
        <v>599.76249999999993</v>
      </c>
      <c r="I52" s="56">
        <v>0</v>
      </c>
      <c r="J52" s="48">
        <v>29</v>
      </c>
      <c r="K52" s="110">
        <v>0</v>
      </c>
      <c r="L52" s="48">
        <f>Inputs!G109+Inputs!I109+Inputs!L109+Inputs!O109+Inputs!R109+Inputs!AA109</f>
        <v>7522</v>
      </c>
      <c r="M52" s="48">
        <v>0</v>
      </c>
      <c r="N52" s="48">
        <f t="shared" si="4"/>
        <v>11281948.499552209</v>
      </c>
      <c r="O52" s="32">
        <f t="shared" si="5"/>
        <v>281524.41955220699</v>
      </c>
      <c r="P52" s="41">
        <f t="shared" si="6"/>
        <v>2.5592142403314231E-2</v>
      </c>
      <c r="Q52" s="12">
        <f t="shared" si="1"/>
        <v>2.5592142403314231E-2</v>
      </c>
      <c r="R52" s="134">
        <f t="shared" si="2"/>
        <v>79255998804.207062</v>
      </c>
      <c r="S52" s="134">
        <f t="shared" si="7"/>
        <v>-120300.10944378935</v>
      </c>
      <c r="T52" s="134">
        <f t="shared" si="8"/>
        <v>14472116332.187695</v>
      </c>
    </row>
    <row r="53" spans="1:20" x14ac:dyDescent="0.2">
      <c r="A53" s="47">
        <v>43921</v>
      </c>
      <c r="B53" s="48">
        <f>Inputs!D110</f>
        <v>13448796.610000001</v>
      </c>
      <c r="C53" s="48">
        <f>Inputs!E110</f>
        <v>139741.92000000001</v>
      </c>
      <c r="D53" s="48">
        <f t="shared" si="0"/>
        <v>13588538.530000001</v>
      </c>
      <c r="E53" s="48">
        <f>Inputs!AE110</f>
        <v>155745.59</v>
      </c>
      <c r="F53" s="48">
        <v>2605804.7000000002</v>
      </c>
      <c r="G53" s="48">
        <f t="shared" si="3"/>
        <v>10826988.240000002</v>
      </c>
      <c r="H53" s="56">
        <v>527.26250000000005</v>
      </c>
      <c r="I53" s="56">
        <v>0</v>
      </c>
      <c r="J53" s="48">
        <v>31</v>
      </c>
      <c r="K53" s="110">
        <v>1</v>
      </c>
      <c r="L53" s="48">
        <f>Inputs!G110+Inputs!I110+Inputs!L110+Inputs!O110+Inputs!R110+Inputs!AA110</f>
        <v>7534</v>
      </c>
      <c r="M53" s="48">
        <v>0</v>
      </c>
      <c r="N53" s="48">
        <f t="shared" si="4"/>
        <v>11407911.417881943</v>
      </c>
      <c r="O53" s="32">
        <f t="shared" si="5"/>
        <v>580923.1778819412</v>
      </c>
      <c r="P53" s="41">
        <f t="shared" si="6"/>
        <v>5.3655103802157739E-2</v>
      </c>
      <c r="Q53" s="12">
        <f t="shared" si="1"/>
        <v>5.3655103802157739E-2</v>
      </c>
      <c r="R53" s="134">
        <f t="shared" si="2"/>
        <v>337471738600.45349</v>
      </c>
      <c r="S53" s="134">
        <f t="shared" si="7"/>
        <v>299398.75832973421</v>
      </c>
      <c r="T53" s="134">
        <f t="shared" si="8"/>
        <v>89639616489.386581</v>
      </c>
    </row>
    <row r="54" spans="1:20" x14ac:dyDescent="0.2">
      <c r="A54" s="47">
        <v>43951</v>
      </c>
      <c r="B54" s="48">
        <f>Inputs!D111</f>
        <v>10036078.820000004</v>
      </c>
      <c r="C54" s="48">
        <f>Inputs!E111</f>
        <v>191301.65</v>
      </c>
      <c r="D54" s="48">
        <f t="shared" si="0"/>
        <v>10227380.470000004</v>
      </c>
      <c r="E54" s="48">
        <f>Inputs!AE111</f>
        <v>130250.96000000002</v>
      </c>
      <c r="F54" s="48">
        <v>981046.64999999991</v>
      </c>
      <c r="G54" s="48">
        <f t="shared" si="3"/>
        <v>9116082.8600000031</v>
      </c>
      <c r="H54" s="56">
        <v>349.3125</v>
      </c>
      <c r="I54" s="56">
        <v>0.32500000000000001</v>
      </c>
      <c r="J54" s="48">
        <v>30</v>
      </c>
      <c r="K54" s="110">
        <v>1</v>
      </c>
      <c r="L54" s="48">
        <f>Inputs!G111+Inputs!I111+Inputs!L111+Inputs!O111+Inputs!R111+Inputs!AA111</f>
        <v>7547</v>
      </c>
      <c r="M54" s="48">
        <v>1</v>
      </c>
      <c r="N54" s="48">
        <f t="shared" si="4"/>
        <v>9050383.6939372309</v>
      </c>
      <c r="O54" s="32">
        <f t="shared" si="5"/>
        <v>-65699.166062772274</v>
      </c>
      <c r="P54" s="41">
        <f t="shared" si="6"/>
        <v>-7.206951392582258E-3</v>
      </c>
      <c r="Q54" s="12">
        <f t="shared" si="1"/>
        <v>7.206951392582258E-3</v>
      </c>
      <c r="R54" s="134">
        <f t="shared" si="2"/>
        <v>4316380421.3437281</v>
      </c>
      <c r="S54" s="134">
        <f t="shared" si="7"/>
        <v>-646622.34394471347</v>
      </c>
      <c r="T54" s="134">
        <f t="shared" si="8"/>
        <v>418120455688.55536</v>
      </c>
    </row>
    <row r="55" spans="1:20" x14ac:dyDescent="0.2">
      <c r="A55" s="47">
        <v>43982</v>
      </c>
      <c r="B55" s="48">
        <f>Inputs!D112</f>
        <v>11027735.910000004</v>
      </c>
      <c r="C55" s="48">
        <f>Inputs!E112</f>
        <v>221551.47</v>
      </c>
      <c r="D55" s="48">
        <f t="shared" si="0"/>
        <v>11249287.380000005</v>
      </c>
      <c r="E55" s="48">
        <f>Inputs!AE112</f>
        <v>127787.47</v>
      </c>
      <c r="F55" s="48">
        <v>1321734.96</v>
      </c>
      <c r="G55" s="48">
        <f t="shared" si="3"/>
        <v>9799764.950000003</v>
      </c>
      <c r="H55" s="56">
        <v>159.125</v>
      </c>
      <c r="I55" s="56">
        <v>18.412500000000001</v>
      </c>
      <c r="J55" s="48">
        <v>31</v>
      </c>
      <c r="K55" s="110">
        <v>1</v>
      </c>
      <c r="L55" s="48">
        <f>Inputs!G112+Inputs!I112+Inputs!L112+Inputs!O112+Inputs!R112+Inputs!AA112</f>
        <v>7550</v>
      </c>
      <c r="M55" s="48">
        <v>1</v>
      </c>
      <c r="N55" s="48">
        <f t="shared" si="4"/>
        <v>9616225.0010332689</v>
      </c>
      <c r="O55" s="32">
        <f t="shared" si="5"/>
        <v>-183539.94896673411</v>
      </c>
      <c r="P55" s="41">
        <f t="shared" si="6"/>
        <v>-1.8729015430797049E-2</v>
      </c>
      <c r="Q55" s="12">
        <f t="shared" si="1"/>
        <v>1.8729015430797049E-2</v>
      </c>
      <c r="R55" s="134">
        <f t="shared" si="2"/>
        <v>33686912866.711361</v>
      </c>
      <c r="S55" s="134">
        <f t="shared" si="7"/>
        <v>-117840.78290396184</v>
      </c>
      <c r="T55" s="134">
        <f t="shared" si="8"/>
        <v>13886450115.418665</v>
      </c>
    </row>
    <row r="56" spans="1:20" x14ac:dyDescent="0.2">
      <c r="A56" s="47">
        <v>44012</v>
      </c>
      <c r="B56" s="48">
        <f>Inputs!D113</f>
        <v>15117286.629999997</v>
      </c>
      <c r="C56" s="48">
        <f>Inputs!E113</f>
        <v>271293.49</v>
      </c>
      <c r="D56" s="48">
        <f t="shared" si="0"/>
        <v>15388580.119999997</v>
      </c>
      <c r="E56" s="48">
        <f>Inputs!AE113</f>
        <v>140825.13</v>
      </c>
      <c r="F56" s="48">
        <v>2831032.41</v>
      </c>
      <c r="G56" s="48">
        <f t="shared" si="3"/>
        <v>12416722.579999996</v>
      </c>
      <c r="H56" s="56">
        <v>33.324999999999996</v>
      </c>
      <c r="I56" s="56">
        <v>50.612499999999997</v>
      </c>
      <c r="J56" s="48">
        <v>30</v>
      </c>
      <c r="K56" s="110">
        <v>0</v>
      </c>
      <c r="L56" s="48">
        <f>Inputs!G113+Inputs!I113+Inputs!L113+Inputs!O113+Inputs!R113+Inputs!AA113</f>
        <v>7557</v>
      </c>
      <c r="M56" s="48">
        <v>0</v>
      </c>
      <c r="N56" s="48">
        <f t="shared" si="4"/>
        <v>12214808.89477781</v>
      </c>
      <c r="O56" s="32">
        <f t="shared" si="5"/>
        <v>-201913.68522218615</v>
      </c>
      <c r="P56" s="41">
        <f t="shared" si="6"/>
        <v>-1.6261431623463572E-2</v>
      </c>
      <c r="Q56" s="12">
        <f t="shared" si="1"/>
        <v>1.6261431623463572E-2</v>
      </c>
      <c r="R56" s="134">
        <f t="shared" si="2"/>
        <v>40769136280.004074</v>
      </c>
      <c r="S56" s="134">
        <f t="shared" si="7"/>
        <v>-18373.736255452037</v>
      </c>
      <c r="T56" s="134">
        <f t="shared" si="8"/>
        <v>337594183.98491263</v>
      </c>
    </row>
    <row r="57" spans="1:20" x14ac:dyDescent="0.2">
      <c r="A57" s="47">
        <v>44043</v>
      </c>
      <c r="B57" s="48">
        <f>Inputs!D114</f>
        <v>18014751.010000002</v>
      </c>
      <c r="C57" s="48">
        <f>Inputs!E114</f>
        <v>250058.56000000003</v>
      </c>
      <c r="D57" s="48">
        <f t="shared" si="0"/>
        <v>18264809.57</v>
      </c>
      <c r="E57" s="48">
        <f>Inputs!AE114</f>
        <v>162185.27999999997</v>
      </c>
      <c r="F57" s="48">
        <v>3020618.2</v>
      </c>
      <c r="G57" s="48">
        <f t="shared" si="3"/>
        <v>15082006.09</v>
      </c>
      <c r="H57" s="56">
        <v>2.2625000000000002</v>
      </c>
      <c r="I57" s="56">
        <v>100.26249999999999</v>
      </c>
      <c r="J57" s="48">
        <v>31</v>
      </c>
      <c r="K57" s="110">
        <v>0</v>
      </c>
      <c r="L57" s="48">
        <f>Inputs!G114+Inputs!I114+Inputs!L114+Inputs!O114+Inputs!R114+Inputs!AA114</f>
        <v>7566</v>
      </c>
      <c r="M57" s="48">
        <v>0</v>
      </c>
      <c r="N57" s="48">
        <f t="shared" si="4"/>
        <v>13926992.679825461</v>
      </c>
      <c r="O57" s="32">
        <f t="shared" si="5"/>
        <v>-1155013.4101745393</v>
      </c>
      <c r="P57" s="41">
        <f t="shared" si="6"/>
        <v>-7.6582213485536343E-2</v>
      </c>
      <c r="Q57" s="12">
        <f t="shared" si="1"/>
        <v>7.6582213485536343E-2</v>
      </c>
      <c r="R57" s="134">
        <f t="shared" si="2"/>
        <v>1334055977683.0186</v>
      </c>
      <c r="S57" s="134">
        <f t="shared" si="7"/>
        <v>-953099.72495235316</v>
      </c>
      <c r="T57" s="134">
        <f t="shared" si="8"/>
        <v>908399085704.25122</v>
      </c>
    </row>
    <row r="58" spans="1:20" x14ac:dyDescent="0.2">
      <c r="A58" s="47">
        <v>44074</v>
      </c>
      <c r="B58" s="48">
        <f>Inputs!D115</f>
        <v>16733868.93</v>
      </c>
      <c r="C58" s="48">
        <f>Inputs!E115</f>
        <v>221686.43</v>
      </c>
      <c r="D58" s="48">
        <f t="shared" si="0"/>
        <v>16955555.359999999</v>
      </c>
      <c r="E58" s="48">
        <f>Inputs!AE115</f>
        <v>158668.94</v>
      </c>
      <c r="F58" s="48">
        <v>3014862.76</v>
      </c>
      <c r="G58" s="48">
        <f t="shared" si="3"/>
        <v>13782023.659999998</v>
      </c>
      <c r="H58" s="56">
        <v>8.6000000000000014</v>
      </c>
      <c r="I58" s="56">
        <v>79.587499999999991</v>
      </c>
      <c r="J58" s="48">
        <v>31</v>
      </c>
      <c r="K58" s="110">
        <v>0</v>
      </c>
      <c r="L58" s="48">
        <f>Inputs!G115+Inputs!I115+Inputs!L115+Inputs!O115+Inputs!R115+Inputs!AA115</f>
        <v>7581</v>
      </c>
      <c r="M58" s="48">
        <v>0</v>
      </c>
      <c r="N58" s="48">
        <f t="shared" si="4"/>
        <v>13392182.72619882</v>
      </c>
      <c r="O58" s="32">
        <f t="shared" si="5"/>
        <v>-389840.93380117789</v>
      </c>
      <c r="P58" s="41">
        <f t="shared" si="6"/>
        <v>-2.8286189562467923E-2</v>
      </c>
      <c r="Q58" s="12">
        <f t="shared" si="1"/>
        <v>2.8286189562467923E-2</v>
      </c>
      <c r="R58" s="134">
        <f t="shared" si="2"/>
        <v>151975953666.97437</v>
      </c>
      <c r="S58" s="134">
        <f t="shared" si="7"/>
        <v>765172.47637336142</v>
      </c>
      <c r="T58" s="134">
        <f t="shared" si="8"/>
        <v>585488918599.34229</v>
      </c>
    </row>
    <row r="59" spans="1:20" x14ac:dyDescent="0.2">
      <c r="A59" s="47">
        <v>44104</v>
      </c>
      <c r="B59" s="48">
        <f>Inputs!D116</f>
        <v>14451425.119999997</v>
      </c>
      <c r="C59" s="48">
        <f>Inputs!E116</f>
        <v>189577.9</v>
      </c>
      <c r="D59" s="48">
        <f t="shared" si="0"/>
        <v>14641003.019999998</v>
      </c>
      <c r="E59" s="48">
        <f>Inputs!AE116</f>
        <v>149561.73000000001</v>
      </c>
      <c r="F59" s="48">
        <v>3076655.74</v>
      </c>
      <c r="G59" s="48">
        <f t="shared" si="3"/>
        <v>11414785.549999997</v>
      </c>
      <c r="H59" s="56">
        <v>62.674999999999983</v>
      </c>
      <c r="I59" s="56">
        <v>31.699999999999996</v>
      </c>
      <c r="J59" s="48">
        <v>30</v>
      </c>
      <c r="K59" s="110">
        <v>1</v>
      </c>
      <c r="L59" s="48">
        <f>Inputs!G116+Inputs!I116+Inputs!L116+Inputs!O116+Inputs!R116+Inputs!AA116</f>
        <v>7596</v>
      </c>
      <c r="M59" s="48">
        <v>0</v>
      </c>
      <c r="N59" s="48">
        <f t="shared" si="4"/>
        <v>11310067.332221892</v>
      </c>
      <c r="O59" s="32">
        <f t="shared" si="5"/>
        <v>-104718.21777810529</v>
      </c>
      <c r="P59" s="41">
        <f t="shared" si="6"/>
        <v>-9.1739102166580183E-3</v>
      </c>
      <c r="Q59" s="12">
        <f t="shared" si="1"/>
        <v>9.1739102166580183E-3</v>
      </c>
      <c r="R59" s="134">
        <f t="shared" si="2"/>
        <v>10965905134.622686</v>
      </c>
      <c r="S59" s="134">
        <f t="shared" si="7"/>
        <v>285122.7160230726</v>
      </c>
      <c r="T59" s="134">
        <f t="shared" si="8"/>
        <v>81294963192.373703</v>
      </c>
    </row>
    <row r="60" spans="1:20" x14ac:dyDescent="0.2">
      <c r="A60" s="47">
        <v>44135</v>
      </c>
      <c r="B60" s="48">
        <f>Inputs!D117</f>
        <v>14304932.470000003</v>
      </c>
      <c r="C60" s="48">
        <f>Inputs!E117</f>
        <v>116353.45999999999</v>
      </c>
      <c r="D60" s="48">
        <f t="shared" si="0"/>
        <v>14421285.930000003</v>
      </c>
      <c r="E60" s="48">
        <f>Inputs!AE117</f>
        <v>146356.07999999999</v>
      </c>
      <c r="F60" s="48">
        <v>3018748.12</v>
      </c>
      <c r="G60" s="48">
        <f t="shared" si="3"/>
        <v>11256181.730000004</v>
      </c>
      <c r="H60" s="56">
        <v>229.3125</v>
      </c>
      <c r="I60" s="56">
        <v>5.1125000000000007</v>
      </c>
      <c r="J60" s="48">
        <v>31</v>
      </c>
      <c r="K60" s="110">
        <v>1</v>
      </c>
      <c r="L60" s="48">
        <f>Inputs!G117+Inputs!I117+Inputs!L117+Inputs!O117+Inputs!R117+Inputs!AA117</f>
        <v>7650</v>
      </c>
      <c r="M60" s="48">
        <v>0</v>
      </c>
      <c r="N60" s="48">
        <f t="shared" si="4"/>
        <v>11308904.792657135</v>
      </c>
      <c r="O60" s="32">
        <f t="shared" si="5"/>
        <v>52723.062657130882</v>
      </c>
      <c r="P60" s="41">
        <f t="shared" si="6"/>
        <v>4.6839207043551222E-3</v>
      </c>
      <c r="Q60" s="12">
        <f t="shared" si="1"/>
        <v>4.6839207043551222E-3</v>
      </c>
      <c r="R60" s="134">
        <f t="shared" si="2"/>
        <v>2779721335.9477491</v>
      </c>
      <c r="S60" s="134">
        <f t="shared" si="7"/>
        <v>157441.28043523617</v>
      </c>
      <c r="T60" s="134">
        <f t="shared" si="8"/>
        <v>24787756785.086681</v>
      </c>
    </row>
    <row r="61" spans="1:20" x14ac:dyDescent="0.2">
      <c r="A61" s="47">
        <v>44165</v>
      </c>
      <c r="B61" s="48">
        <f>Inputs!D118</f>
        <v>14279909.410000002</v>
      </c>
      <c r="C61" s="48">
        <f>Inputs!E118</f>
        <v>82903.28</v>
      </c>
      <c r="D61" s="48">
        <f t="shared" si="0"/>
        <v>14362812.690000001</v>
      </c>
      <c r="E61" s="48">
        <f>Inputs!AE118</f>
        <v>165563.92000000001</v>
      </c>
      <c r="F61" s="48">
        <v>2950185.69</v>
      </c>
      <c r="G61" s="48">
        <f t="shared" si="3"/>
        <v>11247063.080000002</v>
      </c>
      <c r="H61" s="56">
        <v>439.67500000000001</v>
      </c>
      <c r="I61" s="56">
        <v>0.05</v>
      </c>
      <c r="J61" s="48">
        <v>30</v>
      </c>
      <c r="K61" s="110">
        <v>0</v>
      </c>
      <c r="L61" s="48">
        <f>Inputs!G118+Inputs!I118+Inputs!L118+Inputs!O118+Inputs!R118+Inputs!AA118</f>
        <v>7665</v>
      </c>
      <c r="M61" s="48">
        <v>0</v>
      </c>
      <c r="N61" s="48">
        <f t="shared" si="4"/>
        <v>11679745.52454914</v>
      </c>
      <c r="O61" s="32">
        <f t="shared" si="5"/>
        <v>432682.44454913773</v>
      </c>
      <c r="P61" s="41">
        <f t="shared" si="6"/>
        <v>3.8470704882819742E-2</v>
      </c>
      <c r="Q61" s="12">
        <f t="shared" si="1"/>
        <v>3.8470704882819742E-2</v>
      </c>
      <c r="R61" s="134">
        <f t="shared" si="2"/>
        <v>187214097821.01764</v>
      </c>
      <c r="S61" s="134">
        <f t="shared" si="7"/>
        <v>379959.38189200684</v>
      </c>
      <c r="T61" s="134">
        <f t="shared" si="8"/>
        <v>144369131887.75589</v>
      </c>
    </row>
    <row r="62" spans="1:20" x14ac:dyDescent="0.2">
      <c r="A62" s="47">
        <v>44196</v>
      </c>
      <c r="B62" s="48">
        <f>Inputs!D119</f>
        <v>14921507.26</v>
      </c>
      <c r="C62" s="48">
        <f>Inputs!E119</f>
        <v>40422.69</v>
      </c>
      <c r="D62" s="48">
        <f t="shared" si="0"/>
        <v>14961929.949999999</v>
      </c>
      <c r="E62" s="48">
        <f>Inputs!AE119</f>
        <v>196766.91999999998</v>
      </c>
      <c r="F62" s="48">
        <v>2363231.4300000002</v>
      </c>
      <c r="G62" s="48">
        <f t="shared" si="3"/>
        <v>12401931.6</v>
      </c>
      <c r="H62" s="56">
        <v>573.38750000000005</v>
      </c>
      <c r="I62" s="56">
        <v>0</v>
      </c>
      <c r="J62" s="48">
        <v>31</v>
      </c>
      <c r="K62" s="110">
        <v>0</v>
      </c>
      <c r="L62" s="48">
        <f>Inputs!G119+Inputs!I119+Inputs!L119+Inputs!O119+Inputs!R119+Inputs!AA119</f>
        <v>7688</v>
      </c>
      <c r="M62" s="48">
        <v>0</v>
      </c>
      <c r="N62" s="48">
        <f t="shared" si="4"/>
        <v>12301273.697295796</v>
      </c>
      <c r="O62" s="32">
        <f t="shared" si="5"/>
        <v>-100657.9027042035</v>
      </c>
      <c r="P62" s="41">
        <f t="shared" si="6"/>
        <v>-8.1163084873168874E-3</v>
      </c>
      <c r="Q62" s="12">
        <f t="shared" si="1"/>
        <v>8.1163084873168874E-3</v>
      </c>
      <c r="R62" s="134">
        <f t="shared" si="2"/>
        <v>10132013376.808899</v>
      </c>
      <c r="S62" s="134">
        <f t="shared" si="7"/>
        <v>-533340.34725334123</v>
      </c>
      <c r="T62" s="134">
        <f t="shared" si="8"/>
        <v>284451926008.31458</v>
      </c>
    </row>
    <row r="63" spans="1:20" x14ac:dyDescent="0.2">
      <c r="A63" s="47">
        <v>44227</v>
      </c>
      <c r="B63" s="48">
        <f>Inputs!D120</f>
        <v>15381838.239999998</v>
      </c>
      <c r="C63" s="48">
        <f>Inputs!E120</f>
        <v>41700.25</v>
      </c>
      <c r="D63" s="48">
        <f t="shared" si="0"/>
        <v>15423538.489999998</v>
      </c>
      <c r="E63" s="48">
        <f>Inputs!AE120</f>
        <v>543748.41999999993</v>
      </c>
      <c r="F63" s="48">
        <v>2652843.8200000003</v>
      </c>
      <c r="G63" s="48">
        <f t="shared" si="3"/>
        <v>12226946.249999998</v>
      </c>
      <c r="H63" s="56">
        <v>679.58749999999998</v>
      </c>
      <c r="I63" s="56">
        <v>0</v>
      </c>
      <c r="J63" s="48">
        <v>31</v>
      </c>
      <c r="K63" s="110">
        <v>0</v>
      </c>
      <c r="L63" s="48">
        <f>Inputs!G120+Inputs!I120+Inputs!L120+Inputs!O120+Inputs!R120+Inputs!AA120</f>
        <v>7720</v>
      </c>
      <c r="M63" s="48">
        <v>0</v>
      </c>
      <c r="N63" s="48">
        <f t="shared" si="4"/>
        <v>12537041.129203381</v>
      </c>
      <c r="O63" s="32">
        <f t="shared" si="5"/>
        <v>310094.87920338288</v>
      </c>
      <c r="P63" s="41">
        <f t="shared" si="6"/>
        <v>2.5361596662239593E-2</v>
      </c>
      <c r="Q63" s="12">
        <f t="shared" si="1"/>
        <v>2.5361596662239593E-2</v>
      </c>
      <c r="R63" s="134">
        <f t="shared" si="2"/>
        <v>96158834108.160614</v>
      </c>
      <c r="S63" s="134">
        <f t="shared" si="7"/>
        <v>410752.78190758638</v>
      </c>
      <c r="T63" s="134">
        <f t="shared" si="8"/>
        <v>168717847844.82123</v>
      </c>
    </row>
    <row r="64" spans="1:20" x14ac:dyDescent="0.2">
      <c r="A64" s="47">
        <v>44255</v>
      </c>
      <c r="B64" s="48">
        <f>Inputs!D121</f>
        <v>14338372.879999999</v>
      </c>
      <c r="C64" s="48">
        <f>Inputs!E121</f>
        <v>36904.899999999994</v>
      </c>
      <c r="D64" s="48">
        <f t="shared" si="0"/>
        <v>14375277.779999999</v>
      </c>
      <c r="E64" s="48">
        <f>Inputs!AE121</f>
        <v>463830.81</v>
      </c>
      <c r="F64" s="48">
        <v>2406118.8199999998</v>
      </c>
      <c r="G64" s="48">
        <f t="shared" si="3"/>
        <v>11505328.149999999</v>
      </c>
      <c r="H64" s="56">
        <v>599.76249999999993</v>
      </c>
      <c r="I64" s="56">
        <v>0</v>
      </c>
      <c r="J64" s="48">
        <v>28</v>
      </c>
      <c r="K64" s="110">
        <v>0</v>
      </c>
      <c r="L64" s="48">
        <f>Inputs!G121+Inputs!I121+Inputs!L121+Inputs!O121+Inputs!R121+Inputs!AA121</f>
        <v>7739</v>
      </c>
      <c r="M64" s="48">
        <v>0</v>
      </c>
      <c r="N64" s="48">
        <f t="shared" si="4"/>
        <v>11363603.159467638</v>
      </c>
      <c r="O64" s="32">
        <f t="shared" si="5"/>
        <v>-141724.99053236097</v>
      </c>
      <c r="P64" s="41">
        <f t="shared" si="6"/>
        <v>-1.2318204981607673E-2</v>
      </c>
      <c r="Q64" s="12">
        <f t="shared" si="1"/>
        <v>1.2318204981607673E-2</v>
      </c>
      <c r="R64" s="134">
        <f t="shared" si="2"/>
        <v>20085972941.397808</v>
      </c>
      <c r="S64" s="134">
        <f t="shared" si="7"/>
        <v>-451819.86973574385</v>
      </c>
      <c r="T64" s="134">
        <f t="shared" si="8"/>
        <v>204141194688.02454</v>
      </c>
    </row>
    <row r="65" spans="1:20" x14ac:dyDescent="0.2">
      <c r="A65" s="47">
        <v>44286</v>
      </c>
      <c r="B65" s="48">
        <f>Inputs!D122</f>
        <v>14839569.93</v>
      </c>
      <c r="C65" s="48">
        <f>Inputs!E122</f>
        <v>197009.1</v>
      </c>
      <c r="D65" s="48">
        <f t="shared" si="0"/>
        <v>15036579.029999999</v>
      </c>
      <c r="E65" s="48">
        <f>Inputs!AE122</f>
        <v>537531.31000000006</v>
      </c>
      <c r="F65" s="48">
        <v>2855575.39</v>
      </c>
      <c r="G65" s="48">
        <f t="shared" si="3"/>
        <v>11643472.329999998</v>
      </c>
      <c r="H65" s="56">
        <v>527.26250000000005</v>
      </c>
      <c r="I65" s="56">
        <v>0</v>
      </c>
      <c r="J65" s="48">
        <v>31</v>
      </c>
      <c r="K65" s="110">
        <v>1</v>
      </c>
      <c r="L65" s="48">
        <f>Inputs!G122+Inputs!I122+Inputs!L122+Inputs!O122+Inputs!R122+Inputs!AA122</f>
        <v>7764</v>
      </c>
      <c r="M65" s="48">
        <v>0</v>
      </c>
      <c r="N65" s="48">
        <f t="shared" si="4"/>
        <v>11877480.448767308</v>
      </c>
      <c r="O65" s="32">
        <f t="shared" si="5"/>
        <v>234008.11876730993</v>
      </c>
      <c r="P65" s="41">
        <f t="shared" si="6"/>
        <v>2.0097794896147613E-2</v>
      </c>
      <c r="Q65" s="12">
        <f t="shared" si="1"/>
        <v>2.0097794896147613E-2</v>
      </c>
      <c r="R65" s="134">
        <f t="shared" si="2"/>
        <v>54759799649.015434</v>
      </c>
      <c r="S65" s="134">
        <f t="shared" si="7"/>
        <v>375733.1092996709</v>
      </c>
      <c r="T65" s="134">
        <f t="shared" si="8"/>
        <v>141175369423.99844</v>
      </c>
    </row>
    <row r="66" spans="1:20" x14ac:dyDescent="0.2">
      <c r="A66" s="47">
        <v>44316</v>
      </c>
      <c r="B66" s="48">
        <f>Inputs!D123</f>
        <v>12258026.33</v>
      </c>
      <c r="C66" s="48">
        <f>Inputs!E123</f>
        <v>195594.22999999998</v>
      </c>
      <c r="D66" s="48">
        <f t="shared" si="0"/>
        <v>12453620.560000001</v>
      </c>
      <c r="E66" s="48">
        <f>Inputs!AE123</f>
        <v>208735.52999999997</v>
      </c>
      <c r="F66" s="48">
        <v>2127833.12</v>
      </c>
      <c r="G66" s="48">
        <f t="shared" si="3"/>
        <v>10117051.91</v>
      </c>
      <c r="H66" s="56">
        <v>349.3125</v>
      </c>
      <c r="I66" s="56">
        <v>0.32500000000000001</v>
      </c>
      <c r="J66" s="48">
        <v>30</v>
      </c>
      <c r="K66" s="110">
        <v>1</v>
      </c>
      <c r="L66" s="48">
        <f>Inputs!G123+Inputs!I123+Inputs!L123+Inputs!O123+Inputs!R123+Inputs!AA123</f>
        <v>7789</v>
      </c>
      <c r="M66" s="48">
        <v>0</v>
      </c>
      <c r="N66" s="48">
        <f t="shared" si="4"/>
        <v>11290610.485540282</v>
      </c>
      <c r="O66" s="32">
        <f t="shared" si="5"/>
        <v>1173558.5755402818</v>
      </c>
      <c r="P66" s="41">
        <f t="shared" si="6"/>
        <v>0.11599807789661543</v>
      </c>
      <c r="Q66" s="12">
        <f t="shared" si="1"/>
        <v>0.11599807789661543</v>
      </c>
      <c r="R66" s="134">
        <f t="shared" si="2"/>
        <v>1377239730224.1355</v>
      </c>
      <c r="S66" s="134">
        <f t="shared" si="7"/>
        <v>939550.4567729719</v>
      </c>
      <c r="T66" s="134">
        <f t="shared" si="8"/>
        <v>882755060822.30017</v>
      </c>
    </row>
    <row r="67" spans="1:20" x14ac:dyDescent="0.2">
      <c r="A67" s="47">
        <v>44347</v>
      </c>
      <c r="B67" s="48">
        <f>Inputs!D124</f>
        <v>13244338.23</v>
      </c>
      <c r="C67" s="48">
        <f>Inputs!E124</f>
        <v>234500.96000000002</v>
      </c>
      <c r="D67" s="48">
        <f t="shared" ref="D67:D104" si="9">B67+C67</f>
        <v>13478839.190000001</v>
      </c>
      <c r="E67" s="48">
        <f>Inputs!AE124</f>
        <v>137709.51999999999</v>
      </c>
      <c r="F67" s="48">
        <v>2246884.9300000002</v>
      </c>
      <c r="G67" s="48">
        <f t="shared" si="3"/>
        <v>11094244.740000002</v>
      </c>
      <c r="H67" s="56">
        <v>159.125</v>
      </c>
      <c r="I67" s="56">
        <v>18.412500000000001</v>
      </c>
      <c r="J67" s="48">
        <v>31</v>
      </c>
      <c r="K67" s="110">
        <v>1</v>
      </c>
      <c r="L67" s="48">
        <f>Inputs!G124+Inputs!I124+Inputs!L124+Inputs!O124+Inputs!R124+Inputs!AA124</f>
        <v>7811</v>
      </c>
      <c r="M67" s="48">
        <v>0</v>
      </c>
      <c r="N67" s="48">
        <f t="shared" si="4"/>
        <v>11895242.277796417</v>
      </c>
      <c r="O67" s="32">
        <f t="shared" si="5"/>
        <v>800997.53779641539</v>
      </c>
      <c r="P67" s="41">
        <f t="shared" si="6"/>
        <v>7.2199375132625324E-2</v>
      </c>
      <c r="Q67" s="12">
        <f t="shared" ref="Q67:Q86" si="10">ABS(P67)</f>
        <v>7.2199375132625324E-2</v>
      </c>
      <c r="R67" s="134">
        <f t="shared" ref="R67:R86" si="11">O67*O67</f>
        <v>641597055555.91992</v>
      </c>
      <c r="S67" s="134">
        <f t="shared" si="7"/>
        <v>-372561.03774386644</v>
      </c>
      <c r="T67" s="134">
        <f t="shared" si="8"/>
        <v>138801726844.78668</v>
      </c>
    </row>
    <row r="68" spans="1:20" x14ac:dyDescent="0.2">
      <c r="A68" s="47">
        <v>44377</v>
      </c>
      <c r="B68" s="48">
        <f>Inputs!D125</f>
        <v>15554413.700000001</v>
      </c>
      <c r="C68" s="48">
        <f>Inputs!E125</f>
        <v>235576.17000000004</v>
      </c>
      <c r="D68" s="48">
        <f t="shared" si="9"/>
        <v>15789989.870000001</v>
      </c>
      <c r="E68" s="48">
        <f>Inputs!AE125</f>
        <v>157595.26999999999</v>
      </c>
      <c r="F68" s="48">
        <v>2636157.2999999998</v>
      </c>
      <c r="G68" s="48">
        <f t="shared" ref="G68:G104" si="12">D68-E68-F68</f>
        <v>12996237.300000001</v>
      </c>
      <c r="H68" s="56">
        <v>33.324999999999996</v>
      </c>
      <c r="I68" s="56">
        <v>50.612499999999997</v>
      </c>
      <c r="J68" s="48">
        <v>30</v>
      </c>
      <c r="K68" s="110">
        <v>0</v>
      </c>
      <c r="L68" s="48">
        <f>Inputs!G125+Inputs!I125+Inputs!L125+Inputs!O125+Inputs!R125+Inputs!AA125</f>
        <v>7846</v>
      </c>
      <c r="M68" s="48">
        <v>0</v>
      </c>
      <c r="N68" s="48">
        <f t="shared" ref="N68:N110" si="13">$W$18+$W$19*H68+$W$20*I68+$W$21*J68+$W$22*K68+$W$23*L68+M68*$W$24</f>
        <v>12804832.590107683</v>
      </c>
      <c r="O68" s="32">
        <f t="shared" ref="O68:O86" si="14">N68-G68</f>
        <v>-191404.70989231765</v>
      </c>
      <c r="P68" s="41">
        <f t="shared" ref="P68:P86" si="15">O68/G68</f>
        <v>-1.4727701985890766E-2</v>
      </c>
      <c r="Q68" s="12">
        <f t="shared" si="10"/>
        <v>1.4727701985890766E-2</v>
      </c>
      <c r="R68" s="134">
        <f t="shared" si="11"/>
        <v>36635762968.96228</v>
      </c>
      <c r="S68" s="134">
        <f t="shared" ref="S68:S86" si="16">O68-O67</f>
        <v>-992402.24768873304</v>
      </c>
      <c r="T68" s="134">
        <f t="shared" ref="T68:T86" si="17">S68*S68</f>
        <v>984862221217.64941</v>
      </c>
    </row>
    <row r="69" spans="1:20" x14ac:dyDescent="0.2">
      <c r="A69" s="47">
        <v>44408</v>
      </c>
      <c r="B69" s="48">
        <f>Inputs!D126</f>
        <v>15685342.790000003</v>
      </c>
      <c r="C69" s="48">
        <f>Inputs!E126</f>
        <v>213581.17999999996</v>
      </c>
      <c r="D69" s="48">
        <f t="shared" si="9"/>
        <v>15898923.970000003</v>
      </c>
      <c r="E69" s="48">
        <f>Inputs!AE126</f>
        <v>155916.87</v>
      </c>
      <c r="F69" s="48">
        <v>2079124.17</v>
      </c>
      <c r="G69" s="48">
        <f t="shared" si="12"/>
        <v>13663882.930000003</v>
      </c>
      <c r="H69" s="56">
        <v>2.2625000000000002</v>
      </c>
      <c r="I69" s="56">
        <v>100.26249999999999</v>
      </c>
      <c r="J69" s="48">
        <v>31</v>
      </c>
      <c r="K69" s="110">
        <v>0</v>
      </c>
      <c r="L69" s="48">
        <f>Inputs!G126+Inputs!I126+Inputs!L126+Inputs!O126+Inputs!R126+Inputs!AA126</f>
        <v>7883</v>
      </c>
      <c r="M69" s="48">
        <v>0</v>
      </c>
      <c r="N69" s="48">
        <f t="shared" si="13"/>
        <v>14574181.300654421</v>
      </c>
      <c r="O69" s="32">
        <f t="shared" si="14"/>
        <v>910298.3706544172</v>
      </c>
      <c r="P69" s="41">
        <f t="shared" si="15"/>
        <v>6.6620767706944709E-2</v>
      </c>
      <c r="Q69" s="12">
        <f t="shared" si="10"/>
        <v>6.6620767706944709E-2</v>
      </c>
      <c r="R69" s="134">
        <f t="shared" si="11"/>
        <v>828643123616.08667</v>
      </c>
      <c r="S69" s="134">
        <f t="shared" si="16"/>
        <v>1101703.0805467349</v>
      </c>
      <c r="T69" s="134">
        <f t="shared" si="17"/>
        <v>1213749677686.1653</v>
      </c>
    </row>
    <row r="70" spans="1:20" x14ac:dyDescent="0.2">
      <c r="A70" s="47">
        <v>44439</v>
      </c>
      <c r="B70" s="48">
        <f>Inputs!D127</f>
        <v>17774632.540000003</v>
      </c>
      <c r="C70" s="48">
        <f>Inputs!E127</f>
        <v>222339.34000000003</v>
      </c>
      <c r="D70" s="48">
        <f t="shared" si="9"/>
        <v>17996971.880000003</v>
      </c>
      <c r="E70" s="48">
        <f>Inputs!AE127</f>
        <v>171945.79</v>
      </c>
      <c r="F70" s="48">
        <v>2857704.54</v>
      </c>
      <c r="G70" s="48">
        <f t="shared" si="12"/>
        <v>14967321.550000004</v>
      </c>
      <c r="H70" s="56">
        <v>8.6000000000000014</v>
      </c>
      <c r="I70" s="56">
        <v>79.587499999999991</v>
      </c>
      <c r="J70" s="48">
        <v>31</v>
      </c>
      <c r="K70" s="110">
        <v>0</v>
      </c>
      <c r="L70" s="48">
        <f>Inputs!G127+Inputs!I127+Inputs!L127+Inputs!O127+Inputs!R127+Inputs!AA127</f>
        <v>7901</v>
      </c>
      <c r="M70" s="48">
        <v>0</v>
      </c>
      <c r="N70" s="48">
        <f t="shared" si="13"/>
        <v>14045496.160474112</v>
      </c>
      <c r="O70" s="32">
        <f t="shared" si="14"/>
        <v>-921825.38952589221</v>
      </c>
      <c r="P70" s="41">
        <f t="shared" si="15"/>
        <v>-6.1589201945480482E-2</v>
      </c>
      <c r="Q70" s="12">
        <f t="shared" si="10"/>
        <v>6.1589201945480482E-2</v>
      </c>
      <c r="R70" s="134">
        <f t="shared" si="11"/>
        <v>849762048774.56287</v>
      </c>
      <c r="S70" s="134">
        <f t="shared" si="16"/>
        <v>-1832123.7601803094</v>
      </c>
      <c r="T70" s="134">
        <f t="shared" si="17"/>
        <v>3356677472617.2358</v>
      </c>
    </row>
    <row r="71" spans="1:20" x14ac:dyDescent="0.2">
      <c r="A71" s="47">
        <v>44469</v>
      </c>
      <c r="B71" s="48">
        <f>Inputs!D128</f>
        <v>14020372.270000001</v>
      </c>
      <c r="C71" s="48">
        <f>Inputs!E128</f>
        <v>193179.75</v>
      </c>
      <c r="D71" s="48">
        <f t="shared" si="9"/>
        <v>14213552.020000001</v>
      </c>
      <c r="E71" s="48">
        <f>Inputs!AE128</f>
        <v>148189.84</v>
      </c>
      <c r="F71" s="48">
        <v>2457487.63</v>
      </c>
      <c r="G71" s="48">
        <f t="shared" si="12"/>
        <v>11607874.550000001</v>
      </c>
      <c r="H71" s="56">
        <v>62.674999999999983</v>
      </c>
      <c r="I71" s="56">
        <v>31.699999999999996</v>
      </c>
      <c r="J71" s="48">
        <v>30</v>
      </c>
      <c r="K71" s="110">
        <v>1</v>
      </c>
      <c r="L71" s="48">
        <f>Inputs!G128+Inputs!I128+Inputs!L128+Inputs!O128+Inputs!R128+Inputs!AA128</f>
        <v>7934</v>
      </c>
      <c r="M71" s="48">
        <v>0</v>
      </c>
      <c r="N71" s="48">
        <f t="shared" si="13"/>
        <v>12000129.647175167</v>
      </c>
      <c r="O71" s="32">
        <f t="shared" si="14"/>
        <v>392255.09717516601</v>
      </c>
      <c r="P71" s="41">
        <f t="shared" si="15"/>
        <v>3.3792155100019233E-2</v>
      </c>
      <c r="Q71" s="12">
        <f t="shared" si="10"/>
        <v>3.3792155100019233E-2</v>
      </c>
      <c r="R71" s="134">
        <f t="shared" si="11"/>
        <v>153864061259.89893</v>
      </c>
      <c r="S71" s="134">
        <f t="shared" si="16"/>
        <v>1314080.4867010582</v>
      </c>
      <c r="T71" s="134">
        <f t="shared" si="17"/>
        <v>1726807525528.49</v>
      </c>
    </row>
    <row r="72" spans="1:20" x14ac:dyDescent="0.2">
      <c r="A72" s="47">
        <v>44500</v>
      </c>
      <c r="B72" s="48">
        <f>Inputs!D129</f>
        <v>13896446.370000001</v>
      </c>
      <c r="C72" s="48">
        <f>Inputs!E129</f>
        <v>100673.29000000002</v>
      </c>
      <c r="D72" s="48">
        <f t="shared" si="9"/>
        <v>13997119.66</v>
      </c>
      <c r="E72" s="48">
        <f>Inputs!AE129</f>
        <v>161878.74</v>
      </c>
      <c r="F72" s="48">
        <v>2421664.91</v>
      </c>
      <c r="G72" s="48">
        <f t="shared" si="12"/>
        <v>11413576.01</v>
      </c>
      <c r="H72" s="56">
        <v>229.3125</v>
      </c>
      <c r="I72" s="56">
        <v>5.1125000000000007</v>
      </c>
      <c r="J72" s="48">
        <v>31</v>
      </c>
      <c r="K72" s="110">
        <v>1</v>
      </c>
      <c r="L72" s="48">
        <f>Inputs!G129+Inputs!I129+Inputs!L129+Inputs!O129+Inputs!R129+Inputs!AA129</f>
        <v>7977</v>
      </c>
      <c r="M72" s="48">
        <v>0</v>
      </c>
      <c r="N72" s="48">
        <f t="shared" si="13"/>
        <v>11976509.458307197</v>
      </c>
      <c r="O72" s="32">
        <f t="shared" si="14"/>
        <v>562933.44830719754</v>
      </c>
      <c r="P72" s="41">
        <f t="shared" si="15"/>
        <v>4.9321391281223662E-2</v>
      </c>
      <c r="Q72" s="12">
        <f t="shared" si="10"/>
        <v>4.9321391281223662E-2</v>
      </c>
      <c r="R72" s="134">
        <f t="shared" si="11"/>
        <v>316894067223.03223</v>
      </c>
      <c r="S72" s="134">
        <f t="shared" si="16"/>
        <v>170678.35113203153</v>
      </c>
      <c r="T72" s="134">
        <f t="shared" si="17"/>
        <v>29131099545.149048</v>
      </c>
    </row>
    <row r="73" spans="1:20" x14ac:dyDescent="0.2">
      <c r="A73" s="47">
        <v>44530</v>
      </c>
      <c r="B73" s="48">
        <f>Inputs!D130</f>
        <v>14538013.570000002</v>
      </c>
      <c r="C73" s="48">
        <f>Inputs!E130</f>
        <v>75643.289999999994</v>
      </c>
      <c r="D73" s="48">
        <f t="shared" si="9"/>
        <v>14613656.860000001</v>
      </c>
      <c r="E73" s="48">
        <f>Inputs!AE130</f>
        <v>216918.55</v>
      </c>
      <c r="F73" s="48">
        <v>2535706.0500000003</v>
      </c>
      <c r="G73" s="48">
        <f t="shared" si="12"/>
        <v>11861032.26</v>
      </c>
      <c r="H73" s="56">
        <v>439.67500000000001</v>
      </c>
      <c r="I73" s="56">
        <v>0.05</v>
      </c>
      <c r="J73" s="48">
        <v>30</v>
      </c>
      <c r="K73" s="110">
        <v>0</v>
      </c>
      <c r="L73" s="48">
        <f>Inputs!G130+Inputs!I130+Inputs!L130+Inputs!O130+Inputs!R130+Inputs!AA130</f>
        <v>8016</v>
      </c>
      <c r="M73" s="48">
        <v>0</v>
      </c>
      <c r="N73" s="48">
        <f t="shared" si="13"/>
        <v>12396348.697769849</v>
      </c>
      <c r="O73" s="32">
        <f t="shared" si="14"/>
        <v>535316.43776984885</v>
      </c>
      <c r="P73" s="41">
        <f t="shared" si="15"/>
        <v>4.5132365045084943E-2</v>
      </c>
      <c r="Q73" s="12">
        <f t="shared" si="10"/>
        <v>4.5132365045084943E-2</v>
      </c>
      <c r="R73" s="134">
        <f t="shared" si="11"/>
        <v>286563688546.60046</v>
      </c>
      <c r="S73" s="134">
        <f t="shared" si="16"/>
        <v>-27617.010537348688</v>
      </c>
      <c r="T73" s="134">
        <f t="shared" si="17"/>
        <v>762699271.02002847</v>
      </c>
    </row>
    <row r="74" spans="1:20" x14ac:dyDescent="0.2">
      <c r="A74" s="47">
        <v>44561</v>
      </c>
      <c r="B74" s="48">
        <f>Inputs!D131</f>
        <v>14738839.719999997</v>
      </c>
      <c r="C74" s="48">
        <f>Inputs!E131</f>
        <v>46959.739999999991</v>
      </c>
      <c r="D74" s="48">
        <f t="shared" si="9"/>
        <v>14785799.459999997</v>
      </c>
      <c r="E74" s="48">
        <f>Inputs!AE131</f>
        <v>205565.01</v>
      </c>
      <c r="F74" s="48">
        <v>2333799.2400000002</v>
      </c>
      <c r="G74" s="48">
        <f t="shared" si="12"/>
        <v>12246435.209999997</v>
      </c>
      <c r="H74" s="56">
        <v>573.38750000000005</v>
      </c>
      <c r="I74" s="56">
        <v>0</v>
      </c>
      <c r="J74" s="48">
        <v>31</v>
      </c>
      <c r="K74" s="110">
        <v>0</v>
      </c>
      <c r="L74" s="48">
        <f>Inputs!G131+Inputs!I131+Inputs!L131+Inputs!O131+Inputs!R131+Inputs!AA131</f>
        <v>8043</v>
      </c>
      <c r="M74" s="48">
        <v>0</v>
      </c>
      <c r="N74" s="48">
        <f t="shared" si="13"/>
        <v>13026043.288444946</v>
      </c>
      <c r="O74" s="32">
        <f t="shared" si="14"/>
        <v>779608.07844494842</v>
      </c>
      <c r="P74" s="41">
        <f t="shared" si="15"/>
        <v>6.3660001059602109E-2</v>
      </c>
      <c r="Q74" s="12">
        <f t="shared" si="10"/>
        <v>6.3660001059602109E-2</v>
      </c>
      <c r="R74" s="134">
        <f t="shared" si="11"/>
        <v>607788755976.62488</v>
      </c>
      <c r="S74" s="134">
        <f t="shared" si="16"/>
        <v>244291.64067509957</v>
      </c>
      <c r="T74" s="134">
        <f t="shared" si="17"/>
        <v>59678405703.731964</v>
      </c>
    </row>
    <row r="75" spans="1:20" x14ac:dyDescent="0.2">
      <c r="A75" s="47">
        <v>44592</v>
      </c>
      <c r="B75" s="48">
        <f>Inputs!D132</f>
        <v>16412005.120000001</v>
      </c>
      <c r="C75" s="48">
        <f>Inputs!E132</f>
        <v>39551.119999999995</v>
      </c>
      <c r="D75" s="48">
        <f t="shared" si="9"/>
        <v>16451556.24</v>
      </c>
      <c r="E75" s="48">
        <f>Inputs!AE132</f>
        <v>229885.46</v>
      </c>
      <c r="F75" s="48">
        <v>2704683.5200000005</v>
      </c>
      <c r="G75" s="48">
        <f t="shared" si="12"/>
        <v>13516987.259999998</v>
      </c>
      <c r="H75" s="56">
        <v>679.58749999999998</v>
      </c>
      <c r="I75" s="56">
        <v>0</v>
      </c>
      <c r="J75" s="48">
        <v>31</v>
      </c>
      <c r="K75" s="110">
        <v>0</v>
      </c>
      <c r="L75" s="48">
        <f>Inputs!G132+Inputs!I132+Inputs!L132+Inputs!O132+Inputs!R132+Inputs!AA132</f>
        <v>8062</v>
      </c>
      <c r="M75" s="48">
        <v>0</v>
      </c>
      <c r="N75" s="48">
        <f t="shared" si="13"/>
        <v>13235269.862085097</v>
      </c>
      <c r="O75" s="32">
        <f t="shared" si="14"/>
        <v>-281717.39791490138</v>
      </c>
      <c r="P75" s="41">
        <f t="shared" si="15"/>
        <v>-2.0841729928130555E-2</v>
      </c>
      <c r="Q75" s="12">
        <f t="shared" si="10"/>
        <v>2.0841729928130555E-2</v>
      </c>
      <c r="R75" s="134">
        <f t="shared" si="11"/>
        <v>79364692287.942871</v>
      </c>
      <c r="S75" s="134">
        <f t="shared" si="16"/>
        <v>-1061325.4763598498</v>
      </c>
      <c r="T75" s="134">
        <f t="shared" si="17"/>
        <v>1126411766770.4622</v>
      </c>
    </row>
    <row r="76" spans="1:20" x14ac:dyDescent="0.2">
      <c r="A76" s="47">
        <v>44620</v>
      </c>
      <c r="B76" s="48">
        <f>Inputs!D133</f>
        <v>14716423.85</v>
      </c>
      <c r="C76" s="48">
        <f>Inputs!E133</f>
        <v>71042.73</v>
      </c>
      <c r="D76" s="48">
        <f t="shared" si="9"/>
        <v>14787466.58</v>
      </c>
      <c r="E76" s="48">
        <f>Inputs!AE133</f>
        <v>215471.86000000002</v>
      </c>
      <c r="F76" s="48">
        <v>2459020.0700000003</v>
      </c>
      <c r="G76" s="48">
        <f t="shared" si="12"/>
        <v>12112974.65</v>
      </c>
      <c r="H76" s="56">
        <v>599.76249999999993</v>
      </c>
      <c r="I76" s="56">
        <v>0</v>
      </c>
      <c r="J76" s="48">
        <v>28</v>
      </c>
      <c r="K76" s="110">
        <v>0</v>
      </c>
      <c r="L76" s="48">
        <f>Inputs!G133+Inputs!I133+Inputs!L133+Inputs!O133+Inputs!R133+Inputs!AA133</f>
        <v>8086</v>
      </c>
      <c r="M76" s="48">
        <v>0</v>
      </c>
      <c r="N76" s="48">
        <f t="shared" si="13"/>
        <v>12072039.914759906</v>
      </c>
      <c r="O76" s="32">
        <f t="shared" si="14"/>
        <v>-40934.735240094364</v>
      </c>
      <c r="P76" s="41">
        <f t="shared" si="15"/>
        <v>-3.3794122767436289E-3</v>
      </c>
      <c r="Q76" s="12">
        <f t="shared" si="10"/>
        <v>3.3794122767436289E-3</v>
      </c>
      <c r="R76" s="134">
        <f t="shared" si="11"/>
        <v>1675652549.1766233</v>
      </c>
      <c r="S76" s="134">
        <f t="shared" si="16"/>
        <v>240782.66267480701</v>
      </c>
      <c r="T76" s="134">
        <f t="shared" si="17"/>
        <v>57976290644.769905</v>
      </c>
    </row>
    <row r="77" spans="1:20" x14ac:dyDescent="0.2">
      <c r="A77" s="47">
        <v>44651</v>
      </c>
      <c r="B77" s="48">
        <f>Inputs!D134</f>
        <v>15784695.399999995</v>
      </c>
      <c r="C77" s="48">
        <f>Inputs!E134</f>
        <v>118490.18000000001</v>
      </c>
      <c r="D77" s="48">
        <f t="shared" si="9"/>
        <v>15903185.579999994</v>
      </c>
      <c r="E77" s="48">
        <f>Inputs!AE134</f>
        <v>258483.46000000002</v>
      </c>
      <c r="F77" s="48">
        <v>2650068.8200000003</v>
      </c>
      <c r="G77" s="48">
        <f t="shared" si="12"/>
        <v>12994633.299999993</v>
      </c>
      <c r="H77" s="56">
        <v>527.26250000000005</v>
      </c>
      <c r="I77" s="56">
        <v>0</v>
      </c>
      <c r="J77" s="48">
        <v>31</v>
      </c>
      <c r="K77" s="110">
        <v>1</v>
      </c>
      <c r="L77" s="48">
        <f>Inputs!G134+Inputs!I134+Inputs!L134+Inputs!O134+Inputs!R134+Inputs!AA134</f>
        <v>8093</v>
      </c>
      <c r="M77" s="48">
        <v>0</v>
      </c>
      <c r="N77" s="48">
        <f t="shared" si="13"/>
        <v>12549168.323381592</v>
      </c>
      <c r="O77" s="32">
        <f t="shared" si="14"/>
        <v>-445464.97661840171</v>
      </c>
      <c r="P77" s="41">
        <f t="shared" si="15"/>
        <v>-3.4280688522268801E-2</v>
      </c>
      <c r="Q77" s="12">
        <f t="shared" si="10"/>
        <v>3.4280688522268801E-2</v>
      </c>
      <c r="R77" s="134">
        <f t="shared" si="11"/>
        <v>198439045393.63318</v>
      </c>
      <c r="S77" s="134">
        <f t="shared" si="16"/>
        <v>-404530.24137830734</v>
      </c>
      <c r="T77" s="134">
        <f t="shared" si="17"/>
        <v>163644716189.59161</v>
      </c>
    </row>
    <row r="78" spans="1:20" x14ac:dyDescent="0.2">
      <c r="A78" s="47">
        <v>44681</v>
      </c>
      <c r="B78" s="48">
        <f>Inputs!D135</f>
        <v>13400986.82</v>
      </c>
      <c r="C78" s="48">
        <f>Inputs!E135</f>
        <v>183397.94000000003</v>
      </c>
      <c r="D78" s="48">
        <f t="shared" si="9"/>
        <v>13584384.76</v>
      </c>
      <c r="E78" s="48">
        <f>Inputs!AE135</f>
        <v>215327.68000000002</v>
      </c>
      <c r="F78" s="48">
        <v>2124042.29</v>
      </c>
      <c r="G78" s="48">
        <f t="shared" si="12"/>
        <v>11245014.789999999</v>
      </c>
      <c r="H78" s="56">
        <v>349.3125</v>
      </c>
      <c r="I78" s="56">
        <v>0.32500000000000001</v>
      </c>
      <c r="J78" s="48">
        <v>30</v>
      </c>
      <c r="K78" s="110">
        <v>1</v>
      </c>
      <c r="L78" s="48">
        <f>Inputs!G135+Inputs!I135+Inputs!L135+Inputs!O135+Inputs!R135+Inputs!AA135</f>
        <v>8106</v>
      </c>
      <c r="M78" s="48">
        <v>0</v>
      </c>
      <c r="N78" s="48">
        <f t="shared" si="13"/>
        <v>11937799.106369242</v>
      </c>
      <c r="O78" s="32">
        <f t="shared" si="14"/>
        <v>692784.31636924297</v>
      </c>
      <c r="P78" s="41">
        <f t="shared" si="15"/>
        <v>6.160812851800998E-2</v>
      </c>
      <c r="Q78" s="12">
        <f t="shared" si="10"/>
        <v>6.160812851800998E-2</v>
      </c>
      <c r="R78" s="134">
        <f t="shared" si="11"/>
        <v>479950109007.19934</v>
      </c>
      <c r="S78" s="134">
        <f t="shared" si="16"/>
        <v>1138249.2929876447</v>
      </c>
      <c r="T78" s="134">
        <f t="shared" si="17"/>
        <v>1295611452986.873</v>
      </c>
    </row>
    <row r="79" spans="1:20" x14ac:dyDescent="0.2">
      <c r="A79" s="47">
        <v>44712</v>
      </c>
      <c r="B79" s="48">
        <f>Inputs!D136</f>
        <v>14301607.030000005</v>
      </c>
      <c r="C79" s="48">
        <f>Inputs!E136</f>
        <v>237124.88999999996</v>
      </c>
      <c r="D79" s="48">
        <f t="shared" si="9"/>
        <v>14538731.920000006</v>
      </c>
      <c r="E79" s="48">
        <f>Inputs!AE136</f>
        <v>190188.46999999997</v>
      </c>
      <c r="F79" s="48">
        <v>2149731.92</v>
      </c>
      <c r="G79" s="48">
        <f t="shared" si="12"/>
        <v>12198811.530000005</v>
      </c>
      <c r="H79" s="56">
        <v>159.125</v>
      </c>
      <c r="I79" s="56">
        <v>18.412500000000001</v>
      </c>
      <c r="J79" s="48">
        <v>31</v>
      </c>
      <c r="K79" s="110">
        <v>1</v>
      </c>
      <c r="L79" s="48">
        <f>Inputs!G136+Inputs!I136+Inputs!L136+Inputs!O136+Inputs!R136+Inputs!AA136</f>
        <v>8119</v>
      </c>
      <c r="M79" s="48">
        <v>0</v>
      </c>
      <c r="N79" s="48">
        <f t="shared" si="13"/>
        <v>12524056.458286384</v>
      </c>
      <c r="O79" s="32">
        <f t="shared" si="14"/>
        <v>325244.9282863792</v>
      </c>
      <c r="P79" s="41">
        <f t="shared" si="15"/>
        <v>2.6662017647089517E-2</v>
      </c>
      <c r="Q79" s="12">
        <f t="shared" si="10"/>
        <v>2.6662017647089517E-2</v>
      </c>
      <c r="R79" s="134">
        <f t="shared" si="11"/>
        <v>105784263376.01195</v>
      </c>
      <c r="S79" s="134">
        <f t="shared" si="16"/>
        <v>-367539.38808286376</v>
      </c>
      <c r="T79" s="134">
        <f t="shared" si="17"/>
        <v>135085201792.32594</v>
      </c>
    </row>
    <row r="80" spans="1:20" x14ac:dyDescent="0.2">
      <c r="A80" s="47">
        <v>44742</v>
      </c>
      <c r="B80" s="48">
        <f>Inputs!D137</f>
        <v>15576117.430000002</v>
      </c>
      <c r="C80" s="48">
        <f>Inputs!E137</f>
        <v>248877.21999999997</v>
      </c>
      <c r="D80" s="48">
        <f t="shared" si="9"/>
        <v>15824994.650000002</v>
      </c>
      <c r="E80" s="48">
        <f>Inputs!AE137</f>
        <v>186475.58000000002</v>
      </c>
      <c r="F80" s="48">
        <v>2378714.67</v>
      </c>
      <c r="G80" s="48">
        <f t="shared" si="12"/>
        <v>13259804.400000002</v>
      </c>
      <c r="H80" s="56">
        <v>33.324999999999996</v>
      </c>
      <c r="I80" s="56">
        <v>50.612499999999997</v>
      </c>
      <c r="J80" s="48">
        <v>30</v>
      </c>
      <c r="K80" s="110">
        <v>0</v>
      </c>
      <c r="L80" s="48">
        <f>Inputs!G137+Inputs!I137+Inputs!L137+Inputs!O137+Inputs!R137+Inputs!AA137</f>
        <v>8166</v>
      </c>
      <c r="M80" s="48">
        <v>0</v>
      </c>
      <c r="N80" s="48">
        <f t="shared" si="13"/>
        <v>13458146.024382973</v>
      </c>
      <c r="O80" s="32">
        <f t="shared" si="14"/>
        <v>198341.62438297085</v>
      </c>
      <c r="P80" s="41">
        <f t="shared" si="15"/>
        <v>1.4958110874016424E-2</v>
      </c>
      <c r="Q80" s="12">
        <f t="shared" si="10"/>
        <v>1.4958110874016424E-2</v>
      </c>
      <c r="R80" s="134">
        <f t="shared" si="11"/>
        <v>39339399962.875496</v>
      </c>
      <c r="S80" s="134">
        <f t="shared" si="16"/>
        <v>-126903.30390340835</v>
      </c>
      <c r="T80" s="134">
        <f t="shared" si="17"/>
        <v>16104448541.600817</v>
      </c>
    </row>
    <row r="81" spans="1:20" x14ac:dyDescent="0.2">
      <c r="A81" s="47">
        <v>44773</v>
      </c>
      <c r="B81" s="48">
        <f>Inputs!D138</f>
        <v>17012436.870000001</v>
      </c>
      <c r="C81" s="48">
        <f>Inputs!E138</f>
        <v>229151.86</v>
      </c>
      <c r="D81" s="48">
        <f t="shared" si="9"/>
        <v>17241588.73</v>
      </c>
      <c r="E81" s="48">
        <f>Inputs!AE138</f>
        <v>188489.26</v>
      </c>
      <c r="F81" s="48">
        <v>2333898.79</v>
      </c>
      <c r="G81" s="48">
        <f t="shared" si="12"/>
        <v>14719200.68</v>
      </c>
      <c r="H81" s="56">
        <v>2.2625000000000002</v>
      </c>
      <c r="I81" s="56">
        <v>100.26249999999999</v>
      </c>
      <c r="J81" s="48">
        <v>31</v>
      </c>
      <c r="K81" s="110">
        <v>0</v>
      </c>
      <c r="L81" s="48">
        <f>Inputs!G138+Inputs!I138+Inputs!L138+Inputs!O138+Inputs!R138+Inputs!AA138</f>
        <v>8192</v>
      </c>
      <c r="M81" s="48">
        <v>0</v>
      </c>
      <c r="N81" s="48">
        <f t="shared" si="13"/>
        <v>15205037.085626498</v>
      </c>
      <c r="O81" s="32">
        <f t="shared" si="14"/>
        <v>485836.40562649816</v>
      </c>
      <c r="P81" s="41">
        <f t="shared" si="15"/>
        <v>3.3006982932615211E-2</v>
      </c>
      <c r="Q81" s="12">
        <f t="shared" si="10"/>
        <v>3.3006982932615211E-2</v>
      </c>
      <c r="R81" s="134">
        <f t="shared" si="11"/>
        <v>236037013032.07526</v>
      </c>
      <c r="S81" s="134">
        <f t="shared" si="16"/>
        <v>287494.78124352731</v>
      </c>
      <c r="T81" s="134">
        <f t="shared" si="17"/>
        <v>82653249242.263626</v>
      </c>
    </row>
    <row r="82" spans="1:20" x14ac:dyDescent="0.2">
      <c r="A82" s="47">
        <v>44804</v>
      </c>
      <c r="B82" s="48">
        <f>Inputs!D139</f>
        <v>17747489.990000002</v>
      </c>
      <c r="C82" s="48">
        <f>Inputs!E139</f>
        <v>216120.18</v>
      </c>
      <c r="D82" s="48">
        <f t="shared" si="9"/>
        <v>17963610.170000002</v>
      </c>
      <c r="E82" s="48">
        <f>Inputs!AE139</f>
        <v>201468.34999999998</v>
      </c>
      <c r="F82" s="48">
        <v>2759316.12</v>
      </c>
      <c r="G82" s="48">
        <f t="shared" si="12"/>
        <v>15002825.699999999</v>
      </c>
      <c r="H82" s="56">
        <v>8.6000000000000014</v>
      </c>
      <c r="I82" s="56">
        <v>79.587499999999991</v>
      </c>
      <c r="J82" s="48">
        <v>31</v>
      </c>
      <c r="K82" s="110">
        <v>0</v>
      </c>
      <c r="L82" s="48">
        <f>Inputs!G139+Inputs!I139+Inputs!L139+Inputs!O139+Inputs!R139+Inputs!AA139</f>
        <v>8221</v>
      </c>
      <c r="M82" s="48">
        <v>0</v>
      </c>
      <c r="N82" s="48">
        <f t="shared" si="13"/>
        <v>14698809.594749404</v>
      </c>
      <c r="O82" s="32">
        <f t="shared" si="14"/>
        <v>-304016.10525059514</v>
      </c>
      <c r="P82" s="41">
        <f t="shared" si="15"/>
        <v>-2.0263923032218866E-2</v>
      </c>
      <c r="Q82" s="12">
        <f t="shared" si="10"/>
        <v>2.0263923032218866E-2</v>
      </c>
      <c r="R82" s="134">
        <f t="shared" si="11"/>
        <v>92425792251.740936</v>
      </c>
      <c r="S82" s="134">
        <f t="shared" si="16"/>
        <v>-789852.5108770933</v>
      </c>
      <c r="T82" s="134">
        <f t="shared" si="17"/>
        <v>623866988938.84875</v>
      </c>
    </row>
    <row r="83" spans="1:20" x14ac:dyDescent="0.2">
      <c r="A83" s="47">
        <v>44834</v>
      </c>
      <c r="B83" s="48">
        <f>Inputs!D140</f>
        <v>14825218.609999998</v>
      </c>
      <c r="C83" s="48">
        <f>Inputs!E140</f>
        <v>177422.69</v>
      </c>
      <c r="D83" s="48">
        <f t="shared" si="9"/>
        <v>15002641.299999997</v>
      </c>
      <c r="E83" s="48">
        <f>Inputs!AE140</f>
        <v>184986.37</v>
      </c>
      <c r="F83" s="48">
        <v>2284987.33</v>
      </c>
      <c r="G83" s="48">
        <f t="shared" si="12"/>
        <v>12532667.599999998</v>
      </c>
      <c r="H83" s="56">
        <v>62.674999999999983</v>
      </c>
      <c r="I83" s="56">
        <v>31.699999999999996</v>
      </c>
      <c r="J83" s="48">
        <v>30</v>
      </c>
      <c r="K83" s="110">
        <v>1</v>
      </c>
      <c r="L83" s="48">
        <f>Inputs!G140+Inputs!I140+Inputs!L140+Inputs!O140+Inputs!R140+Inputs!AA140</f>
        <v>8244</v>
      </c>
      <c r="M83" s="48">
        <v>0</v>
      </c>
      <c r="N83" s="48">
        <f t="shared" si="13"/>
        <v>12633027.036629356</v>
      </c>
      <c r="O83" s="32">
        <f t="shared" si="14"/>
        <v>100359.43662935868</v>
      </c>
      <c r="P83" s="41">
        <f t="shared" si="15"/>
        <v>8.0078272106537552E-3</v>
      </c>
      <c r="Q83" s="12">
        <f t="shared" si="10"/>
        <v>8.0078272106537552E-3</v>
      </c>
      <c r="R83" s="134">
        <f t="shared" si="11"/>
        <v>10072016520.56226</v>
      </c>
      <c r="S83" s="134">
        <f t="shared" si="16"/>
        <v>404375.54187995382</v>
      </c>
      <c r="T83" s="134">
        <f t="shared" si="17"/>
        <v>163519578870.70627</v>
      </c>
    </row>
    <row r="84" spans="1:20" x14ac:dyDescent="0.2">
      <c r="A84" s="47">
        <v>44865</v>
      </c>
      <c r="B84" s="48">
        <f>Inputs!D141</f>
        <v>13962206.960000001</v>
      </c>
      <c r="C84" s="48">
        <f>Inputs!E141</f>
        <v>150969.89999999997</v>
      </c>
      <c r="D84" s="48">
        <f t="shared" si="9"/>
        <v>14113176.860000001</v>
      </c>
      <c r="E84" s="48">
        <f>Inputs!AE141</f>
        <v>203934.89</v>
      </c>
      <c r="F84" s="48">
        <v>2142061.7199999997</v>
      </c>
      <c r="G84" s="48">
        <f t="shared" si="12"/>
        <v>11767180.25</v>
      </c>
      <c r="H84" s="56">
        <v>229.3125</v>
      </c>
      <c r="I84" s="56">
        <v>5.1125000000000007</v>
      </c>
      <c r="J84" s="48">
        <v>31</v>
      </c>
      <c r="K84" s="110">
        <v>1</v>
      </c>
      <c r="L84" s="48">
        <f>Inputs!G141+Inputs!I141+Inputs!L141+Inputs!O141+Inputs!R141+Inputs!AA141</f>
        <v>8288</v>
      </c>
      <c r="M84" s="48">
        <v>0</v>
      </c>
      <c r="N84" s="48">
        <f t="shared" si="13"/>
        <v>12611448.452243496</v>
      </c>
      <c r="O84" s="32">
        <f t="shared" si="14"/>
        <v>844268.20224349573</v>
      </c>
      <c r="P84" s="41">
        <f t="shared" si="15"/>
        <v>7.1747707123250348E-2</v>
      </c>
      <c r="Q84" s="12">
        <f t="shared" si="10"/>
        <v>7.1747707123250348E-2</v>
      </c>
      <c r="R84" s="134">
        <f t="shared" si="11"/>
        <v>712788797319.46423</v>
      </c>
      <c r="S84" s="134">
        <f t="shared" si="16"/>
        <v>743908.76561413705</v>
      </c>
      <c r="T84" s="134">
        <f t="shared" si="17"/>
        <v>553400251557.54907</v>
      </c>
    </row>
    <row r="85" spans="1:20" x14ac:dyDescent="0.2">
      <c r="A85" s="47">
        <v>44895</v>
      </c>
      <c r="B85" s="48">
        <f>Inputs!D142</f>
        <v>14546118.099999998</v>
      </c>
      <c r="C85" s="48">
        <f>Inputs!E142</f>
        <v>89129.83</v>
      </c>
      <c r="D85" s="48">
        <f t="shared" si="9"/>
        <v>14635247.929999998</v>
      </c>
      <c r="E85" s="48">
        <f>Inputs!AE142</f>
        <v>227343.93</v>
      </c>
      <c r="F85" s="48">
        <v>2384245.9500000002</v>
      </c>
      <c r="G85" s="48">
        <f t="shared" si="12"/>
        <v>12023658.049999997</v>
      </c>
      <c r="H85" s="56">
        <v>439.67500000000001</v>
      </c>
      <c r="I85" s="56">
        <v>0.05</v>
      </c>
      <c r="J85" s="48">
        <v>30</v>
      </c>
      <c r="K85" s="110">
        <v>0</v>
      </c>
      <c r="L85" s="48">
        <f>Inputs!G142+Inputs!I142+Inputs!L142+Inputs!O142+Inputs!R142+Inputs!AA142</f>
        <v>8301</v>
      </c>
      <c r="M85" s="48">
        <v>0</v>
      </c>
      <c r="N85" s="48">
        <f t="shared" si="13"/>
        <v>12978205.975171279</v>
      </c>
      <c r="O85" s="32">
        <f t="shared" si="14"/>
        <v>954547.92517128214</v>
      </c>
      <c r="P85" s="41">
        <f t="shared" si="15"/>
        <v>7.9389144401963624E-2</v>
      </c>
      <c r="Q85" s="12">
        <f t="shared" si="10"/>
        <v>7.9389144401963624E-2</v>
      </c>
      <c r="R85" s="134">
        <f t="shared" si="11"/>
        <v>911161741448.79968</v>
      </c>
      <c r="S85" s="134">
        <f t="shared" si="16"/>
        <v>110279.72292778641</v>
      </c>
      <c r="T85" s="134">
        <f t="shared" si="17"/>
        <v>12161617289.029339</v>
      </c>
    </row>
    <row r="86" spans="1:20" x14ac:dyDescent="0.2">
      <c r="A86" s="47">
        <v>44926</v>
      </c>
      <c r="B86" s="48">
        <f>Inputs!D143</f>
        <v>15060786.930000003</v>
      </c>
      <c r="C86" s="48">
        <f>Inputs!E143</f>
        <v>37383.910000000003</v>
      </c>
      <c r="D86" s="48">
        <f t="shared" si="9"/>
        <v>15098170.840000004</v>
      </c>
      <c r="E86" s="48">
        <f>Inputs!AE143</f>
        <v>219977.99</v>
      </c>
      <c r="F86" s="48">
        <v>2024507.74</v>
      </c>
      <c r="G86" s="48">
        <f t="shared" si="12"/>
        <v>12853685.110000003</v>
      </c>
      <c r="H86" s="56">
        <v>573.38750000000005</v>
      </c>
      <c r="I86" s="56">
        <v>0</v>
      </c>
      <c r="J86" s="48">
        <v>31</v>
      </c>
      <c r="K86" s="110">
        <v>0</v>
      </c>
      <c r="L86" s="48">
        <f>Inputs!G143+Inputs!I143+Inputs!L143+Inputs!O143+Inputs!R143+Inputs!AA143</f>
        <v>8315</v>
      </c>
      <c r="M86" s="48">
        <v>0</v>
      </c>
      <c r="N86" s="48">
        <f t="shared" si="13"/>
        <v>13581359.707578944</v>
      </c>
      <c r="O86" s="32">
        <f t="shared" si="14"/>
        <v>727674.59757894091</v>
      </c>
      <c r="P86" s="41">
        <f t="shared" si="15"/>
        <v>5.6612138180732262E-2</v>
      </c>
      <c r="Q86" s="12">
        <f t="shared" si="10"/>
        <v>5.6612138180732262E-2</v>
      </c>
      <c r="R86" s="134">
        <f t="shared" si="11"/>
        <v>529510319961.67358</v>
      </c>
      <c r="S86" s="134">
        <f t="shared" si="16"/>
        <v>-226873.32759234123</v>
      </c>
      <c r="T86" s="134">
        <f t="shared" si="17"/>
        <v>51471506772.821777</v>
      </c>
    </row>
    <row r="87" spans="1:20" x14ac:dyDescent="0.2">
      <c r="A87" s="47">
        <v>44957</v>
      </c>
      <c r="B87" s="48">
        <f>Inputs!D144</f>
        <v>15764179.122748416</v>
      </c>
      <c r="C87" s="48">
        <f>Inputs!E144</f>
        <v>27611.989999999998</v>
      </c>
      <c r="D87" s="48">
        <f t="shared" si="9"/>
        <v>15791791.112748416</v>
      </c>
      <c r="E87" s="48">
        <v>0</v>
      </c>
      <c r="F87" s="56">
        <f>F75*(P$123/P$122)</f>
        <v>2144595.380587332</v>
      </c>
      <c r="G87" s="48">
        <f t="shared" si="12"/>
        <v>13647195.732161084</v>
      </c>
      <c r="H87" s="56">
        <v>679.58749999999998</v>
      </c>
      <c r="I87" s="56">
        <v>0</v>
      </c>
      <c r="J87" s="93">
        <v>31</v>
      </c>
      <c r="K87" s="111">
        <v>0</v>
      </c>
      <c r="L87" s="48">
        <f>'Rate Class Customer Model'!Q12</f>
        <v>8322.054935186803</v>
      </c>
      <c r="M87" s="48">
        <v>0</v>
      </c>
      <c r="N87" s="48">
        <f t="shared" si="13"/>
        <v>13766199.183357375</v>
      </c>
      <c r="O87" s="32"/>
      <c r="Q87" s="5">
        <f>AVERAGE(Q3:Q86)</f>
        <v>3.7248836465267901E-2</v>
      </c>
      <c r="R87" s="134">
        <f>SUM(R3:R86)</f>
        <v>25004452739807.84</v>
      </c>
      <c r="S87" s="134"/>
      <c r="T87" s="134">
        <f>SUM(T4:T86)</f>
        <v>31098770295790.145</v>
      </c>
    </row>
    <row r="88" spans="1:20" x14ac:dyDescent="0.2">
      <c r="A88" s="47">
        <v>44985</v>
      </c>
      <c r="B88" s="48">
        <f>Inputs!D145</f>
        <v>14136641.043564996</v>
      </c>
      <c r="C88" s="48">
        <f>Inputs!E145</f>
        <v>64932.92</v>
      </c>
      <c r="D88" s="48">
        <f t="shared" si="9"/>
        <v>14201573.963564996</v>
      </c>
      <c r="E88" s="48">
        <v>0</v>
      </c>
      <c r="F88" s="56">
        <f t="shared" ref="F88:F98" si="18">F76*(P$123/P$122)</f>
        <v>1949804.1245481977</v>
      </c>
      <c r="G88" s="48">
        <f t="shared" si="12"/>
        <v>12251769.839016799</v>
      </c>
      <c r="H88" s="56">
        <v>599.76249999999993</v>
      </c>
      <c r="I88" s="56">
        <v>0</v>
      </c>
      <c r="J88" s="93">
        <v>28</v>
      </c>
      <c r="K88" s="111">
        <v>0</v>
      </c>
      <c r="L88" s="48">
        <f>'Rate Class Customer Model'!Q13</f>
        <v>8329.1158561956745</v>
      </c>
      <c r="M88" s="48">
        <v>0</v>
      </c>
      <c r="N88" s="48">
        <f t="shared" si="13"/>
        <v>12568386.336441074</v>
      </c>
      <c r="O88" s="32"/>
      <c r="R88" s="134"/>
      <c r="S88" s="134"/>
      <c r="T88" s="134"/>
    </row>
    <row r="89" spans="1:20" x14ac:dyDescent="0.2">
      <c r="A89" s="47">
        <v>45016</v>
      </c>
      <c r="B89" s="48">
        <f>Inputs!D146</f>
        <v>15486309.284900974</v>
      </c>
      <c r="C89" s="48">
        <f>Inputs!E146</f>
        <v>96594.64</v>
      </c>
      <c r="D89" s="48">
        <f t="shared" si="9"/>
        <v>15582903.924900975</v>
      </c>
      <c r="E89" s="48">
        <v>0</v>
      </c>
      <c r="F89" s="56">
        <f t="shared" si="18"/>
        <v>2101290.3386236187</v>
      </c>
      <c r="G89" s="48">
        <f t="shared" si="12"/>
        <v>13481613.586277356</v>
      </c>
      <c r="H89" s="56">
        <v>527.26250000000005</v>
      </c>
      <c r="I89" s="56">
        <v>0</v>
      </c>
      <c r="J89" s="93">
        <v>31</v>
      </c>
      <c r="K89" s="111">
        <v>1</v>
      </c>
      <c r="L89" s="48">
        <f>'Rate Class Customer Model'!Q14</f>
        <v>8336.1827681053364</v>
      </c>
      <c r="M89" s="48">
        <v>0</v>
      </c>
      <c r="N89" s="48">
        <f t="shared" si="13"/>
        <v>13045651.352717433</v>
      </c>
      <c r="O89" s="32"/>
      <c r="R89" s="134"/>
      <c r="S89" s="134"/>
      <c r="T89" s="134"/>
    </row>
    <row r="90" spans="1:20" x14ac:dyDescent="0.2">
      <c r="A90" s="47">
        <v>45046</v>
      </c>
      <c r="B90" s="48">
        <f>Inputs!D147</f>
        <v>13612691.13400103</v>
      </c>
      <c r="C90" s="48">
        <f>Inputs!E147</f>
        <v>169996.45</v>
      </c>
      <c r="D90" s="48">
        <f t="shared" si="9"/>
        <v>13782687.584001029</v>
      </c>
      <c r="E90" s="48">
        <v>0</v>
      </c>
      <c r="F90" s="56">
        <f t="shared" si="18"/>
        <v>1684193.8251267704</v>
      </c>
      <c r="G90" s="48">
        <f t="shared" si="12"/>
        <v>12098493.758874258</v>
      </c>
      <c r="H90" s="56">
        <v>349.3125</v>
      </c>
      <c r="I90" s="56">
        <v>0.32500000000000001</v>
      </c>
      <c r="J90" s="93">
        <v>30</v>
      </c>
      <c r="K90" s="111">
        <v>1</v>
      </c>
      <c r="L90" s="48">
        <f>'Rate Class Customer Model'!Q15</f>
        <v>8343.255675998822</v>
      </c>
      <c r="M90" s="48">
        <v>0</v>
      </c>
      <c r="N90" s="48">
        <f t="shared" si="13"/>
        <v>12422181.357894544</v>
      </c>
      <c r="O90" s="32"/>
      <c r="R90" s="134"/>
      <c r="S90" s="134"/>
      <c r="T90" s="134"/>
    </row>
    <row r="91" spans="1:20" x14ac:dyDescent="0.2">
      <c r="A91" s="47">
        <v>45077</v>
      </c>
      <c r="B91" s="48">
        <f>Inputs!D148</f>
        <v>14486939.494704532</v>
      </c>
      <c r="C91" s="48">
        <f>Inputs!E148</f>
        <v>244919.24000000002</v>
      </c>
      <c r="D91" s="48">
        <f t="shared" si="9"/>
        <v>14731858.734704532</v>
      </c>
      <c r="E91" s="48">
        <v>0</v>
      </c>
      <c r="F91" s="56">
        <f t="shared" si="18"/>
        <v>1704563.6249275978</v>
      </c>
      <c r="G91" s="48">
        <f t="shared" si="12"/>
        <v>13027295.109776935</v>
      </c>
      <c r="H91" s="56">
        <v>159.125</v>
      </c>
      <c r="I91" s="56">
        <v>18.412500000000001</v>
      </c>
      <c r="J91" s="93">
        <v>31</v>
      </c>
      <c r="K91" s="111">
        <v>1</v>
      </c>
      <c r="L91" s="48">
        <f>'Rate Class Customer Model'!Q16</f>
        <v>8350.334584963477</v>
      </c>
      <c r="M91" s="48">
        <v>0</v>
      </c>
      <c r="N91" s="48">
        <f t="shared" si="13"/>
        <v>12996350.183814941</v>
      </c>
      <c r="O91" s="32"/>
      <c r="R91" s="134"/>
      <c r="S91" s="134"/>
      <c r="T91" s="134"/>
    </row>
    <row r="92" spans="1:20" x14ac:dyDescent="0.2">
      <c r="A92" s="47">
        <v>45107</v>
      </c>
      <c r="B92" s="48">
        <f>Inputs!D149</f>
        <v>15530585.732628452</v>
      </c>
      <c r="C92" s="48">
        <f>Inputs!E149</f>
        <v>213886.78000000003</v>
      </c>
      <c r="D92" s="48">
        <f t="shared" si="9"/>
        <v>15744472.512628451</v>
      </c>
      <c r="E92" s="48">
        <v>0</v>
      </c>
      <c r="F92" s="56">
        <f t="shared" si="18"/>
        <v>1886128.4343601572</v>
      </c>
      <c r="G92" s="48">
        <f t="shared" si="12"/>
        <v>13858344.078268293</v>
      </c>
      <c r="H92" s="56">
        <v>33.324999999999996</v>
      </c>
      <c r="I92" s="56">
        <v>50.612499999999997</v>
      </c>
      <c r="J92" s="93">
        <v>30</v>
      </c>
      <c r="K92" s="111">
        <v>0</v>
      </c>
      <c r="L92" s="48">
        <f>'Rate Class Customer Model'!Q17</f>
        <v>8357.4195000909622</v>
      </c>
      <c r="M92" s="48">
        <v>0</v>
      </c>
      <c r="N92" s="48">
        <f t="shared" si="13"/>
        <v>13848948.933731994</v>
      </c>
      <c r="O92" s="32"/>
      <c r="R92" s="134"/>
      <c r="S92" s="134"/>
      <c r="T92" s="134"/>
    </row>
    <row r="93" spans="1:20" x14ac:dyDescent="0.2">
      <c r="A93" s="47">
        <v>45138</v>
      </c>
      <c r="B93" s="48">
        <f>Inputs!D150</f>
        <v>17054339.358404133</v>
      </c>
      <c r="C93" s="48">
        <f>Inputs!E150</f>
        <v>129654.62</v>
      </c>
      <c r="D93" s="48">
        <f t="shared" si="9"/>
        <v>17183993.978404135</v>
      </c>
      <c r="E93" s="48">
        <v>0</v>
      </c>
      <c r="F93" s="56">
        <f t="shared" si="18"/>
        <v>1850593.0645047755</v>
      </c>
      <c r="G93" s="48">
        <f t="shared" si="12"/>
        <v>15333400.913899358</v>
      </c>
      <c r="H93" s="56">
        <v>2.2625000000000002</v>
      </c>
      <c r="I93" s="56">
        <v>100.26249999999999</v>
      </c>
      <c r="J93" s="93">
        <v>31</v>
      </c>
      <c r="K93" s="111">
        <v>0</v>
      </c>
      <c r="L93" s="48">
        <f>'Rate Class Customer Model'!Q18</f>
        <v>8364.5104264772599</v>
      </c>
      <c r="M93" s="48">
        <v>0</v>
      </c>
      <c r="N93" s="48">
        <f t="shared" si="13"/>
        <v>15557235.145533226</v>
      </c>
      <c r="O93" s="32"/>
      <c r="P93"/>
      <c r="Q93"/>
      <c r="R93" s="134"/>
      <c r="S93" s="134"/>
      <c r="T93" s="134"/>
    </row>
    <row r="94" spans="1:20" x14ac:dyDescent="0.2">
      <c r="A94" s="47">
        <v>45169</v>
      </c>
      <c r="B94" s="48">
        <f>Inputs!D151</f>
        <v>16860898.505161364</v>
      </c>
      <c r="C94" s="48">
        <f>Inputs!E151</f>
        <v>178256.49</v>
      </c>
      <c r="D94" s="48">
        <f t="shared" si="9"/>
        <v>17039154.995161362</v>
      </c>
      <c r="E94" s="48">
        <v>0</v>
      </c>
      <c r="F94" s="56">
        <f t="shared" si="18"/>
        <v>2187914.6158039812</v>
      </c>
      <c r="G94" s="48">
        <f t="shared" si="12"/>
        <v>14851240.379357381</v>
      </c>
      <c r="H94" s="56">
        <v>8.6000000000000014</v>
      </c>
      <c r="I94" s="56">
        <v>79.587499999999991</v>
      </c>
      <c r="J94" s="93">
        <v>31</v>
      </c>
      <c r="K94" s="111">
        <v>0</v>
      </c>
      <c r="L94" s="48">
        <f>'Rate Class Customer Model'!Q19</f>
        <v>8371.6073692226764</v>
      </c>
      <c r="M94" s="48">
        <v>0</v>
      </c>
      <c r="N94" s="48">
        <f t="shared" si="13"/>
        <v>15006290.274793258</v>
      </c>
      <c r="O94" s="32"/>
      <c r="P94"/>
      <c r="Q94"/>
      <c r="R94" s="134"/>
      <c r="S94" s="134"/>
      <c r="T94" s="134"/>
    </row>
    <row r="95" spans="1:20" x14ac:dyDescent="0.2">
      <c r="A95" s="47">
        <v>45199</v>
      </c>
      <c r="B95" s="48">
        <f>Inputs!D152</f>
        <v>15223621.157050353</v>
      </c>
      <c r="C95" s="48">
        <f>Inputs!E152</f>
        <v>162634.43</v>
      </c>
      <c r="D95" s="48">
        <f t="shared" si="9"/>
        <v>15386255.587050352</v>
      </c>
      <c r="E95" s="48">
        <v>0</v>
      </c>
      <c r="F95" s="56">
        <f t="shared" si="18"/>
        <v>1811810.2308023754</v>
      </c>
      <c r="G95" s="48">
        <f t="shared" si="12"/>
        <v>13574445.356247976</v>
      </c>
      <c r="H95" s="56">
        <v>62.674999999999983</v>
      </c>
      <c r="I95" s="56">
        <v>31.699999999999996</v>
      </c>
      <c r="J95" s="93">
        <v>30</v>
      </c>
      <c r="K95" s="111">
        <v>1</v>
      </c>
      <c r="L95" s="48">
        <f>'Rate Class Customer Model'!Q20</f>
        <v>8378.7103334318454</v>
      </c>
      <c r="M95" s="48">
        <v>0</v>
      </c>
      <c r="N95" s="48">
        <f t="shared" si="13"/>
        <v>12908052.257150382</v>
      </c>
      <c r="O95" s="32"/>
      <c r="P95"/>
      <c r="Q95"/>
      <c r="R95" s="134"/>
      <c r="S95" s="134"/>
      <c r="T95" s="134"/>
    </row>
    <row r="96" spans="1:20" x14ac:dyDescent="0.2">
      <c r="A96" s="47">
        <v>45230</v>
      </c>
      <c r="B96" s="48">
        <f>Inputs!D153</f>
        <v>14832443.876044633</v>
      </c>
      <c r="C96" s="48">
        <f>Inputs!E153</f>
        <v>107189.81</v>
      </c>
      <c r="D96" s="48">
        <f t="shared" si="9"/>
        <v>14939633.686044633</v>
      </c>
      <c r="E96" s="48">
        <v>0</v>
      </c>
      <c r="F96" s="56">
        <f t="shared" si="18"/>
        <v>1698481.7763983542</v>
      </c>
      <c r="G96" s="48">
        <f t="shared" si="12"/>
        <v>13241151.90964628</v>
      </c>
      <c r="H96" s="56">
        <v>229.3125</v>
      </c>
      <c r="I96" s="56">
        <v>5.1125000000000007</v>
      </c>
      <c r="J96" s="93">
        <v>31</v>
      </c>
      <c r="K96" s="111">
        <v>1</v>
      </c>
      <c r="L96" s="48">
        <f>'Rate Class Customer Model'!Q21</f>
        <v>8385.8193242137295</v>
      </c>
      <c r="M96" s="48">
        <v>0</v>
      </c>
      <c r="N96" s="48">
        <f t="shared" si="13"/>
        <v>12811156.822995245</v>
      </c>
      <c r="O96" s="32"/>
      <c r="P96"/>
      <c r="Q96"/>
      <c r="R96" s="134"/>
      <c r="S96" s="134"/>
      <c r="T96" s="134"/>
    </row>
    <row r="97" spans="1:20" x14ac:dyDescent="0.2">
      <c r="A97" s="47">
        <v>45260</v>
      </c>
      <c r="B97" s="48">
        <f>Inputs!D154</f>
        <v>15091992.253819162</v>
      </c>
      <c r="C97" s="48">
        <f>Inputs!E154</f>
        <v>66484.479999999996</v>
      </c>
      <c r="D97" s="48">
        <f t="shared" si="9"/>
        <v>15158476.733819162</v>
      </c>
      <c r="E97" s="48">
        <v>0</v>
      </c>
      <c r="F97" s="56">
        <f t="shared" si="18"/>
        <v>1890514.292242981</v>
      </c>
      <c r="G97" s="48">
        <f t="shared" si="12"/>
        <v>13267962.441576181</v>
      </c>
      <c r="H97" s="56">
        <v>439.67500000000001</v>
      </c>
      <c r="I97" s="56">
        <v>0.05</v>
      </c>
      <c r="J97" s="93">
        <v>30</v>
      </c>
      <c r="K97" s="111">
        <v>0</v>
      </c>
      <c r="L97" s="48">
        <f>'Rate Class Customer Model'!Q22</f>
        <v>8392.9343466816281</v>
      </c>
      <c r="M97" s="48">
        <v>0</v>
      </c>
      <c r="N97" s="48">
        <f t="shared" si="13"/>
        <v>13165899.549416371</v>
      </c>
      <c r="O97" s="32"/>
      <c r="P97"/>
      <c r="Q97"/>
      <c r="R97" s="134"/>
      <c r="S97" s="134"/>
      <c r="T97" s="134"/>
    </row>
    <row r="98" spans="1:20" x14ac:dyDescent="0.2">
      <c r="A98" s="47">
        <v>45291</v>
      </c>
      <c r="B98" s="48">
        <f>Inputs!D155</f>
        <v>14764998.982675916</v>
      </c>
      <c r="C98" s="48">
        <f>Inputs!E155</f>
        <v>34488.400000000001</v>
      </c>
      <c r="D98" s="48">
        <f t="shared" si="9"/>
        <v>14799487.382675916</v>
      </c>
      <c r="E98" s="48">
        <v>0</v>
      </c>
      <c r="F98" s="56">
        <f t="shared" si="18"/>
        <v>1605270.9735027701</v>
      </c>
      <c r="G98" s="48">
        <f t="shared" si="12"/>
        <v>13194216.409173146</v>
      </c>
      <c r="H98" s="56">
        <v>573.38750000000005</v>
      </c>
      <c r="I98" s="56">
        <v>0</v>
      </c>
      <c r="J98" s="93">
        <v>31</v>
      </c>
      <c r="K98" s="111">
        <v>0</v>
      </c>
      <c r="L98" s="48">
        <f>'Rate Class Customer Model'!Q23</f>
        <v>8406</v>
      </c>
      <c r="M98" s="48">
        <v>0</v>
      </c>
      <c r="N98" s="48">
        <f t="shared" si="13"/>
        <v>13767145.715450978</v>
      </c>
      <c r="O98" s="32"/>
      <c r="P98"/>
      <c r="Q98"/>
      <c r="R98" s="134"/>
      <c r="S98" s="134"/>
      <c r="T98" s="134"/>
    </row>
    <row r="99" spans="1:20" x14ac:dyDescent="0.2">
      <c r="A99" s="47">
        <v>45322</v>
      </c>
      <c r="B99" s="48">
        <f>Inputs!D156</f>
        <v>16534102.110555433</v>
      </c>
      <c r="C99" s="48">
        <f>Inputs!E156</f>
        <v>27221.46</v>
      </c>
      <c r="D99" s="48">
        <f t="shared" si="9"/>
        <v>16561323.570555434</v>
      </c>
      <c r="E99" s="48">
        <v>0</v>
      </c>
      <c r="F99" s="56">
        <f>F87*(P$124/P$123)</f>
        <v>1768986.5368589219</v>
      </c>
      <c r="G99" s="48">
        <f t="shared" si="12"/>
        <v>14792337.033696512</v>
      </c>
      <c r="H99" s="56">
        <v>679.58749999999998</v>
      </c>
      <c r="I99" s="56">
        <v>0</v>
      </c>
      <c r="J99" s="93">
        <v>31</v>
      </c>
      <c r="K99" s="111">
        <v>0</v>
      </c>
      <c r="L99" s="48">
        <f>'Rate Class Customer Model'!R12</f>
        <v>8436</v>
      </c>
      <c r="M99" s="48">
        <v>0</v>
      </c>
      <c r="N99" s="48">
        <f t="shared" si="13"/>
        <v>13998829.938394343</v>
      </c>
      <c r="O99" s="32"/>
      <c r="P99"/>
      <c r="Q99"/>
      <c r="R99" s="134"/>
      <c r="S99" s="134"/>
      <c r="T99" s="134"/>
    </row>
    <row r="100" spans="1:20" x14ac:dyDescent="0.2">
      <c r="A100" s="47">
        <v>45351</v>
      </c>
      <c r="B100" s="48">
        <f>Inputs!D157</f>
        <v>14760437.733178187</v>
      </c>
      <c r="C100" s="48">
        <f>Inputs!E157</f>
        <v>93645.29</v>
      </c>
      <c r="D100" s="48">
        <f t="shared" si="9"/>
        <v>14854083.023178186</v>
      </c>
      <c r="E100" s="48">
        <v>0</v>
      </c>
      <c r="F100" s="56">
        <f t="shared" ref="F100:F104" si="19">F88*(P$124/P$123)</f>
        <v>1608311.4218464582</v>
      </c>
      <c r="G100" s="48">
        <f t="shared" si="12"/>
        <v>13245771.601331728</v>
      </c>
      <c r="H100" s="56">
        <v>599.76249999999993</v>
      </c>
      <c r="I100" s="56">
        <v>0</v>
      </c>
      <c r="J100" s="93">
        <v>29</v>
      </c>
      <c r="K100" s="111">
        <v>0</v>
      </c>
      <c r="L100" s="48">
        <f>'Rate Class Customer Model'!R13</f>
        <v>8440</v>
      </c>
      <c r="M100" s="48">
        <v>0</v>
      </c>
      <c r="N100" s="48">
        <f t="shared" si="13"/>
        <v>13156141.414129451</v>
      </c>
      <c r="O100" s="32"/>
      <c r="P100"/>
      <c r="Q100"/>
      <c r="R100" s="134"/>
      <c r="S100" s="134"/>
      <c r="T100" s="134"/>
    </row>
    <row r="101" spans="1:20" x14ac:dyDescent="0.2">
      <c r="A101" s="47">
        <v>45382</v>
      </c>
      <c r="B101" s="48">
        <f>Inputs!D158</f>
        <v>15024470.071688553</v>
      </c>
      <c r="C101" s="48">
        <f>Inputs!E158</f>
        <v>129827.51</v>
      </c>
      <c r="D101" s="48">
        <f t="shared" si="9"/>
        <v>15154297.581688553</v>
      </c>
      <c r="E101" s="48">
        <v>0</v>
      </c>
      <c r="F101" s="56">
        <f t="shared" si="19"/>
        <v>1733266.0289694851</v>
      </c>
      <c r="G101" s="48">
        <f t="shared" si="12"/>
        <v>13421031.552719068</v>
      </c>
      <c r="H101" s="56">
        <v>527.26250000000005</v>
      </c>
      <c r="I101" s="56">
        <v>0</v>
      </c>
      <c r="J101" s="93">
        <v>31</v>
      </c>
      <c r="K101" s="111">
        <v>1</v>
      </c>
      <c r="L101" s="48">
        <f>'Rate Class Customer Model'!R14</f>
        <v>8442</v>
      </c>
      <c r="M101" s="48">
        <v>0</v>
      </c>
      <c r="N101" s="48">
        <f t="shared" si="13"/>
        <v>13261688.287638079</v>
      </c>
      <c r="O101" s="32"/>
      <c r="P101"/>
      <c r="Q101"/>
      <c r="R101" s="134"/>
      <c r="S101" s="134"/>
      <c r="T101" s="134"/>
    </row>
    <row r="102" spans="1:20" x14ac:dyDescent="0.2">
      <c r="A102" s="47">
        <v>45412</v>
      </c>
      <c r="B102" s="48">
        <f>Inputs!D159</f>
        <v>14291771.432481281</v>
      </c>
      <c r="C102" s="48">
        <f>Inputs!E159</f>
        <v>126561.07</v>
      </c>
      <c r="D102" s="48">
        <f t="shared" si="9"/>
        <v>14418332.502481282</v>
      </c>
      <c r="E102" s="48">
        <v>0</v>
      </c>
      <c r="F102" s="56">
        <f t="shared" si="19"/>
        <v>1389220.6562965983</v>
      </c>
      <c r="G102" s="48">
        <f t="shared" si="12"/>
        <v>13029111.846184684</v>
      </c>
      <c r="H102" s="56">
        <v>349.3125</v>
      </c>
      <c r="I102" s="56">
        <v>0.32500000000000001</v>
      </c>
      <c r="J102" s="93">
        <v>30</v>
      </c>
      <c r="K102" s="111">
        <v>1</v>
      </c>
      <c r="L102" s="48">
        <f>'Rate Class Customer Model'!R15</f>
        <v>8446</v>
      </c>
      <c r="M102" s="48">
        <v>0</v>
      </c>
      <c r="N102" s="48">
        <f t="shared" si="13"/>
        <v>12631944.630286738</v>
      </c>
      <c r="O102" s="32"/>
      <c r="P102"/>
      <c r="Q102"/>
      <c r="R102" s="134"/>
      <c r="S102" s="134"/>
      <c r="T102" s="134"/>
    </row>
    <row r="103" spans="1:20" x14ac:dyDescent="0.2">
      <c r="A103" s="47">
        <v>45443</v>
      </c>
      <c r="B103" s="48">
        <f>Inputs!D160</f>
        <v>15158175.05241408</v>
      </c>
      <c r="C103" s="48">
        <f>Inputs!E160</f>
        <v>184786.31</v>
      </c>
      <c r="D103" s="48">
        <f t="shared" si="9"/>
        <v>15342961.362414081</v>
      </c>
      <c r="E103" s="48">
        <v>0</v>
      </c>
      <c r="F103" s="56">
        <f t="shared" si="19"/>
        <v>1406022.8474848992</v>
      </c>
      <c r="G103" s="48">
        <f t="shared" si="12"/>
        <v>13936938.514929181</v>
      </c>
      <c r="H103" s="56">
        <v>159.125</v>
      </c>
      <c r="I103" s="56">
        <v>18.412500000000001</v>
      </c>
      <c r="J103" s="93">
        <v>31</v>
      </c>
      <c r="K103" s="111">
        <v>1</v>
      </c>
      <c r="L103" s="48">
        <f>'Rate Class Customer Model'!R16</f>
        <v>8456</v>
      </c>
      <c r="M103" s="48">
        <v>0</v>
      </c>
      <c r="N103" s="48">
        <f t="shared" si="13"/>
        <v>13212077.168757549</v>
      </c>
      <c r="O103" s="32"/>
      <c r="P103"/>
      <c r="Q103"/>
      <c r="R103" s="134"/>
      <c r="S103" s="134"/>
      <c r="T103" s="134"/>
    </row>
    <row r="104" spans="1:20" x14ac:dyDescent="0.2">
      <c r="A104" s="47">
        <v>45473</v>
      </c>
      <c r="B104" s="48">
        <f>Inputs!D161</f>
        <v>16328490.095426783</v>
      </c>
      <c r="C104" s="48">
        <f>Inputs!E161</f>
        <v>204911.08</v>
      </c>
      <c r="D104" s="48">
        <f t="shared" si="9"/>
        <v>16533401.175426783</v>
      </c>
      <c r="E104" s="48">
        <v>0</v>
      </c>
      <c r="F104" s="56">
        <f t="shared" si="19"/>
        <v>1555788.0229398569</v>
      </c>
      <c r="G104" s="48">
        <f t="shared" si="12"/>
        <v>14977613.152486926</v>
      </c>
      <c r="H104" s="56">
        <v>33.324999999999996</v>
      </c>
      <c r="I104" s="56">
        <v>50.612499999999997</v>
      </c>
      <c r="J104" s="93">
        <v>30</v>
      </c>
      <c r="K104" s="111">
        <v>0</v>
      </c>
      <c r="L104" s="48">
        <f>'Rate Class Customer Model'!R17</f>
        <v>8480</v>
      </c>
      <c r="M104" s="48">
        <v>0</v>
      </c>
      <c r="N104" s="48">
        <f t="shared" si="13"/>
        <v>14099209.831765601</v>
      </c>
      <c r="O104" s="32"/>
      <c r="P104"/>
      <c r="Q104"/>
      <c r="R104" s="134"/>
      <c r="S104" s="134"/>
      <c r="T104" s="134"/>
    </row>
    <row r="105" spans="1:20" x14ac:dyDescent="0.2">
      <c r="A105" s="47">
        <v>45504</v>
      </c>
      <c r="B105" s="48"/>
      <c r="C105" s="48"/>
      <c r="D105" s="48"/>
      <c r="E105" s="48"/>
      <c r="F105" s="48"/>
      <c r="G105" s="48"/>
      <c r="H105" s="56">
        <v>2.2625000000000002</v>
      </c>
      <c r="I105" s="56">
        <v>100.26249999999999</v>
      </c>
      <c r="J105" s="93">
        <v>31</v>
      </c>
      <c r="K105" s="111">
        <v>0</v>
      </c>
      <c r="L105" s="96">
        <f>'Rate Class Customer Model'!R18</f>
        <v>8492.5406045191612</v>
      </c>
      <c r="M105" s="48">
        <v>0</v>
      </c>
      <c r="N105" s="48">
        <f t="shared" si="13"/>
        <v>15818622.130868953</v>
      </c>
      <c r="O105" s="32"/>
      <c r="P105"/>
      <c r="Q105"/>
      <c r="R105" s="134"/>
      <c r="S105" s="134"/>
      <c r="T105" s="134"/>
    </row>
    <row r="106" spans="1:20" x14ac:dyDescent="0.2">
      <c r="A106" s="47">
        <v>45535</v>
      </c>
      <c r="B106" s="48"/>
      <c r="C106" s="48"/>
      <c r="D106" s="48"/>
      <c r="E106" s="48"/>
      <c r="F106" s="48"/>
      <c r="G106" s="48"/>
      <c r="H106" s="56">
        <v>8.6000000000000014</v>
      </c>
      <c r="I106" s="56">
        <v>79.587499999999991</v>
      </c>
      <c r="J106" s="93">
        <v>31</v>
      </c>
      <c r="K106" s="111">
        <v>0</v>
      </c>
      <c r="L106" s="96">
        <f>'Rate Class Customer Model'!R19</f>
        <v>8505.0997546470153</v>
      </c>
      <c r="M106" s="48">
        <v>0</v>
      </c>
      <c r="N106" s="48">
        <f t="shared" si="13"/>
        <v>15278828.92720318</v>
      </c>
      <c r="O106" s="32"/>
      <c r="P106"/>
      <c r="Q106"/>
      <c r="R106" s="134"/>
      <c r="S106" s="134"/>
      <c r="T106" s="134"/>
    </row>
    <row r="107" spans="1:20" x14ac:dyDescent="0.2">
      <c r="A107" s="47">
        <v>45565</v>
      </c>
      <c r="B107" s="48"/>
      <c r="C107" s="48"/>
      <c r="D107" s="48"/>
      <c r="E107" s="48"/>
      <c r="F107" s="48"/>
      <c r="G107" s="48"/>
      <c r="H107" s="56">
        <v>62.674999999999983</v>
      </c>
      <c r="I107" s="56">
        <v>31.699999999999996</v>
      </c>
      <c r="J107" s="93">
        <v>30</v>
      </c>
      <c r="K107" s="111">
        <v>1</v>
      </c>
      <c r="L107" s="96">
        <f>'Rate Class Customer Model'!R20</f>
        <v>8517.6774778096387</v>
      </c>
      <c r="M107" s="48">
        <v>0</v>
      </c>
      <c r="N107" s="48">
        <f t="shared" si="13"/>
        <v>13191768.201978151</v>
      </c>
      <c r="O107" s="32"/>
      <c r="P107"/>
      <c r="Q107"/>
      <c r="R107" s="134"/>
      <c r="S107" s="134"/>
      <c r="T107" s="134"/>
    </row>
    <row r="108" spans="1:20" x14ac:dyDescent="0.2">
      <c r="A108" s="47">
        <v>45596</v>
      </c>
      <c r="B108" s="48"/>
      <c r="C108" s="48"/>
      <c r="D108" s="48"/>
      <c r="E108" s="48"/>
      <c r="F108" s="48"/>
      <c r="G108" s="48"/>
      <c r="H108" s="56">
        <v>229.3125</v>
      </c>
      <c r="I108" s="56">
        <v>5.1125000000000007</v>
      </c>
      <c r="J108" s="93">
        <v>31</v>
      </c>
      <c r="K108" s="111">
        <v>1</v>
      </c>
      <c r="L108" s="96">
        <f>'Rate Class Customer Model'!R21</f>
        <v>8530.2738014736697</v>
      </c>
      <c r="M108" s="48">
        <v>0</v>
      </c>
      <c r="N108" s="48">
        <f t="shared" si="13"/>
        <v>13106075.731230035</v>
      </c>
      <c r="O108" s="32"/>
      <c r="P108"/>
      <c r="Q108"/>
      <c r="R108" s="134"/>
      <c r="S108" s="134"/>
      <c r="T108" s="134"/>
    </row>
    <row r="109" spans="1:20" x14ac:dyDescent="0.2">
      <c r="A109" s="47">
        <v>45626</v>
      </c>
      <c r="B109" s="48"/>
      <c r="C109" s="48"/>
      <c r="D109" s="48"/>
      <c r="E109" s="48"/>
      <c r="F109" s="48"/>
      <c r="G109" s="48"/>
      <c r="H109" s="56">
        <v>439.67500000000001</v>
      </c>
      <c r="I109" s="56">
        <v>0.05</v>
      </c>
      <c r="J109" s="93">
        <v>30</v>
      </c>
      <c r="K109" s="111">
        <v>0</v>
      </c>
      <c r="L109" s="96">
        <f>'Rate Class Customer Model'!R22</f>
        <v>8542.8887531463643</v>
      </c>
      <c r="M109" s="48">
        <v>0</v>
      </c>
      <c r="N109" s="48">
        <f t="shared" si="13"/>
        <v>13472047.137766965</v>
      </c>
      <c r="O109" s="32"/>
      <c r="R109" s="134"/>
      <c r="S109" s="134"/>
      <c r="T109" s="134"/>
    </row>
    <row r="110" spans="1:20" x14ac:dyDescent="0.2">
      <c r="A110" s="47">
        <v>45657</v>
      </c>
      <c r="B110" s="48"/>
      <c r="C110" s="48"/>
      <c r="D110" s="48"/>
      <c r="E110" s="48"/>
      <c r="F110" s="48"/>
      <c r="G110" s="48"/>
      <c r="H110" s="56">
        <v>573.38750000000005</v>
      </c>
      <c r="I110" s="56">
        <v>0</v>
      </c>
      <c r="J110" s="93">
        <v>31</v>
      </c>
      <c r="K110" s="111">
        <v>0</v>
      </c>
      <c r="L110" s="96">
        <f>'Rate Class Customer Model'!R23</f>
        <v>8555.5223603756567</v>
      </c>
      <c r="M110" s="48">
        <v>0</v>
      </c>
      <c r="N110" s="48">
        <f t="shared" si="13"/>
        <v>14072411.23656963</v>
      </c>
      <c r="O110" s="32"/>
      <c r="R110" s="134"/>
      <c r="S110" s="134"/>
      <c r="T110" s="134"/>
    </row>
    <row r="111" spans="1:20" x14ac:dyDescent="0.2">
      <c r="A111" s="33"/>
      <c r="J111" s="10"/>
      <c r="K111" s="58"/>
    </row>
    <row r="112" spans="1:20" x14ac:dyDescent="0.2">
      <c r="A112" s="33"/>
      <c r="J112" s="10"/>
      <c r="K112" s="58"/>
      <c r="R112"/>
      <c r="S112"/>
      <c r="T112"/>
    </row>
    <row r="113" spans="1:20" ht="12.6" customHeight="1" x14ac:dyDescent="0.2">
      <c r="A113" s="33"/>
      <c r="H113" s="98" t="s">
        <v>147</v>
      </c>
      <c r="I113" s="95"/>
      <c r="J113" s="10"/>
      <c r="K113" s="58"/>
      <c r="R113"/>
      <c r="S113"/>
      <c r="T113"/>
    </row>
    <row r="114" spans="1:20" x14ac:dyDescent="0.2">
      <c r="A114" s="33"/>
      <c r="H114" s="99" t="s">
        <v>89</v>
      </c>
      <c r="I114" s="97"/>
      <c r="J114" s="10"/>
      <c r="K114" s="58"/>
      <c r="N114" s="32">
        <f>SUM(N2:N110)</f>
        <v>1308687533.2826054</v>
      </c>
      <c r="R114"/>
      <c r="S114"/>
      <c r="T114"/>
    </row>
    <row r="115" spans="1:20" x14ac:dyDescent="0.2">
      <c r="A115" s="33"/>
      <c r="J115" s="10"/>
      <c r="K115" s="58"/>
      <c r="O115" s="52" t="s">
        <v>133</v>
      </c>
      <c r="P115" s="52" t="s">
        <v>134</v>
      </c>
      <c r="Q115" s="52" t="s">
        <v>139</v>
      </c>
      <c r="R115"/>
      <c r="S115"/>
      <c r="T115"/>
    </row>
    <row r="116" spans="1:20" x14ac:dyDescent="0.2">
      <c r="A116" s="27">
        <v>2016</v>
      </c>
      <c r="B116" s="6">
        <f>SUM(B3:B14)</f>
        <v>199907738.60000002</v>
      </c>
      <c r="D116" s="6">
        <f>SUM(D3:D14)</f>
        <v>201771248.14999998</v>
      </c>
      <c r="E116" s="6">
        <f>SUM(E3:E14)</f>
        <v>15515215.030000001</v>
      </c>
      <c r="F116" s="6">
        <f>SUM(F3:F14)</f>
        <v>51080246.740000002</v>
      </c>
      <c r="G116" s="6">
        <f>SUM(G3:G14)</f>
        <v>135175786.38</v>
      </c>
      <c r="N116" s="6">
        <f>SUM(N3:N14)</f>
        <v>129459272.33470529</v>
      </c>
      <c r="O116" s="6">
        <f>E116</f>
        <v>15515215.030000001</v>
      </c>
      <c r="P116" s="6">
        <f>F116</f>
        <v>51080246.740000002</v>
      </c>
      <c r="Q116" s="6">
        <f>N116+O116+P116</f>
        <v>196054734.1047053</v>
      </c>
      <c r="R116"/>
      <c r="S116"/>
      <c r="T116"/>
    </row>
    <row r="117" spans="1:20" x14ac:dyDescent="0.2">
      <c r="A117" s="27">
        <v>2017</v>
      </c>
      <c r="B117" s="6">
        <f>SUM(B15:B26)</f>
        <v>187853870.12</v>
      </c>
      <c r="D117" s="6">
        <f>SUM(D15:D26)</f>
        <v>189637460.56999999</v>
      </c>
      <c r="E117" s="6">
        <f>SUM(E15:E26)</f>
        <v>13850995.209999999</v>
      </c>
      <c r="F117" s="6">
        <f>SUM(F15:F26)</f>
        <v>45192560.409999996</v>
      </c>
      <c r="G117" s="6">
        <f>SUM(G15:G26)</f>
        <v>130593904.94999999</v>
      </c>
      <c r="N117" s="6">
        <f>SUM(N15:N26)</f>
        <v>132039850.88072371</v>
      </c>
      <c r="O117" s="6">
        <f t="shared" ref="O117:P122" si="20">E117</f>
        <v>13850995.209999999</v>
      </c>
      <c r="P117" s="6">
        <f>F117</f>
        <v>45192560.409999996</v>
      </c>
      <c r="Q117" s="6">
        <f t="shared" ref="Q117:Q124" si="21">N117+O117+P117</f>
        <v>191083406.50072372</v>
      </c>
      <c r="R117"/>
      <c r="S117"/>
      <c r="T117"/>
    </row>
    <row r="118" spans="1:20" x14ac:dyDescent="0.2">
      <c r="A118" s="27">
        <v>2018</v>
      </c>
      <c r="B118" s="6">
        <f>SUM(B27:B38)</f>
        <v>188394772.28</v>
      </c>
      <c r="D118" s="6">
        <f>SUM(D27:D38)</f>
        <v>189993954.81999999</v>
      </c>
      <c r="E118" s="6">
        <f>SUM(E27:E38)</f>
        <v>9550436.8200000022</v>
      </c>
      <c r="F118" s="6">
        <f>SUM(F27:F38)</f>
        <v>42661402.460000001</v>
      </c>
      <c r="G118" s="6">
        <f>SUM(G27:G38)</f>
        <v>137782115.54000002</v>
      </c>
      <c r="N118" s="6">
        <f>SUM(N27:N38)</f>
        <v>134863389.87948221</v>
      </c>
      <c r="O118" s="6">
        <f t="shared" si="20"/>
        <v>9550436.8200000022</v>
      </c>
      <c r="P118" s="6">
        <f>F118</f>
        <v>42661402.460000001</v>
      </c>
      <c r="Q118" s="6">
        <f t="shared" si="21"/>
        <v>187075229.15948221</v>
      </c>
      <c r="R118"/>
      <c r="S118"/>
      <c r="T118"/>
    </row>
    <row r="119" spans="1:20" x14ac:dyDescent="0.2">
      <c r="A119" s="27">
        <v>2019</v>
      </c>
      <c r="B119" s="6">
        <f>SUM(B39:B50)</f>
        <v>175614761.14000005</v>
      </c>
      <c r="D119" s="6">
        <f>SUM(D39:D50)</f>
        <v>177282153.69999999</v>
      </c>
      <c r="E119" s="6">
        <f>SUM(E39:E50)</f>
        <v>2612047.5700000003</v>
      </c>
      <c r="F119" s="6">
        <f>SUM(F39:F50)</f>
        <v>39613794.999999993</v>
      </c>
      <c r="G119" s="6">
        <f>SUM(G39:G50)</f>
        <v>135056311.13</v>
      </c>
      <c r="N119" s="6">
        <f>SUM(N39:N50)</f>
        <v>138295327.01390961</v>
      </c>
      <c r="O119" s="6">
        <f t="shared" si="20"/>
        <v>2612047.5700000003</v>
      </c>
      <c r="P119" s="6">
        <f>F119</f>
        <v>39613794.999999993</v>
      </c>
      <c r="Q119" s="6">
        <f t="shared" si="21"/>
        <v>180521169.5839096</v>
      </c>
      <c r="R119"/>
      <c r="S119"/>
      <c r="T119"/>
    </row>
    <row r="120" spans="1:20" x14ac:dyDescent="0.2">
      <c r="A120" s="27">
        <v>2020</v>
      </c>
      <c r="B120" s="6">
        <f>SUM(B51:B62)</f>
        <v>171542621.55000001</v>
      </c>
      <c r="D120" s="6">
        <f>SUM(D51:D62)</f>
        <v>173380458.75</v>
      </c>
      <c r="E120" s="6">
        <f>SUM(E51:E62)</f>
        <v>1868303.8099999998</v>
      </c>
      <c r="F120" s="6">
        <f>SUM(F51:F62)</f>
        <v>31465784.07</v>
      </c>
      <c r="G120" s="6">
        <f>SUM(G51:G62)</f>
        <v>140046370.87</v>
      </c>
      <c r="N120" s="6">
        <f>SUM(N51:N62)</f>
        <v>139594665.23892671</v>
      </c>
      <c r="O120" s="6">
        <f t="shared" si="20"/>
        <v>1868303.8099999998</v>
      </c>
      <c r="P120" s="6">
        <f>F120</f>
        <v>31465784.07</v>
      </c>
      <c r="Q120" s="6">
        <f t="shared" si="21"/>
        <v>172928753.1189267</v>
      </c>
      <c r="R120"/>
      <c r="S120"/>
      <c r="T120"/>
    </row>
    <row r="121" spans="1:20" x14ac:dyDescent="0.2">
      <c r="A121" s="27">
        <v>2021</v>
      </c>
      <c r="B121" s="6">
        <f>SUM(B63:B74)</f>
        <v>176270206.56999999</v>
      </c>
      <c r="D121" s="6">
        <f>SUM(D63:D74)</f>
        <v>178063868.77000004</v>
      </c>
      <c r="E121" s="6">
        <f>SUM(E63:E74)</f>
        <v>3109565.6599999992</v>
      </c>
      <c r="F121" s="6">
        <f>SUM(F63:F74)</f>
        <v>29610899.920000002</v>
      </c>
      <c r="G121" s="6">
        <f>SUM(G63:G74)</f>
        <v>145343403.19000003</v>
      </c>
      <c r="N121" s="6">
        <f>SUM(N63:N74)</f>
        <v>149787518.64370838</v>
      </c>
      <c r="O121" s="6">
        <f t="shared" si="20"/>
        <v>3109565.6599999992</v>
      </c>
      <c r="P121" s="6">
        <f t="shared" si="20"/>
        <v>29610899.920000002</v>
      </c>
      <c r="Q121" s="6">
        <f t="shared" si="21"/>
        <v>182507984.22370839</v>
      </c>
      <c r="R121"/>
      <c r="S121"/>
      <c r="T121"/>
    </row>
    <row r="122" spans="1:20" x14ac:dyDescent="0.2">
      <c r="A122" s="27">
        <v>2022</v>
      </c>
      <c r="B122" s="6">
        <f>SUM(B75:B86)</f>
        <v>183346093.11000001</v>
      </c>
      <c r="D122" s="6">
        <f>SUM(D75:D86)</f>
        <v>185144755.56000003</v>
      </c>
      <c r="E122" s="6">
        <f>SUM(E75:E86)</f>
        <v>2522033.3000000007</v>
      </c>
      <c r="F122" s="6">
        <f>SUM(F75:F86)</f>
        <v>28395278.939999998</v>
      </c>
      <c r="G122" s="6">
        <f>SUM(G75:G86)</f>
        <v>154227443.32000002</v>
      </c>
      <c r="N122" s="6">
        <f>SUM(N75:N86)</f>
        <v>157484367.54126418</v>
      </c>
      <c r="O122" s="6">
        <f t="shared" si="20"/>
        <v>2522033.3000000007</v>
      </c>
      <c r="P122" s="6">
        <f>F122</f>
        <v>28395278.939999998</v>
      </c>
      <c r="Q122" s="6">
        <f t="shared" si="21"/>
        <v>188401679.78126419</v>
      </c>
      <c r="R122"/>
      <c r="S122"/>
      <c r="T122"/>
    </row>
    <row r="123" spans="1:20" x14ac:dyDescent="0.2">
      <c r="A123" s="27">
        <v>2023</v>
      </c>
      <c r="D123" s="6">
        <f>SUM(D87:D98)</f>
        <v>184342290.19570395</v>
      </c>
      <c r="E123" s="6">
        <f t="shared" ref="E123:G123" si="22">SUM(E87:E98)</f>
        <v>0</v>
      </c>
      <c r="F123" s="6">
        <f>SUM(F87:F98)</f>
        <v>22515160.681428909</v>
      </c>
      <c r="G123" s="6">
        <f t="shared" si="22"/>
        <v>161827129.51427507</v>
      </c>
      <c r="N123" s="6">
        <f>SUM(N87:N98)</f>
        <v>161863497.11329678</v>
      </c>
      <c r="O123" s="6">
        <v>0</v>
      </c>
      <c r="P123" s="6">
        <f>TREND(P116:P122,$A$116:$A$122,2023)</f>
        <v>22515160.681428909</v>
      </c>
      <c r="Q123" s="6">
        <f t="shared" si="21"/>
        <v>184378657.79472569</v>
      </c>
      <c r="R123"/>
      <c r="S123"/>
      <c r="T123"/>
    </row>
    <row r="124" spans="1:20" x14ac:dyDescent="0.2">
      <c r="A124" s="27">
        <v>2024</v>
      </c>
      <c r="D124" s="6">
        <f>SUM(D99:D110)</f>
        <v>92864399.215744317</v>
      </c>
      <c r="E124" s="6">
        <f t="shared" ref="E124:G124" si="23">SUM(E99:E110)</f>
        <v>0</v>
      </c>
      <c r="F124" s="6">
        <f t="shared" si="23"/>
        <v>9461595.5143962204</v>
      </c>
      <c r="G124" s="6">
        <f t="shared" si="23"/>
        <v>83402803.701348096</v>
      </c>
      <c r="N124" s="15">
        <f>SUM(N99:N110)</f>
        <v>165299644.63658869</v>
      </c>
      <c r="O124" s="6">
        <v>0</v>
      </c>
      <c r="P124" s="6">
        <f>TREND(P116:P123,$A$116:$A$123,2024)</f>
        <v>18571809.153927803</v>
      </c>
      <c r="Q124" s="6">
        <f t="shared" si="21"/>
        <v>183871453.7905165</v>
      </c>
      <c r="R124"/>
      <c r="S124"/>
      <c r="T124"/>
    </row>
    <row r="125" spans="1:20" x14ac:dyDescent="0.2">
      <c r="N125" s="6"/>
      <c r="R125"/>
      <c r="S125"/>
      <c r="T125"/>
    </row>
    <row r="126" spans="1:20" x14ac:dyDescent="0.2">
      <c r="A126" s="42" t="s">
        <v>7</v>
      </c>
      <c r="B126" s="6">
        <f>SUM(B116:B122)</f>
        <v>1282930063.3699999</v>
      </c>
      <c r="D126" s="6">
        <f>SUM(D116:D124)</f>
        <v>1572480589.7314482</v>
      </c>
      <c r="E126" s="6">
        <f t="shared" ref="E126:F126" si="24">SUM(E116:E124)</f>
        <v>49028597.400000006</v>
      </c>
      <c r="F126" s="6">
        <f t="shared" si="24"/>
        <v>299996723.73582518</v>
      </c>
      <c r="G126" s="6">
        <f>SUM(G116:G124)</f>
        <v>1223455268.5956233</v>
      </c>
      <c r="L126" s="1" t="s">
        <v>126</v>
      </c>
      <c r="N126" s="6">
        <f>SUM(N116:N123)+SUM(N99:N104)</f>
        <v>1223747779.9169886</v>
      </c>
      <c r="Q126" s="6">
        <f>SUM(Q116:Q122)</f>
        <v>1298572956.4727201</v>
      </c>
      <c r="R126"/>
      <c r="S126"/>
      <c r="T126"/>
    </row>
    <row r="127" spans="1:20" x14ac:dyDescent="0.2">
      <c r="N127" s="32">
        <f>N126-G126</f>
        <v>292511.32136535645</v>
      </c>
      <c r="Q127" s="6">
        <f>Q126-D126</f>
        <v>-273907633.25872803</v>
      </c>
    </row>
    <row r="129" spans="1:20" x14ac:dyDescent="0.2">
      <c r="O129"/>
      <c r="P129"/>
      <c r="Q129"/>
      <c r="R129"/>
      <c r="S129"/>
      <c r="T129"/>
    </row>
    <row r="130" spans="1:20" x14ac:dyDescent="0.2">
      <c r="N130" s="6">
        <f>SUM(N116:N124)</f>
        <v>1308687533.2826056</v>
      </c>
    </row>
    <row r="131" spans="1:20" x14ac:dyDescent="0.2">
      <c r="N131" s="32">
        <f>N114-N130</f>
        <v>0</v>
      </c>
    </row>
    <row r="132" spans="1:20" x14ac:dyDescent="0.2">
      <c r="A132"/>
      <c r="B132"/>
      <c r="C132"/>
      <c r="D132"/>
      <c r="E132"/>
      <c r="F132"/>
      <c r="G132"/>
      <c r="H132"/>
      <c r="I132"/>
      <c r="J132"/>
      <c r="L132"/>
      <c r="M132"/>
      <c r="N132"/>
      <c r="O132"/>
    </row>
    <row r="133" spans="1:20" x14ac:dyDescent="0.2">
      <c r="A133"/>
      <c r="B133"/>
      <c r="C133"/>
      <c r="D133"/>
      <c r="E133"/>
      <c r="F133"/>
      <c r="G133" t="s">
        <v>149</v>
      </c>
      <c r="H133"/>
      <c r="I133"/>
      <c r="J133"/>
      <c r="L133"/>
      <c r="M133"/>
      <c r="N133"/>
      <c r="O133"/>
    </row>
    <row r="134" spans="1:20" x14ac:dyDescent="0.2">
      <c r="A134"/>
      <c r="B134"/>
      <c r="C134"/>
      <c r="D134"/>
      <c r="E134"/>
      <c r="F134"/>
      <c r="G134"/>
      <c r="H134"/>
      <c r="I134"/>
      <c r="J134"/>
      <c r="L134"/>
      <c r="M134"/>
      <c r="N134"/>
      <c r="O134"/>
    </row>
    <row r="135" spans="1:20" x14ac:dyDescent="0.2">
      <c r="A135"/>
      <c r="B135"/>
      <c r="C135"/>
      <c r="D135"/>
      <c r="E135"/>
      <c r="F135"/>
      <c r="G135" t="s">
        <v>91</v>
      </c>
      <c r="H135" s="6">
        <v>679.58749999999998</v>
      </c>
      <c r="I135" s="6">
        <v>0</v>
      </c>
      <c r="J135"/>
      <c r="L135"/>
      <c r="M135"/>
      <c r="N135"/>
      <c r="O135"/>
    </row>
    <row r="136" spans="1:20" x14ac:dyDescent="0.2">
      <c r="A136"/>
      <c r="B136"/>
      <c r="C136"/>
      <c r="G136" t="s">
        <v>92</v>
      </c>
      <c r="H136" s="6">
        <v>599.76249999999993</v>
      </c>
      <c r="I136" s="6">
        <v>0</v>
      </c>
      <c r="J136" s="6"/>
      <c r="L136"/>
      <c r="M136"/>
      <c r="N136"/>
      <c r="O136"/>
    </row>
    <row r="137" spans="1:20" x14ac:dyDescent="0.2">
      <c r="A137"/>
      <c r="B137"/>
      <c r="C137"/>
      <c r="G137" t="s">
        <v>93</v>
      </c>
      <c r="H137" s="6">
        <v>527.26250000000005</v>
      </c>
      <c r="I137" s="6">
        <v>0</v>
      </c>
      <c r="J137" s="6"/>
      <c r="L137"/>
      <c r="M137"/>
      <c r="N137"/>
      <c r="O137"/>
    </row>
    <row r="138" spans="1:20" x14ac:dyDescent="0.2">
      <c r="A138"/>
      <c r="B138"/>
      <c r="C138"/>
      <c r="G138" t="s">
        <v>94</v>
      </c>
      <c r="H138" s="6">
        <v>349.3125</v>
      </c>
      <c r="I138" s="6">
        <v>0.32500000000000001</v>
      </c>
      <c r="J138" s="6"/>
      <c r="L138"/>
      <c r="M138"/>
      <c r="N138"/>
      <c r="O138"/>
    </row>
    <row r="139" spans="1:20" x14ac:dyDescent="0.2">
      <c r="A139"/>
      <c r="B139"/>
      <c r="C139"/>
      <c r="G139" t="s">
        <v>52</v>
      </c>
      <c r="H139" s="6">
        <v>159.125</v>
      </c>
      <c r="I139" s="6">
        <v>18.412500000000001</v>
      </c>
      <c r="J139" s="6"/>
      <c r="L139"/>
      <c r="M139"/>
      <c r="N139"/>
      <c r="O139"/>
    </row>
    <row r="140" spans="1:20" x14ac:dyDescent="0.2">
      <c r="A140"/>
      <c r="B140"/>
      <c r="C140"/>
      <c r="G140" t="s">
        <v>95</v>
      </c>
      <c r="H140" s="6">
        <v>33.324999999999996</v>
      </c>
      <c r="I140" s="6">
        <v>50.612499999999997</v>
      </c>
      <c r="J140" s="6"/>
      <c r="L140"/>
      <c r="M140"/>
      <c r="N140"/>
      <c r="O140"/>
      <c r="P140"/>
      <c r="Q140"/>
      <c r="R140"/>
      <c r="S140"/>
      <c r="T140"/>
    </row>
    <row r="141" spans="1:20" x14ac:dyDescent="0.2">
      <c r="A141"/>
      <c r="B141"/>
      <c r="C141"/>
      <c r="G141" t="s">
        <v>96</v>
      </c>
      <c r="H141" s="6">
        <v>2.2625000000000002</v>
      </c>
      <c r="I141" s="6">
        <v>100.26249999999999</v>
      </c>
      <c r="J141" s="6"/>
      <c r="L141"/>
      <c r="M141"/>
      <c r="N141"/>
      <c r="O141"/>
      <c r="P141"/>
      <c r="Q141"/>
      <c r="R141"/>
      <c r="S141"/>
      <c r="T141"/>
    </row>
    <row r="142" spans="1:20" x14ac:dyDescent="0.2">
      <c r="A142"/>
      <c r="B142"/>
      <c r="C142"/>
      <c r="G142" t="s">
        <v>97</v>
      </c>
      <c r="H142" s="6">
        <v>8.6000000000000014</v>
      </c>
      <c r="I142" s="6">
        <v>79.587499999999991</v>
      </c>
      <c r="J142" s="6"/>
      <c r="L142"/>
      <c r="M142"/>
      <c r="N142"/>
      <c r="O142"/>
      <c r="P142"/>
      <c r="Q142"/>
      <c r="R142"/>
      <c r="S142"/>
      <c r="T142"/>
    </row>
    <row r="143" spans="1:20" x14ac:dyDescent="0.2">
      <c r="A143"/>
      <c r="B143"/>
      <c r="C143"/>
      <c r="G143" t="s">
        <v>98</v>
      </c>
      <c r="H143" s="6">
        <v>62.674999999999983</v>
      </c>
      <c r="I143" s="6">
        <v>31.699999999999996</v>
      </c>
      <c r="J143" s="6"/>
      <c r="L143"/>
      <c r="M143"/>
      <c r="N143"/>
      <c r="O143"/>
      <c r="P143"/>
      <c r="Q143"/>
      <c r="R143"/>
      <c r="S143"/>
      <c r="T143"/>
    </row>
    <row r="144" spans="1:20" x14ac:dyDescent="0.2">
      <c r="A144"/>
      <c r="B144"/>
      <c r="C144"/>
      <c r="G144" t="s">
        <v>99</v>
      </c>
      <c r="H144" s="6">
        <v>229.3125</v>
      </c>
      <c r="I144" s="6">
        <v>5.1125000000000007</v>
      </c>
      <c r="J144" s="6"/>
      <c r="L144"/>
      <c r="M144"/>
      <c r="N144"/>
      <c r="O144"/>
      <c r="P144"/>
      <c r="Q144"/>
      <c r="R144"/>
      <c r="S144"/>
      <c r="T144"/>
    </row>
    <row r="145" spans="1:20" x14ac:dyDescent="0.2">
      <c r="A145"/>
      <c r="G145" t="s">
        <v>100</v>
      </c>
      <c r="H145" s="6">
        <v>439.67500000000001</v>
      </c>
      <c r="I145" s="6">
        <v>0.05</v>
      </c>
      <c r="J145" s="6"/>
      <c r="P145"/>
      <c r="Q145"/>
      <c r="R145"/>
      <c r="S145"/>
      <c r="T145"/>
    </row>
    <row r="146" spans="1:20" x14ac:dyDescent="0.2">
      <c r="A146"/>
      <c r="G146" t="s">
        <v>101</v>
      </c>
      <c r="H146" s="6">
        <v>573.38750000000005</v>
      </c>
      <c r="I146" s="6">
        <v>0</v>
      </c>
      <c r="J146" s="6"/>
      <c r="P146"/>
      <c r="Q146"/>
      <c r="R146"/>
      <c r="S146"/>
      <c r="T146"/>
    </row>
    <row r="147" spans="1:20" x14ac:dyDescent="0.2">
      <c r="A147"/>
      <c r="H147" s="6"/>
      <c r="I147" s="6"/>
      <c r="J147" s="6"/>
      <c r="P147"/>
      <c r="Q147"/>
      <c r="R147"/>
      <c r="S147"/>
      <c r="T147"/>
    </row>
    <row r="148" spans="1:20" x14ac:dyDescent="0.2">
      <c r="A148"/>
      <c r="H148" s="6"/>
      <c r="I148" s="6"/>
      <c r="J148" s="6"/>
      <c r="K148" s="6"/>
      <c r="P148"/>
      <c r="Q148"/>
      <c r="R148"/>
      <c r="S148"/>
      <c r="T148"/>
    </row>
    <row r="149" spans="1:20" x14ac:dyDescent="0.2">
      <c r="A149"/>
      <c r="P149"/>
      <c r="Q149"/>
      <c r="R149"/>
      <c r="S149"/>
      <c r="T149"/>
    </row>
    <row r="150" spans="1:20" x14ac:dyDescent="0.2">
      <c r="A150"/>
      <c r="P150"/>
      <c r="Q150"/>
      <c r="R150"/>
      <c r="S150"/>
      <c r="T150"/>
    </row>
    <row r="151" spans="1:20" x14ac:dyDescent="0.2">
      <c r="A151"/>
      <c r="P151"/>
      <c r="Q151"/>
      <c r="R151"/>
      <c r="S151"/>
      <c r="T151"/>
    </row>
    <row r="152" spans="1:20" x14ac:dyDescent="0.2">
      <c r="A152"/>
      <c r="P152"/>
      <c r="Q152"/>
      <c r="R152"/>
      <c r="S152"/>
      <c r="T152"/>
    </row>
    <row r="153" spans="1:20" x14ac:dyDescent="0.2">
      <c r="A153"/>
      <c r="P153"/>
      <c r="Q153"/>
      <c r="R153"/>
      <c r="S153"/>
      <c r="T153"/>
    </row>
    <row r="154" spans="1:20" x14ac:dyDescent="0.2">
      <c r="A154"/>
      <c r="P154"/>
      <c r="Q154"/>
      <c r="R154"/>
      <c r="S154"/>
      <c r="T154"/>
    </row>
    <row r="155" spans="1:20" x14ac:dyDescent="0.2">
      <c r="A155"/>
      <c r="P155"/>
      <c r="Q155"/>
      <c r="R155"/>
      <c r="S155"/>
      <c r="T155"/>
    </row>
    <row r="156" spans="1:20" customFormat="1" x14ac:dyDescent="0.2">
      <c r="K156" s="57"/>
    </row>
    <row r="157" spans="1:20" customFormat="1" x14ac:dyDescent="0.2">
      <c r="K157" s="57"/>
    </row>
  </sheetData>
  <phoneticPr fontId="84" type="noConversion"/>
  <printOptions gridLines="1"/>
  <pageMargins left="0.38" right="0.75" top="0.73" bottom="0.74" header="0.5" footer="0.5"/>
  <pageSetup scale="15" orientation="landscape" r:id="rId1"/>
  <headerFooter alignWithMargins="0">
    <oddFooter>&amp;L&amp;Z&amp;F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  <pageSetUpPr fitToPage="1"/>
  </sheetPr>
  <dimension ref="A1:AI157"/>
  <sheetViews>
    <sheetView zoomScale="78" zoomScaleNormal="78" workbookViewId="0">
      <pane xSplit="1" ySplit="2" topLeftCell="D104" activePane="bottomRight" state="frozen"/>
      <selection pane="topRight" activeCell="C1" sqref="C1"/>
      <selection pane="bottomLeft" activeCell="A3" sqref="A3"/>
      <selection pane="bottomRight" activeCell="T118" sqref="T118"/>
    </sheetView>
  </sheetViews>
  <sheetFormatPr defaultRowHeight="12.75" x14ac:dyDescent="0.2"/>
  <cols>
    <col min="1" max="1" width="11.85546875" style="27" customWidth="1"/>
    <col min="2" max="7" width="16.85546875" style="6" customWidth="1"/>
    <col min="8" max="8" width="11.5703125" style="1" customWidth="1"/>
    <col min="9" max="9" width="13.42578125" style="1" customWidth="1"/>
    <col min="10" max="10" width="10.140625" style="1" customWidth="1"/>
    <col min="11" max="11" width="10.28515625" style="57" customWidth="1"/>
    <col min="12" max="13" width="13" style="1" customWidth="1"/>
    <col min="14" max="14" width="15.5703125" style="1" bestFit="1" customWidth="1"/>
    <col min="15" max="15" width="16" style="1" customWidth="1"/>
    <col min="16" max="16" width="18.28515625" style="1" bestFit="1" customWidth="1"/>
    <col min="17" max="17" width="15" style="1" bestFit="1" customWidth="1"/>
    <col min="18" max="18" width="17.85546875" style="1" bestFit="1" customWidth="1"/>
    <col min="19" max="19" width="11.42578125" style="1" customWidth="1"/>
    <col min="20" max="20" width="17.85546875" style="1" bestFit="1" customWidth="1"/>
    <col min="21" max="21" width="4.85546875" customWidth="1"/>
    <col min="22" max="22" width="44.42578125" customWidth="1"/>
    <col min="23" max="23" width="18.42578125" customWidth="1"/>
    <col min="24" max="28" width="12.5703125" customWidth="1"/>
    <col min="29" max="29" width="21.85546875" customWidth="1"/>
    <col min="30" max="30" width="12.5703125" customWidth="1"/>
    <col min="31" max="31" width="42.42578125" bestFit="1" customWidth="1"/>
    <col min="32" max="32" width="15.5703125" bestFit="1" customWidth="1"/>
    <col min="33" max="33" width="26.140625" bestFit="1" customWidth="1"/>
    <col min="34" max="34" width="23" bestFit="1" customWidth="1"/>
    <col min="37" max="37" width="40.5703125" bestFit="1" customWidth="1"/>
    <col min="38" max="38" width="42.85546875" bestFit="1" customWidth="1"/>
  </cols>
  <sheetData>
    <row r="1" spans="1:35" x14ac:dyDescent="0.2">
      <c r="O1"/>
      <c r="P1"/>
      <c r="Q1"/>
      <c r="R1"/>
      <c r="S1"/>
      <c r="T1"/>
      <c r="AF1" s="105"/>
      <c r="AG1" s="105"/>
      <c r="AH1" s="105"/>
      <c r="AI1" s="105"/>
    </row>
    <row r="2" spans="1:35" ht="38.25" x14ac:dyDescent="0.2">
      <c r="A2" s="100"/>
      <c r="B2" s="101" t="s">
        <v>75</v>
      </c>
      <c r="C2" s="101" t="s">
        <v>107</v>
      </c>
      <c r="D2" s="101" t="s">
        <v>113</v>
      </c>
      <c r="E2" s="101" t="s">
        <v>115</v>
      </c>
      <c r="F2" s="101" t="s">
        <v>116</v>
      </c>
      <c r="G2" s="101" t="s">
        <v>117</v>
      </c>
      <c r="H2" s="102" t="s">
        <v>2</v>
      </c>
      <c r="I2" s="102" t="s">
        <v>3</v>
      </c>
      <c r="J2" s="102" t="s">
        <v>90</v>
      </c>
      <c r="K2" s="103" t="s">
        <v>13</v>
      </c>
      <c r="L2" s="102" t="s">
        <v>104</v>
      </c>
      <c r="M2" s="102" t="s">
        <v>114</v>
      </c>
      <c r="N2" s="102" t="s">
        <v>8</v>
      </c>
      <c r="O2"/>
      <c r="P2"/>
      <c r="Q2"/>
      <c r="R2"/>
      <c r="S2"/>
      <c r="T2"/>
      <c r="V2" s="43" t="s">
        <v>14</v>
      </c>
      <c r="AF2" s="105"/>
      <c r="AG2" s="105"/>
      <c r="AH2" s="105"/>
      <c r="AI2" s="105"/>
    </row>
    <row r="3" spans="1:35" ht="13.5" thickBot="1" x14ac:dyDescent="0.25">
      <c r="A3" s="47">
        <v>42400</v>
      </c>
      <c r="B3" s="48">
        <f>Inputs!D60</f>
        <v>17214578.510000002</v>
      </c>
      <c r="C3" s="48">
        <f>Inputs!E60</f>
        <v>62079.97</v>
      </c>
      <c r="D3" s="48">
        <f t="shared" ref="D3:D66" si="0">B3+C3</f>
        <v>17276658.48</v>
      </c>
      <c r="E3" s="48">
        <v>1398553.38</v>
      </c>
      <c r="F3" s="48">
        <v>4160319.42</v>
      </c>
      <c r="G3" s="48">
        <f>D3-E3-F3</f>
        <v>11717785.680000002</v>
      </c>
      <c r="H3" s="48">
        <f>'Power Purchased Model'!H87</f>
        <v>545.69999999999993</v>
      </c>
      <c r="I3" s="48">
        <f>'Power Purchased Model'!I87</f>
        <v>0</v>
      </c>
      <c r="J3" s="48">
        <v>31</v>
      </c>
      <c r="K3" s="110">
        <v>0</v>
      </c>
      <c r="L3" s="48">
        <f>Inputs!G60+Inputs!I60+Inputs!L60+Inputs!O60+Inputs!R60+Inputs!AA60</f>
        <v>6973</v>
      </c>
      <c r="M3" s="48">
        <v>0</v>
      </c>
      <c r="N3" s="48">
        <f>$W$18+$W$19*H3+$W$20*I3+$W$21*J3+$W$22*K3+$W$23*L3+M3*$W$24</f>
        <v>10948151.18900279</v>
      </c>
      <c r="O3"/>
      <c r="P3"/>
      <c r="Q3"/>
      <c r="R3"/>
      <c r="S3"/>
      <c r="T3"/>
      <c r="AF3" s="105"/>
      <c r="AG3" s="105"/>
      <c r="AH3" s="105"/>
      <c r="AI3" s="105"/>
    </row>
    <row r="4" spans="1:35" x14ac:dyDescent="0.2">
      <c r="A4" s="47">
        <v>42429</v>
      </c>
      <c r="B4" s="48">
        <f>Inputs!D61</f>
        <v>16327741.550000001</v>
      </c>
      <c r="C4" s="48">
        <f>Inputs!E61</f>
        <v>71513.490000000005</v>
      </c>
      <c r="D4" s="48">
        <f t="shared" si="0"/>
        <v>16399255.040000001</v>
      </c>
      <c r="E4" s="48">
        <v>1222410.74</v>
      </c>
      <c r="F4" s="48">
        <v>4296011.57</v>
      </c>
      <c r="G4" s="48">
        <f t="shared" ref="G4:G67" si="1">D4-E4-F4</f>
        <v>10880832.73</v>
      </c>
      <c r="H4" s="48">
        <f>'Power Purchased Model'!H88</f>
        <v>534.49999999999989</v>
      </c>
      <c r="I4" s="48">
        <f>'Power Purchased Model'!I88</f>
        <v>0</v>
      </c>
      <c r="J4" s="48">
        <v>29</v>
      </c>
      <c r="K4" s="110">
        <v>0</v>
      </c>
      <c r="L4" s="48">
        <f>Inputs!G61+Inputs!I61+Inputs!L61+Inputs!O61+Inputs!R61+Inputs!AA61</f>
        <v>6976</v>
      </c>
      <c r="M4" s="48">
        <v>0</v>
      </c>
      <c r="N4" s="48">
        <f t="shared" ref="N4:N67" si="2">$W$18+$W$19*H4+$W$20*I4+$W$21*J4+$W$22*K4+$W$23*L4+M4*$W$24</f>
        <v>10273286.976411542</v>
      </c>
      <c r="O4"/>
      <c r="P4"/>
      <c r="Q4"/>
      <c r="R4"/>
      <c r="S4"/>
      <c r="T4"/>
      <c r="V4" s="114" t="s">
        <v>15</v>
      </c>
      <c r="W4" s="114"/>
      <c r="AF4" s="105"/>
      <c r="AG4" s="105"/>
      <c r="AH4" s="105"/>
      <c r="AI4" s="105"/>
    </row>
    <row r="5" spans="1:35" x14ac:dyDescent="0.2">
      <c r="A5" s="47">
        <v>42460</v>
      </c>
      <c r="B5" s="48">
        <f>Inputs!D62</f>
        <v>16387708.84</v>
      </c>
      <c r="C5" s="48">
        <f>Inputs!E62</f>
        <v>128194.3</v>
      </c>
      <c r="D5" s="48">
        <f t="shared" si="0"/>
        <v>16515903.140000001</v>
      </c>
      <c r="E5" s="48">
        <v>1328244.3800000001</v>
      </c>
      <c r="F5" s="48">
        <v>4380082.97</v>
      </c>
      <c r="G5" s="48">
        <f t="shared" si="1"/>
        <v>10807575.789999999</v>
      </c>
      <c r="H5" s="48">
        <f>'Power Purchased Model'!H89</f>
        <v>556.09999999999991</v>
      </c>
      <c r="I5" s="48">
        <f>'Power Purchased Model'!I89</f>
        <v>0</v>
      </c>
      <c r="J5" s="48">
        <v>31</v>
      </c>
      <c r="K5" s="110">
        <v>1</v>
      </c>
      <c r="L5" s="48">
        <f>Inputs!G62+Inputs!I62+Inputs!L62+Inputs!O62+Inputs!R62+Inputs!AA62</f>
        <v>6984</v>
      </c>
      <c r="M5" s="48">
        <v>0</v>
      </c>
      <c r="N5" s="48">
        <f t="shared" si="2"/>
        <v>10504589.000668231</v>
      </c>
      <c r="O5"/>
      <c r="P5"/>
      <c r="Q5"/>
      <c r="R5"/>
      <c r="S5"/>
      <c r="T5"/>
      <c r="V5" t="s">
        <v>16</v>
      </c>
      <c r="W5" s="135">
        <v>0.95542479415903248</v>
      </c>
      <c r="AF5" s="105"/>
      <c r="AG5" s="105"/>
      <c r="AH5" s="105"/>
      <c r="AI5" s="105"/>
    </row>
    <row r="6" spans="1:35" x14ac:dyDescent="0.2">
      <c r="A6" s="47">
        <v>42490</v>
      </c>
      <c r="B6" s="48">
        <f>Inputs!D63</f>
        <v>15295315.789999999</v>
      </c>
      <c r="C6" s="48">
        <f>Inputs!E63</f>
        <v>189041.49</v>
      </c>
      <c r="D6" s="48">
        <f t="shared" si="0"/>
        <v>15484357.279999999</v>
      </c>
      <c r="E6" s="48">
        <v>1253861.8099999998</v>
      </c>
      <c r="F6" s="48">
        <v>4125931.53</v>
      </c>
      <c r="G6" s="48">
        <f t="shared" si="1"/>
        <v>10104563.939999999</v>
      </c>
      <c r="H6" s="48">
        <f>'Power Purchased Model'!H90</f>
        <v>290.59999999999997</v>
      </c>
      <c r="I6" s="48">
        <f>'Power Purchased Model'!I90</f>
        <v>2.6</v>
      </c>
      <c r="J6" s="48">
        <v>30</v>
      </c>
      <c r="K6" s="110">
        <v>1</v>
      </c>
      <c r="L6" s="48">
        <f>Inputs!G63+Inputs!I63+Inputs!L63+Inputs!O63+Inputs!R63+Inputs!AA63</f>
        <v>6995</v>
      </c>
      <c r="M6" s="48">
        <v>0</v>
      </c>
      <c r="N6" s="48">
        <f t="shared" si="2"/>
        <v>9763386.5095043816</v>
      </c>
      <c r="O6"/>
      <c r="P6"/>
      <c r="Q6"/>
      <c r="R6"/>
      <c r="S6"/>
      <c r="T6"/>
      <c r="V6" t="s">
        <v>17</v>
      </c>
      <c r="W6" s="135">
        <v>0.91283653729382963</v>
      </c>
      <c r="AF6" s="105"/>
      <c r="AG6" s="105"/>
      <c r="AH6" s="105"/>
      <c r="AI6" s="105"/>
    </row>
    <row r="7" spans="1:35" x14ac:dyDescent="0.2">
      <c r="A7" s="47">
        <v>42521</v>
      </c>
      <c r="B7" s="48">
        <f>Inputs!D64</f>
        <v>15349497.890000001</v>
      </c>
      <c r="C7" s="48">
        <f>Inputs!E64</f>
        <v>239387.64</v>
      </c>
      <c r="D7" s="48">
        <f t="shared" si="0"/>
        <v>15588885.530000001</v>
      </c>
      <c r="E7" s="48">
        <v>1195532.79</v>
      </c>
      <c r="F7" s="48">
        <v>4159261.96</v>
      </c>
      <c r="G7" s="48">
        <f t="shared" si="1"/>
        <v>10234090.780000001</v>
      </c>
      <c r="H7" s="48">
        <f>'Power Purchased Model'!H91</f>
        <v>153</v>
      </c>
      <c r="I7" s="48">
        <f>'Power Purchased Model'!I91</f>
        <v>8.9</v>
      </c>
      <c r="J7" s="48">
        <v>31</v>
      </c>
      <c r="K7" s="110">
        <v>1</v>
      </c>
      <c r="L7" s="48">
        <f>Inputs!G64+Inputs!I64+Inputs!L64+Inputs!O64+Inputs!R64+Inputs!AA64</f>
        <v>7003</v>
      </c>
      <c r="M7" s="48">
        <v>0</v>
      </c>
      <c r="N7" s="48">
        <f t="shared" si="2"/>
        <v>10029517.020859923</v>
      </c>
      <c r="O7"/>
      <c r="P7"/>
      <c r="Q7"/>
      <c r="R7"/>
      <c r="S7"/>
      <c r="T7"/>
      <c r="V7" t="s">
        <v>18</v>
      </c>
      <c r="W7" s="135">
        <v>0.90604457916088132</v>
      </c>
      <c r="AF7" s="105"/>
      <c r="AG7" s="105"/>
      <c r="AH7" s="105"/>
      <c r="AI7" s="105"/>
    </row>
    <row r="8" spans="1:35" x14ac:dyDescent="0.2">
      <c r="A8" s="47">
        <v>42551</v>
      </c>
      <c r="B8" s="48">
        <f>Inputs!D65</f>
        <v>16760016.93</v>
      </c>
      <c r="C8" s="48">
        <f>Inputs!E65</f>
        <v>264615.24</v>
      </c>
      <c r="D8" s="48">
        <f t="shared" si="0"/>
        <v>17024632.169999998</v>
      </c>
      <c r="E8" s="48">
        <v>1306218.8199999998</v>
      </c>
      <c r="F8" s="48">
        <v>4271213.41</v>
      </c>
      <c r="G8" s="48">
        <f t="shared" si="1"/>
        <v>11447199.939999998</v>
      </c>
      <c r="H8" s="48">
        <f>'Power Purchased Model'!H92</f>
        <v>34.9</v>
      </c>
      <c r="I8" s="48">
        <f>'Power Purchased Model'!I92</f>
        <v>31.9</v>
      </c>
      <c r="J8" s="48">
        <v>30</v>
      </c>
      <c r="K8" s="110">
        <v>0</v>
      </c>
      <c r="L8" s="48">
        <f>Inputs!G65+Inputs!I65+Inputs!L65+Inputs!O65+Inputs!R65+Inputs!AA65</f>
        <v>7015</v>
      </c>
      <c r="M8" s="48">
        <v>0</v>
      </c>
      <c r="N8" s="48">
        <f t="shared" si="2"/>
        <v>10657229.943084178</v>
      </c>
      <c r="O8"/>
      <c r="P8"/>
      <c r="Q8"/>
      <c r="R8"/>
      <c r="S8"/>
      <c r="T8"/>
      <c r="V8" t="s">
        <v>19</v>
      </c>
      <c r="W8" s="136">
        <v>398903.16033600213</v>
      </c>
      <c r="AF8" s="105"/>
      <c r="AG8" s="105"/>
      <c r="AH8" s="105"/>
      <c r="AI8" s="105"/>
    </row>
    <row r="9" spans="1:35" ht="13.5" thickBot="1" x14ac:dyDescent="0.25">
      <c r="A9" s="47">
        <v>42582</v>
      </c>
      <c r="B9" s="48">
        <f>Inputs!D66</f>
        <v>17584612.699999999</v>
      </c>
      <c r="C9" s="48">
        <f>Inputs!E66</f>
        <v>249446.96</v>
      </c>
      <c r="D9" s="48">
        <f t="shared" si="0"/>
        <v>17834059.66</v>
      </c>
      <c r="E9" s="48">
        <v>1366765.55</v>
      </c>
      <c r="F9" s="48">
        <v>3813952.6999999997</v>
      </c>
      <c r="G9" s="48">
        <f t="shared" si="1"/>
        <v>12653341.41</v>
      </c>
      <c r="H9" s="48">
        <f>'Power Purchased Model'!H93</f>
        <v>2.4</v>
      </c>
      <c r="I9" s="48">
        <f>'Power Purchased Model'!I93</f>
        <v>80.3</v>
      </c>
      <c r="J9" s="48">
        <v>31</v>
      </c>
      <c r="K9" s="110">
        <v>0</v>
      </c>
      <c r="L9" s="48">
        <f>Inputs!G66+Inputs!I66+Inputs!L66+Inputs!O66+Inputs!R66+Inputs!AA66</f>
        <v>7029</v>
      </c>
      <c r="M9" s="48">
        <v>0</v>
      </c>
      <c r="N9" s="48">
        <f t="shared" si="2"/>
        <v>12382061.634272147</v>
      </c>
      <c r="O9"/>
      <c r="P9"/>
      <c r="Q9"/>
      <c r="R9"/>
      <c r="S9"/>
      <c r="T9"/>
      <c r="V9" s="112" t="s">
        <v>20</v>
      </c>
      <c r="W9" s="112">
        <v>84</v>
      </c>
      <c r="AF9" s="105"/>
      <c r="AG9" s="105"/>
      <c r="AH9" s="105"/>
      <c r="AI9" s="105"/>
    </row>
    <row r="10" spans="1:35" x14ac:dyDescent="0.2">
      <c r="A10" s="47">
        <v>42613</v>
      </c>
      <c r="B10" s="48">
        <f>Inputs!D67</f>
        <v>20027554.73</v>
      </c>
      <c r="C10" s="48">
        <f>Inputs!E67</f>
        <v>228668.65</v>
      </c>
      <c r="D10" s="48">
        <f t="shared" si="0"/>
        <v>20256223.379999999</v>
      </c>
      <c r="E10" s="48">
        <v>1456378.23</v>
      </c>
      <c r="F10" s="48">
        <v>4753916.74</v>
      </c>
      <c r="G10" s="48">
        <f t="shared" si="1"/>
        <v>14045928.409999998</v>
      </c>
      <c r="H10" s="48">
        <f>'Power Purchased Model'!H94</f>
        <v>19.8</v>
      </c>
      <c r="I10" s="48">
        <f>'Power Purchased Model'!I94</f>
        <v>35.299999999999997</v>
      </c>
      <c r="J10" s="48">
        <v>31</v>
      </c>
      <c r="K10" s="110">
        <v>0</v>
      </c>
      <c r="L10" s="48">
        <f>Inputs!G67+Inputs!I67+Inputs!L67+Inputs!O67+Inputs!R67+Inputs!AA67</f>
        <v>7045</v>
      </c>
      <c r="M10" s="48">
        <v>0</v>
      </c>
      <c r="N10" s="48">
        <f t="shared" si="2"/>
        <v>11106348.772183599</v>
      </c>
      <c r="O10"/>
      <c r="P10"/>
      <c r="Q10"/>
      <c r="R10"/>
      <c r="S10"/>
      <c r="T10"/>
      <c r="AF10" s="105"/>
      <c r="AG10" s="105"/>
      <c r="AH10" s="105"/>
      <c r="AI10" s="105"/>
    </row>
    <row r="11" spans="1:35" ht="13.5" thickBot="1" x14ac:dyDescent="0.25">
      <c r="A11" s="47">
        <v>42643</v>
      </c>
      <c r="B11" s="48">
        <f>Inputs!D68</f>
        <v>17024200.449999999</v>
      </c>
      <c r="C11" s="48">
        <f>Inputs!E68</f>
        <v>191588.72</v>
      </c>
      <c r="D11" s="48">
        <f t="shared" si="0"/>
        <v>17215789.169999998</v>
      </c>
      <c r="E11" s="48">
        <v>1349320.0799999998</v>
      </c>
      <c r="F11" s="48">
        <v>4536643.54</v>
      </c>
      <c r="G11" s="48">
        <f t="shared" si="1"/>
        <v>11329825.549999997</v>
      </c>
      <c r="H11" s="48">
        <f>'Power Purchased Model'!H95</f>
        <v>52.500000000000007</v>
      </c>
      <c r="I11" s="48">
        <f>'Power Purchased Model'!I95</f>
        <v>29.200000000000003</v>
      </c>
      <c r="J11" s="48">
        <v>30</v>
      </c>
      <c r="K11" s="110">
        <v>1</v>
      </c>
      <c r="L11" s="48">
        <f>Inputs!G68+Inputs!I68+Inputs!L68+Inputs!O68+Inputs!R68+Inputs!AA68</f>
        <v>7053</v>
      </c>
      <c r="M11" s="48">
        <v>0</v>
      </c>
      <c r="N11" s="48">
        <f t="shared" si="2"/>
        <v>10190511.458330674</v>
      </c>
      <c r="O11"/>
      <c r="P11"/>
      <c r="Q11"/>
      <c r="R11"/>
      <c r="S11"/>
      <c r="T11"/>
      <c r="V11" t="s">
        <v>21</v>
      </c>
    </row>
    <row r="12" spans="1:35" x14ac:dyDescent="0.2">
      <c r="A12" s="47">
        <v>42674</v>
      </c>
      <c r="B12" s="48">
        <f>Inputs!D69</f>
        <v>15911420.27</v>
      </c>
      <c r="C12" s="48">
        <f>Inputs!E69</f>
        <v>132639.69</v>
      </c>
      <c r="D12" s="48">
        <f t="shared" si="0"/>
        <v>16044059.959999999</v>
      </c>
      <c r="E12" s="48">
        <v>1234720.6599999999</v>
      </c>
      <c r="F12" s="48">
        <v>4536507.6399999997</v>
      </c>
      <c r="G12" s="48">
        <f t="shared" si="1"/>
        <v>10272831.66</v>
      </c>
      <c r="H12" s="48">
        <f>'Power Purchased Model'!H96</f>
        <v>210.69999999999996</v>
      </c>
      <c r="I12" s="48">
        <f>'Power Purchased Model'!I96</f>
        <v>9.4</v>
      </c>
      <c r="J12" s="48">
        <v>31</v>
      </c>
      <c r="K12" s="110">
        <v>1</v>
      </c>
      <c r="L12" s="48">
        <f>Inputs!G69+Inputs!I69+Inputs!L69+Inputs!O69+Inputs!R69+Inputs!AA69</f>
        <v>7064</v>
      </c>
      <c r="M12" s="48">
        <v>0</v>
      </c>
      <c r="N12" s="48">
        <f t="shared" si="2"/>
        <v>10252011.511966698</v>
      </c>
      <c r="O12"/>
      <c r="P12"/>
      <c r="Q12"/>
      <c r="R12"/>
      <c r="S12"/>
      <c r="T12"/>
      <c r="V12" s="113"/>
      <c r="W12" s="113" t="s">
        <v>25</v>
      </c>
      <c r="X12" s="113" t="s">
        <v>26</v>
      </c>
      <c r="Y12" s="113" t="s">
        <v>27</v>
      </c>
      <c r="Z12" s="113" t="s">
        <v>28</v>
      </c>
      <c r="AA12" s="113" t="s">
        <v>29</v>
      </c>
    </row>
    <row r="13" spans="1:35" x14ac:dyDescent="0.2">
      <c r="A13" s="47">
        <v>42704</v>
      </c>
      <c r="B13" s="48">
        <f>Inputs!D70</f>
        <v>15908144.58</v>
      </c>
      <c r="C13" s="48">
        <f>Inputs!E70</f>
        <v>91505.37</v>
      </c>
      <c r="D13" s="48">
        <f t="shared" si="0"/>
        <v>15999649.949999999</v>
      </c>
      <c r="E13" s="48">
        <v>1266138.96</v>
      </c>
      <c r="F13" s="48">
        <v>4373435.6499999994</v>
      </c>
      <c r="G13" s="48">
        <f t="shared" si="1"/>
        <v>10360075.34</v>
      </c>
      <c r="H13" s="48">
        <f>'Power Purchased Model'!H97</f>
        <v>448.1</v>
      </c>
      <c r="I13" s="48">
        <f>'Power Purchased Model'!I97</f>
        <v>0</v>
      </c>
      <c r="J13" s="48">
        <v>30</v>
      </c>
      <c r="K13" s="110">
        <v>0</v>
      </c>
      <c r="L13" s="48">
        <f>Inputs!G70+Inputs!I70+Inputs!L70+Inputs!O70+Inputs!R70+Inputs!AA70</f>
        <v>7067</v>
      </c>
      <c r="M13" s="48">
        <v>0</v>
      </c>
      <c r="N13" s="48">
        <f t="shared" si="2"/>
        <v>10583023.631995331</v>
      </c>
      <c r="O13"/>
      <c r="P13"/>
      <c r="Q13"/>
      <c r="R13"/>
      <c r="S13"/>
      <c r="T13"/>
      <c r="V13" t="s">
        <v>22</v>
      </c>
      <c r="W13">
        <v>6</v>
      </c>
      <c r="X13">
        <v>128317006431744.59</v>
      </c>
      <c r="Y13">
        <v>21386167738624.098</v>
      </c>
      <c r="Z13" s="137">
        <v>134.399611927168</v>
      </c>
      <c r="AA13">
        <v>1.0685257992552773E-38</v>
      </c>
    </row>
    <row r="14" spans="1:35" x14ac:dyDescent="0.2">
      <c r="A14" s="47">
        <v>42735</v>
      </c>
      <c r="B14" s="48">
        <f>Inputs!D71</f>
        <v>16116946.359999999</v>
      </c>
      <c r="C14" s="48">
        <f>Inputs!E71</f>
        <v>14828.03</v>
      </c>
      <c r="D14" s="48">
        <f t="shared" si="0"/>
        <v>16131774.389999999</v>
      </c>
      <c r="E14" s="48">
        <v>1137069.6299999999</v>
      </c>
      <c r="F14" s="48">
        <v>3672969.6100000003</v>
      </c>
      <c r="G14" s="48">
        <f t="shared" si="1"/>
        <v>11321735.149999999</v>
      </c>
      <c r="H14" s="48">
        <f>'Power Purchased Model'!H98</f>
        <v>462.29999999999995</v>
      </c>
      <c r="I14" s="48">
        <f>'Power Purchased Model'!I98</f>
        <v>0</v>
      </c>
      <c r="J14" s="48">
        <v>31</v>
      </c>
      <c r="K14" s="110">
        <v>0</v>
      </c>
      <c r="L14" s="48">
        <f>Inputs!G71+Inputs!I71+Inputs!L71+Inputs!O71+Inputs!R71+Inputs!AA71</f>
        <v>7085</v>
      </c>
      <c r="M14" s="48">
        <v>0</v>
      </c>
      <c r="N14" s="48">
        <f t="shared" si="2"/>
        <v>10968049.888432335</v>
      </c>
      <c r="O14"/>
      <c r="P14"/>
      <c r="Q14"/>
      <c r="R14"/>
      <c r="S14"/>
      <c r="T14"/>
      <c r="V14" t="s">
        <v>23</v>
      </c>
      <c r="W14">
        <v>77</v>
      </c>
      <c r="X14">
        <v>12252527312105.867</v>
      </c>
      <c r="Y14">
        <v>159123731326.05023</v>
      </c>
      <c r="Z14" s="137"/>
      <c r="AA14" s="137"/>
    </row>
    <row r="15" spans="1:35" ht="13.5" thickBot="1" x14ac:dyDescent="0.25">
      <c r="A15" s="47">
        <v>42766</v>
      </c>
      <c r="B15" s="48">
        <f>Inputs!D72</f>
        <v>17123786.129999999</v>
      </c>
      <c r="C15" s="48">
        <f>Inputs!E72</f>
        <v>40918.46</v>
      </c>
      <c r="D15" s="48">
        <f t="shared" si="0"/>
        <v>17164704.59</v>
      </c>
      <c r="E15" s="48">
        <v>1299339.8</v>
      </c>
      <c r="F15" s="48">
        <v>4258095.4399999995</v>
      </c>
      <c r="G15" s="48">
        <f t="shared" si="1"/>
        <v>11607269.35</v>
      </c>
      <c r="H15" s="48">
        <f>H3</f>
        <v>545.69999999999993</v>
      </c>
      <c r="I15" s="48">
        <f>I3</f>
        <v>0</v>
      </c>
      <c r="J15" s="48">
        <v>31</v>
      </c>
      <c r="K15" s="110">
        <v>0</v>
      </c>
      <c r="L15" s="48">
        <f>Inputs!G72+Inputs!I72+Inputs!L72+Inputs!O72+Inputs!R72+Inputs!AA72</f>
        <v>7094</v>
      </c>
      <c r="M15" s="48">
        <v>0</v>
      </c>
      <c r="N15" s="48">
        <f t="shared" si="2"/>
        <v>11141624.134885423</v>
      </c>
      <c r="O15"/>
      <c r="P15"/>
      <c r="Q15"/>
      <c r="R15"/>
      <c r="S15"/>
      <c r="T15"/>
      <c r="V15" s="112" t="s">
        <v>7</v>
      </c>
      <c r="W15" s="112">
        <v>83</v>
      </c>
      <c r="X15" s="112">
        <v>140569533743850.47</v>
      </c>
      <c r="Y15" s="112"/>
      <c r="Z15" s="138"/>
      <c r="AA15" s="138"/>
    </row>
    <row r="16" spans="1:35" ht="13.5" thickBot="1" x14ac:dyDescent="0.25">
      <c r="A16" s="47">
        <v>42794</v>
      </c>
      <c r="B16" s="48">
        <f>Inputs!D73</f>
        <v>15034182.73</v>
      </c>
      <c r="C16" s="48">
        <f>Inputs!E73</f>
        <v>98842.77</v>
      </c>
      <c r="D16" s="48">
        <f t="shared" si="0"/>
        <v>15133025.5</v>
      </c>
      <c r="E16" s="48">
        <v>1201380.51</v>
      </c>
      <c r="F16" s="48">
        <v>3901375.5300000003</v>
      </c>
      <c r="G16" s="48">
        <f t="shared" si="1"/>
        <v>10030269.460000001</v>
      </c>
      <c r="H16" s="48">
        <f t="shared" ref="H16:I79" si="3">H4</f>
        <v>534.49999999999989</v>
      </c>
      <c r="I16" s="48">
        <f t="shared" si="3"/>
        <v>0</v>
      </c>
      <c r="J16" s="48">
        <v>28</v>
      </c>
      <c r="K16" s="110">
        <v>0</v>
      </c>
      <c r="L16" s="48">
        <f>Inputs!G73+Inputs!I73+Inputs!L73+Inputs!O73+Inputs!R73+Inputs!AA73</f>
        <v>7111</v>
      </c>
      <c r="M16" s="48">
        <v>0</v>
      </c>
      <c r="N16" s="48">
        <f t="shared" si="2"/>
        <v>10160003.284120595</v>
      </c>
      <c r="O16"/>
      <c r="P16"/>
      <c r="Q16"/>
      <c r="R16"/>
      <c r="S16"/>
      <c r="T16"/>
    </row>
    <row r="17" spans="1:28" x14ac:dyDescent="0.2">
      <c r="A17" s="47">
        <v>42825</v>
      </c>
      <c r="B17" s="48">
        <f>Inputs!D74</f>
        <v>16518332.300000001</v>
      </c>
      <c r="C17" s="48">
        <f>Inputs!E74</f>
        <v>144381.45000000001</v>
      </c>
      <c r="D17" s="48">
        <f t="shared" si="0"/>
        <v>16662713.75</v>
      </c>
      <c r="E17" s="48">
        <v>1325848.7599999998</v>
      </c>
      <c r="F17" s="48">
        <v>4291491.49</v>
      </c>
      <c r="G17" s="48">
        <f t="shared" si="1"/>
        <v>11045373.5</v>
      </c>
      <c r="H17" s="48">
        <f t="shared" si="3"/>
        <v>556.09999999999991</v>
      </c>
      <c r="I17" s="48">
        <f t="shared" si="3"/>
        <v>0</v>
      </c>
      <c r="J17" s="48">
        <v>31</v>
      </c>
      <c r="K17" s="110">
        <v>1</v>
      </c>
      <c r="L17" s="48">
        <f>Inputs!G74+Inputs!I74+Inputs!L74+Inputs!O74+Inputs!R74+Inputs!AA74</f>
        <v>7115</v>
      </c>
      <c r="M17" s="48">
        <v>0</v>
      </c>
      <c r="N17" s="48">
        <f t="shared" si="2"/>
        <v>10714051.446210587</v>
      </c>
      <c r="O17"/>
      <c r="P17"/>
      <c r="Q17"/>
      <c r="R17"/>
      <c r="S17"/>
      <c r="T17"/>
      <c r="V17" s="113"/>
      <c r="W17" s="113" t="s">
        <v>30</v>
      </c>
      <c r="X17" s="113" t="s">
        <v>19</v>
      </c>
      <c r="Y17" s="113" t="s">
        <v>31</v>
      </c>
      <c r="Z17" s="113" t="s">
        <v>32</v>
      </c>
      <c r="AA17" s="113" t="s">
        <v>33</v>
      </c>
      <c r="AB17" s="113" t="s">
        <v>34</v>
      </c>
    </row>
    <row r="18" spans="1:28" x14ac:dyDescent="0.2">
      <c r="A18" s="47">
        <v>42855</v>
      </c>
      <c r="B18" s="48">
        <f>Inputs!D75</f>
        <v>13982812.939999999</v>
      </c>
      <c r="C18" s="48">
        <f>Inputs!E75</f>
        <v>180225.96</v>
      </c>
      <c r="D18" s="48">
        <f t="shared" si="0"/>
        <v>14163038.9</v>
      </c>
      <c r="E18" s="48">
        <v>1205713.79</v>
      </c>
      <c r="F18" s="48">
        <v>3567728.34</v>
      </c>
      <c r="G18" s="48">
        <f t="shared" si="1"/>
        <v>9389596.7699999996</v>
      </c>
      <c r="H18" s="48">
        <f t="shared" si="3"/>
        <v>290.59999999999997</v>
      </c>
      <c r="I18" s="48">
        <f t="shared" si="3"/>
        <v>2.6</v>
      </c>
      <c r="J18" s="48">
        <v>30</v>
      </c>
      <c r="K18" s="110">
        <v>1</v>
      </c>
      <c r="L18" s="48">
        <f>Inputs!G75+Inputs!I75+Inputs!L75+Inputs!O75+Inputs!R75+Inputs!AA75</f>
        <v>7119</v>
      </c>
      <c r="M18" s="48">
        <v>0</v>
      </c>
      <c r="N18" s="48">
        <f t="shared" si="2"/>
        <v>9961656.3052849323</v>
      </c>
      <c r="O18"/>
      <c r="P18"/>
      <c r="Q18"/>
      <c r="R18"/>
      <c r="S18"/>
      <c r="T18"/>
      <c r="V18" t="s">
        <v>24</v>
      </c>
      <c r="W18" s="136">
        <v>-11446292.259978946</v>
      </c>
      <c r="X18" s="136">
        <v>1894729.8713523496</v>
      </c>
      <c r="Y18" s="137">
        <v>-6.0411209181017655</v>
      </c>
      <c r="Z18" s="137">
        <v>5.0815512018787012E-8</v>
      </c>
      <c r="AA18" s="136">
        <v>-15219181.44438298</v>
      </c>
      <c r="AB18" s="136">
        <v>-7673403.0755749112</v>
      </c>
    </row>
    <row r="19" spans="1:28" x14ac:dyDescent="0.2">
      <c r="A19" s="47">
        <v>42886</v>
      </c>
      <c r="B19" s="48">
        <f>Inputs!D76</f>
        <v>15061646.42</v>
      </c>
      <c r="C19" s="48">
        <f>Inputs!E76</f>
        <v>211937.72</v>
      </c>
      <c r="D19" s="48">
        <f t="shared" si="0"/>
        <v>15273584.140000001</v>
      </c>
      <c r="E19" s="48">
        <v>1314156.01</v>
      </c>
      <c r="F19" s="48">
        <v>3987885.81</v>
      </c>
      <c r="G19" s="48">
        <f t="shared" si="1"/>
        <v>9971542.3200000003</v>
      </c>
      <c r="H19" s="48">
        <f t="shared" si="3"/>
        <v>153</v>
      </c>
      <c r="I19" s="48">
        <f t="shared" si="3"/>
        <v>8.9</v>
      </c>
      <c r="J19" s="48">
        <v>31</v>
      </c>
      <c r="K19" s="110">
        <v>1</v>
      </c>
      <c r="L19" s="48">
        <f>Inputs!G76+Inputs!I76+Inputs!L76+Inputs!O76+Inputs!R76+Inputs!AA76</f>
        <v>7125</v>
      </c>
      <c r="M19" s="48">
        <v>0</v>
      </c>
      <c r="N19" s="48">
        <f t="shared" si="2"/>
        <v>10224588.916708529</v>
      </c>
      <c r="O19"/>
      <c r="P19"/>
      <c r="Q19"/>
      <c r="R19"/>
      <c r="S19"/>
      <c r="T19"/>
      <c r="V19" t="s">
        <v>2</v>
      </c>
      <c r="W19" s="136">
        <v>1908.6774191767352</v>
      </c>
      <c r="X19" s="136">
        <v>313.91277188568682</v>
      </c>
      <c r="Y19" s="137">
        <v>6.0802795875785236</v>
      </c>
      <c r="Z19" s="137">
        <v>4.3097038926344034E-8</v>
      </c>
      <c r="AA19" s="136">
        <v>1283.5972323908099</v>
      </c>
      <c r="AB19" s="136">
        <v>2533.7576059626604</v>
      </c>
    </row>
    <row r="20" spans="1:28" x14ac:dyDescent="0.2">
      <c r="A20" s="47">
        <v>42916</v>
      </c>
      <c r="B20" s="48">
        <f>Inputs!D77</f>
        <v>16237904.83</v>
      </c>
      <c r="C20" s="48">
        <f>Inputs!E77</f>
        <v>236828.58</v>
      </c>
      <c r="D20" s="48">
        <f t="shared" si="0"/>
        <v>16474733.41</v>
      </c>
      <c r="E20" s="48">
        <v>1376051.22</v>
      </c>
      <c r="F20" s="48">
        <v>3867008.4699999997</v>
      </c>
      <c r="G20" s="48">
        <f t="shared" si="1"/>
        <v>11231673.719999999</v>
      </c>
      <c r="H20" s="48">
        <f t="shared" si="3"/>
        <v>34.9</v>
      </c>
      <c r="I20" s="48">
        <f t="shared" si="3"/>
        <v>31.9</v>
      </c>
      <c r="J20" s="48">
        <v>30</v>
      </c>
      <c r="K20" s="110">
        <v>0</v>
      </c>
      <c r="L20" s="48">
        <f>Inputs!G77+Inputs!I77+Inputs!L77+Inputs!O77+Inputs!R77+Inputs!AA77</f>
        <v>7136</v>
      </c>
      <c r="M20" s="48">
        <v>0</v>
      </c>
      <c r="N20" s="48">
        <f t="shared" si="2"/>
        <v>10850702.888966812</v>
      </c>
      <c r="O20"/>
      <c r="P20"/>
      <c r="Q20"/>
      <c r="R20"/>
      <c r="S20"/>
      <c r="T20"/>
      <c r="V20" t="s">
        <v>3</v>
      </c>
      <c r="W20" s="136">
        <v>29655.712191950635</v>
      </c>
      <c r="X20" s="136">
        <v>2244.0233373843021</v>
      </c>
      <c r="Y20" s="137">
        <v>13.215420578699588</v>
      </c>
      <c r="Z20" s="137">
        <v>1.712362563743408E-21</v>
      </c>
      <c r="AA20" s="136">
        <v>25187.290858030032</v>
      </c>
      <c r="AB20" s="136">
        <v>34124.133525871235</v>
      </c>
    </row>
    <row r="21" spans="1:28" x14ac:dyDescent="0.2">
      <c r="A21" s="47">
        <v>42947</v>
      </c>
      <c r="B21" s="48">
        <f>Inputs!D78</f>
        <v>16605648.27</v>
      </c>
      <c r="C21" s="48">
        <f>Inputs!E78</f>
        <v>225248.93</v>
      </c>
      <c r="D21" s="48">
        <f t="shared" si="0"/>
        <v>16830897.199999999</v>
      </c>
      <c r="E21" s="48">
        <v>1358368.19</v>
      </c>
      <c r="F21" s="48">
        <v>3233481.45</v>
      </c>
      <c r="G21" s="48">
        <f t="shared" si="1"/>
        <v>12239047.559999999</v>
      </c>
      <c r="H21" s="48">
        <f t="shared" si="3"/>
        <v>2.4</v>
      </c>
      <c r="I21" s="48">
        <f t="shared" si="3"/>
        <v>80.3</v>
      </c>
      <c r="J21" s="48">
        <v>31</v>
      </c>
      <c r="K21" s="110">
        <v>0</v>
      </c>
      <c r="L21" s="48">
        <f>Inputs!G78+Inputs!I78+Inputs!L78+Inputs!O78+Inputs!R78+Inputs!AA78</f>
        <v>7145</v>
      </c>
      <c r="M21" s="48">
        <v>0</v>
      </c>
      <c r="N21" s="48">
        <f t="shared" si="2"/>
        <v>12567539.83032492</v>
      </c>
      <c r="O21"/>
      <c r="P21"/>
      <c r="Q21"/>
      <c r="R21"/>
      <c r="S21"/>
      <c r="T21"/>
      <c r="V21" t="s">
        <v>90</v>
      </c>
      <c r="W21" s="136">
        <v>329141.93769719225</v>
      </c>
      <c r="X21" s="136">
        <v>57750.698255594907</v>
      </c>
      <c r="Y21" s="137">
        <v>5.6993585816134242</v>
      </c>
      <c r="Z21" s="137">
        <v>2.1087728655213577E-7</v>
      </c>
      <c r="AA21" s="136">
        <v>214145.60595899058</v>
      </c>
      <c r="AB21" s="136">
        <v>444138.26943539392</v>
      </c>
    </row>
    <row r="22" spans="1:28" x14ac:dyDescent="0.2">
      <c r="A22" s="47">
        <v>42978</v>
      </c>
      <c r="B22" s="48">
        <f>Inputs!D79</f>
        <v>16791868.32</v>
      </c>
      <c r="C22" s="48">
        <f>Inputs!E79</f>
        <v>209082.47</v>
      </c>
      <c r="D22" s="48">
        <f t="shared" si="0"/>
        <v>17000950.789999999</v>
      </c>
      <c r="E22" s="48">
        <v>1152624.01</v>
      </c>
      <c r="F22" s="48">
        <v>3878368.4</v>
      </c>
      <c r="G22" s="48">
        <f t="shared" si="1"/>
        <v>11969958.379999999</v>
      </c>
      <c r="H22" s="48">
        <f t="shared" si="3"/>
        <v>19.8</v>
      </c>
      <c r="I22" s="48">
        <f t="shared" si="3"/>
        <v>35.299999999999997</v>
      </c>
      <c r="J22" s="48">
        <v>31</v>
      </c>
      <c r="K22" s="110">
        <v>0</v>
      </c>
      <c r="L22" s="48">
        <f>Inputs!G79+Inputs!I79+Inputs!L79+Inputs!O79+Inputs!R79+Inputs!AA79</f>
        <v>7160</v>
      </c>
      <c r="M22" s="48">
        <v>0</v>
      </c>
      <c r="N22" s="48">
        <f t="shared" si="2"/>
        <v>11290228.018270401</v>
      </c>
      <c r="O22"/>
      <c r="P22"/>
      <c r="Q22"/>
      <c r="R22"/>
      <c r="S22"/>
      <c r="T22"/>
      <c r="V22" t="s">
        <v>13</v>
      </c>
      <c r="W22" s="136">
        <v>-481000.88311969</v>
      </c>
      <c r="X22" s="136">
        <v>119331.6743249312</v>
      </c>
      <c r="Y22" s="137">
        <v>-4.0307896946954811</v>
      </c>
      <c r="Z22" s="137">
        <v>1.2959189063699509E-4</v>
      </c>
      <c r="AA22" s="136">
        <v>-718620.60412826447</v>
      </c>
      <c r="AB22" s="136">
        <v>-243381.1621111155</v>
      </c>
    </row>
    <row r="23" spans="1:28" x14ac:dyDescent="0.2">
      <c r="A23" s="47">
        <v>43008</v>
      </c>
      <c r="B23" s="48">
        <f>Inputs!D80</f>
        <v>15184922.210000001</v>
      </c>
      <c r="C23" s="48">
        <f>Inputs!E80</f>
        <v>202752.04</v>
      </c>
      <c r="D23" s="48">
        <f t="shared" si="0"/>
        <v>15387674.25</v>
      </c>
      <c r="E23" s="48">
        <v>1015208.41</v>
      </c>
      <c r="F23" s="48">
        <v>3513213.06</v>
      </c>
      <c r="G23" s="48">
        <f t="shared" si="1"/>
        <v>10859252.779999999</v>
      </c>
      <c r="H23" s="48">
        <f t="shared" si="3"/>
        <v>52.500000000000007</v>
      </c>
      <c r="I23" s="48">
        <f t="shared" si="3"/>
        <v>29.200000000000003</v>
      </c>
      <c r="J23" s="48">
        <v>30</v>
      </c>
      <c r="K23" s="110">
        <v>1</v>
      </c>
      <c r="L23" s="48">
        <f>Inputs!G80+Inputs!I80+Inputs!L80+Inputs!O80+Inputs!R80+Inputs!AA80</f>
        <v>7167</v>
      </c>
      <c r="M23" s="48">
        <v>0</v>
      </c>
      <c r="N23" s="48">
        <f t="shared" si="2"/>
        <v>10372791.754451504</v>
      </c>
      <c r="O23"/>
      <c r="P23"/>
      <c r="Q23"/>
      <c r="R23"/>
      <c r="S23"/>
      <c r="T23"/>
      <c r="V23" t="s">
        <v>104</v>
      </c>
      <c r="W23" s="136">
        <v>1598.949965972183</v>
      </c>
      <c r="X23" s="136">
        <v>113.10278726807043</v>
      </c>
      <c r="Y23" s="137">
        <v>14.137140247325945</v>
      </c>
      <c r="Z23" s="137">
        <v>4.2551007095808547E-23</v>
      </c>
      <c r="AA23" s="136">
        <v>1373.7335436939602</v>
      </c>
      <c r="AB23" s="136">
        <v>1824.1663882504058</v>
      </c>
    </row>
    <row r="24" spans="1:28" ht="13.5" thickBot="1" x14ac:dyDescent="0.25">
      <c r="A24" s="47">
        <v>43039</v>
      </c>
      <c r="B24" s="48">
        <f>Inputs!D81</f>
        <v>14823920.949999999</v>
      </c>
      <c r="C24" s="48">
        <f>Inputs!E81</f>
        <v>127443.61</v>
      </c>
      <c r="D24" s="48">
        <f t="shared" si="0"/>
        <v>14951364.559999999</v>
      </c>
      <c r="E24" s="48">
        <v>941287.92</v>
      </c>
      <c r="F24" s="48">
        <v>3734043.4200000004</v>
      </c>
      <c r="G24" s="48">
        <f t="shared" si="1"/>
        <v>10276033.219999999</v>
      </c>
      <c r="H24" s="48">
        <f t="shared" si="3"/>
        <v>210.69999999999996</v>
      </c>
      <c r="I24" s="48">
        <f t="shared" si="3"/>
        <v>9.4</v>
      </c>
      <c r="J24" s="48">
        <v>31</v>
      </c>
      <c r="K24" s="110">
        <v>1</v>
      </c>
      <c r="L24" s="48">
        <f>Inputs!G81+Inputs!I81+Inputs!L81+Inputs!O81+Inputs!R81+Inputs!AA81</f>
        <v>7177</v>
      </c>
      <c r="M24" s="48">
        <v>0</v>
      </c>
      <c r="N24" s="48">
        <f t="shared" si="2"/>
        <v>10432692.858121553</v>
      </c>
      <c r="O24"/>
      <c r="P24"/>
      <c r="Q24"/>
      <c r="R24"/>
      <c r="S24"/>
      <c r="T24"/>
      <c r="V24" s="112" t="s">
        <v>114</v>
      </c>
      <c r="W24" s="139">
        <v>-1627709.7353904694</v>
      </c>
      <c r="X24" s="139">
        <v>290896.87693051365</v>
      </c>
      <c r="Y24" s="138">
        <v>-5.5954871450176462</v>
      </c>
      <c r="Z24" s="138">
        <v>3.2314060963009273E-7</v>
      </c>
      <c r="AA24" s="139">
        <v>-2206959.4201831087</v>
      </c>
      <c r="AB24" s="139">
        <v>-1048460.0505978301</v>
      </c>
    </row>
    <row r="25" spans="1:28" x14ac:dyDescent="0.2">
      <c r="A25" s="47">
        <v>43069</v>
      </c>
      <c r="B25" s="48">
        <f>Inputs!D82</f>
        <v>15176795.18</v>
      </c>
      <c r="C25" s="48">
        <f>Inputs!E82</f>
        <v>76466.039999999994</v>
      </c>
      <c r="D25" s="48">
        <f t="shared" si="0"/>
        <v>15253261.219999999</v>
      </c>
      <c r="E25" s="48">
        <v>892084.91999999993</v>
      </c>
      <c r="F25" s="48">
        <v>3835597.14</v>
      </c>
      <c r="G25" s="48">
        <f t="shared" si="1"/>
        <v>10525579.159999998</v>
      </c>
      <c r="H25" s="48">
        <f t="shared" si="3"/>
        <v>448.1</v>
      </c>
      <c r="I25" s="48">
        <f t="shared" si="3"/>
        <v>0</v>
      </c>
      <c r="J25" s="48">
        <v>30</v>
      </c>
      <c r="K25" s="110">
        <v>0</v>
      </c>
      <c r="L25" s="48">
        <f>Inputs!G82+Inputs!I82+Inputs!L82+Inputs!O82+Inputs!R82+Inputs!AA82</f>
        <v>7191</v>
      </c>
      <c r="M25" s="48">
        <v>0</v>
      </c>
      <c r="N25" s="48">
        <f t="shared" si="2"/>
        <v>10781293.427775882</v>
      </c>
      <c r="O25"/>
      <c r="P25"/>
      <c r="Q25"/>
      <c r="R25"/>
      <c r="S25"/>
      <c r="T25"/>
      <c r="V25" s="43"/>
    </row>
    <row r="26" spans="1:28" x14ac:dyDescent="0.2">
      <c r="A26" s="47">
        <v>43100</v>
      </c>
      <c r="B26" s="48">
        <f>Inputs!D83</f>
        <v>15312049.84</v>
      </c>
      <c r="C26" s="48">
        <f>Inputs!E83</f>
        <v>29462.42</v>
      </c>
      <c r="D26" s="48">
        <f t="shared" si="0"/>
        <v>15341512.26</v>
      </c>
      <c r="E26" s="48">
        <v>768931.66999999993</v>
      </c>
      <c r="F26" s="48">
        <v>3124271.8600000003</v>
      </c>
      <c r="G26" s="48">
        <f t="shared" si="1"/>
        <v>11448308.73</v>
      </c>
      <c r="H26" s="48">
        <f t="shared" si="3"/>
        <v>462.29999999999995</v>
      </c>
      <c r="I26" s="48">
        <f t="shared" si="3"/>
        <v>0</v>
      </c>
      <c r="J26" s="48">
        <v>31</v>
      </c>
      <c r="K26" s="110">
        <v>0</v>
      </c>
      <c r="L26" s="48">
        <f>Inputs!G83+Inputs!I83+Inputs!L83+Inputs!O83+Inputs!R83+Inputs!AA83</f>
        <v>7190</v>
      </c>
      <c r="M26" s="48">
        <v>0</v>
      </c>
      <c r="N26" s="48">
        <f t="shared" si="2"/>
        <v>11135939.634859413</v>
      </c>
      <c r="O26"/>
      <c r="P26"/>
      <c r="Q26"/>
      <c r="R26"/>
      <c r="S26"/>
      <c r="T26"/>
      <c r="V26" s="43" t="s">
        <v>135</v>
      </c>
      <c r="W26" s="155">
        <f>Q87</f>
        <v>0</v>
      </c>
    </row>
    <row r="27" spans="1:28" x14ac:dyDescent="0.2">
      <c r="A27" s="47">
        <v>43131</v>
      </c>
      <c r="B27" s="48">
        <f>Inputs!D84</f>
        <v>16892328.899999995</v>
      </c>
      <c r="C27" s="48">
        <f>Inputs!E84</f>
        <v>37099.270000000004</v>
      </c>
      <c r="D27" s="48">
        <f t="shared" si="0"/>
        <v>16929428.169999994</v>
      </c>
      <c r="E27" s="48">
        <v>920893.58000000007</v>
      </c>
      <c r="F27" s="48">
        <v>3911965.81</v>
      </c>
      <c r="G27" s="48">
        <f t="shared" si="1"/>
        <v>12096568.779999994</v>
      </c>
      <c r="H27" s="48">
        <f t="shared" si="3"/>
        <v>545.69999999999993</v>
      </c>
      <c r="I27" s="48">
        <f t="shared" si="3"/>
        <v>0</v>
      </c>
      <c r="J27" s="48">
        <v>31</v>
      </c>
      <c r="K27" s="110">
        <v>0</v>
      </c>
      <c r="L27" s="48">
        <f>Inputs!G84+Inputs!I84+Inputs!L84+Inputs!O84+Inputs!R84+Inputs!AA84</f>
        <v>7199</v>
      </c>
      <c r="M27" s="48">
        <v>0</v>
      </c>
      <c r="N27" s="48">
        <f>$W$18+$W$19*H27+$W$20*I27+$W$21*J27+$W$22*K27+$W$23*L27+M27*$W$24</f>
        <v>11309513.881312503</v>
      </c>
      <c r="O27"/>
      <c r="P27"/>
      <c r="Q27"/>
      <c r="R27"/>
      <c r="S27"/>
      <c r="T27"/>
    </row>
    <row r="28" spans="1:28" x14ac:dyDescent="0.2">
      <c r="A28" s="47">
        <v>43159</v>
      </c>
      <c r="B28" s="48">
        <f>Inputs!D85</f>
        <v>14940711.98</v>
      </c>
      <c r="C28" s="48">
        <f>Inputs!E85</f>
        <v>50870.44</v>
      </c>
      <c r="D28" s="48">
        <f t="shared" si="0"/>
        <v>14991582.42</v>
      </c>
      <c r="E28" s="48">
        <v>760193.62</v>
      </c>
      <c r="F28" s="48">
        <v>3678957.04</v>
      </c>
      <c r="G28" s="48">
        <f t="shared" si="1"/>
        <v>10552431.760000002</v>
      </c>
      <c r="H28" s="48">
        <f t="shared" si="3"/>
        <v>534.49999999999989</v>
      </c>
      <c r="I28" s="48">
        <f t="shared" si="3"/>
        <v>0</v>
      </c>
      <c r="J28" s="48">
        <v>28</v>
      </c>
      <c r="K28" s="110">
        <v>0</v>
      </c>
      <c r="L28" s="48">
        <f>Inputs!G85+Inputs!I85+Inputs!L85+Inputs!O85+Inputs!R85+Inputs!AA85</f>
        <v>7202</v>
      </c>
      <c r="M28" s="48">
        <v>0</v>
      </c>
      <c r="N28" s="48">
        <f>$W$18+$W$19*H28+$W$20*I28+$W$21*J28+$W$22*K28+$W$23*L28+M28*$W$24</f>
        <v>10305507.731024064</v>
      </c>
      <c r="O28"/>
      <c r="P28"/>
      <c r="Q28"/>
      <c r="R28"/>
      <c r="S28"/>
      <c r="T28"/>
      <c r="V28" t="s">
        <v>136</v>
      </c>
      <c r="W28" s="143">
        <f>T87</f>
        <v>0</v>
      </c>
    </row>
    <row r="29" spans="1:28" x14ac:dyDescent="0.2">
      <c r="A29" s="47">
        <v>43190</v>
      </c>
      <c r="B29" s="48">
        <f>Inputs!D86</f>
        <v>15870053.460000001</v>
      </c>
      <c r="C29" s="48">
        <f>Inputs!E86</f>
        <v>157401.99</v>
      </c>
      <c r="D29" s="48">
        <f t="shared" si="0"/>
        <v>16027455.450000001</v>
      </c>
      <c r="E29" s="48">
        <v>806290.22000000009</v>
      </c>
      <c r="F29" s="48">
        <v>3925852.3400000003</v>
      </c>
      <c r="G29" s="48">
        <f t="shared" si="1"/>
        <v>11295312.890000001</v>
      </c>
      <c r="H29" s="48">
        <f t="shared" si="3"/>
        <v>556.09999999999991</v>
      </c>
      <c r="I29" s="48">
        <f t="shared" si="3"/>
        <v>0</v>
      </c>
      <c r="J29" s="48">
        <v>31</v>
      </c>
      <c r="K29" s="110">
        <v>1</v>
      </c>
      <c r="L29" s="48">
        <f>Inputs!G86+Inputs!I86+Inputs!L86+Inputs!O86+Inputs!R86+Inputs!AA86</f>
        <v>7212</v>
      </c>
      <c r="M29" s="48">
        <v>0</v>
      </c>
      <c r="N29" s="48">
        <f t="shared" si="2"/>
        <v>10869149.592909889</v>
      </c>
      <c r="O29"/>
      <c r="P29"/>
      <c r="Q29"/>
      <c r="R29"/>
      <c r="S29"/>
      <c r="T29"/>
      <c r="V29" t="s">
        <v>137</v>
      </c>
      <c r="W29" s="143">
        <f>R87</f>
        <v>0</v>
      </c>
    </row>
    <row r="30" spans="1:28" x14ac:dyDescent="0.2">
      <c r="A30" s="47">
        <v>43220</v>
      </c>
      <c r="B30" s="48">
        <f>Inputs!D87</f>
        <v>14690754.840000002</v>
      </c>
      <c r="C30" s="48">
        <f>Inputs!E87</f>
        <v>155665.48000000001</v>
      </c>
      <c r="D30" s="48">
        <f t="shared" si="0"/>
        <v>14846420.320000002</v>
      </c>
      <c r="E30" s="48">
        <v>722326.02</v>
      </c>
      <c r="F30" s="48">
        <v>3713769.13</v>
      </c>
      <c r="G30" s="48">
        <f t="shared" si="1"/>
        <v>10410325.170000002</v>
      </c>
      <c r="H30" s="48">
        <f t="shared" si="3"/>
        <v>290.59999999999997</v>
      </c>
      <c r="I30" s="48">
        <f t="shared" si="3"/>
        <v>2.6</v>
      </c>
      <c r="J30" s="48">
        <v>30</v>
      </c>
      <c r="K30" s="110">
        <v>1</v>
      </c>
      <c r="L30" s="48">
        <f>Inputs!G87+Inputs!I87+Inputs!L87+Inputs!O87+Inputs!R87+Inputs!AA87</f>
        <v>7220</v>
      </c>
      <c r="M30" s="48">
        <v>0</v>
      </c>
      <c r="N30" s="48">
        <f t="shared" si="2"/>
        <v>10123150.251848122</v>
      </c>
      <c r="O30"/>
      <c r="P30"/>
      <c r="Q30"/>
      <c r="R30"/>
      <c r="S30"/>
      <c r="T30"/>
    </row>
    <row r="31" spans="1:28" x14ac:dyDescent="0.2">
      <c r="A31" s="47">
        <v>43251</v>
      </c>
      <c r="B31" s="48">
        <f>Inputs!D88</f>
        <v>15199975.959999999</v>
      </c>
      <c r="C31" s="48">
        <f>Inputs!E88</f>
        <v>229192.52000000002</v>
      </c>
      <c r="D31" s="48">
        <f t="shared" si="0"/>
        <v>15429168.479999999</v>
      </c>
      <c r="E31" s="48">
        <v>825640.29</v>
      </c>
      <c r="F31" s="48">
        <v>3812144.22</v>
      </c>
      <c r="G31" s="48">
        <f t="shared" si="1"/>
        <v>10791383.969999997</v>
      </c>
      <c r="H31" s="48">
        <f t="shared" si="3"/>
        <v>153</v>
      </c>
      <c r="I31" s="48">
        <f t="shared" si="3"/>
        <v>8.9</v>
      </c>
      <c r="J31" s="48">
        <v>31</v>
      </c>
      <c r="K31" s="110">
        <v>1</v>
      </c>
      <c r="L31" s="48">
        <f>Inputs!G88+Inputs!I88+Inputs!L88+Inputs!O88+Inputs!R88+Inputs!AA88</f>
        <v>7230</v>
      </c>
      <c r="M31" s="48">
        <v>0</v>
      </c>
      <c r="N31" s="48">
        <f t="shared" si="2"/>
        <v>10392478.663135609</v>
      </c>
      <c r="O31"/>
      <c r="P31"/>
      <c r="Q31"/>
      <c r="R31"/>
      <c r="S31"/>
      <c r="T31"/>
      <c r="V31" t="s">
        <v>138</v>
      </c>
      <c r="W31" s="156" t="e">
        <f>W28/W29</f>
        <v>#DIV/0!</v>
      </c>
    </row>
    <row r="32" spans="1:28" x14ac:dyDescent="0.2">
      <c r="A32" s="47">
        <v>43281</v>
      </c>
      <c r="B32" s="48">
        <f>Inputs!D89</f>
        <v>15726339.940000001</v>
      </c>
      <c r="C32" s="48">
        <f>Inputs!E89</f>
        <v>208452.3</v>
      </c>
      <c r="D32" s="48">
        <f t="shared" si="0"/>
        <v>15934792.240000002</v>
      </c>
      <c r="E32" s="48">
        <v>784226.41</v>
      </c>
      <c r="F32" s="48">
        <v>3559018.29</v>
      </c>
      <c r="G32" s="48">
        <f t="shared" si="1"/>
        <v>11591547.540000003</v>
      </c>
      <c r="H32" s="48">
        <f t="shared" si="3"/>
        <v>34.9</v>
      </c>
      <c r="I32" s="48">
        <f t="shared" si="3"/>
        <v>31.9</v>
      </c>
      <c r="J32" s="48">
        <v>30</v>
      </c>
      <c r="K32" s="110">
        <v>0</v>
      </c>
      <c r="L32" s="48">
        <f>Inputs!G89+Inputs!I89+Inputs!L89+Inputs!O89+Inputs!R89+Inputs!AA89</f>
        <v>7247</v>
      </c>
      <c r="M32" s="48">
        <v>0</v>
      </c>
      <c r="N32" s="48">
        <f t="shared" si="2"/>
        <v>11028186.335189724</v>
      </c>
      <c r="O32"/>
      <c r="P32"/>
      <c r="Q32"/>
      <c r="R32"/>
      <c r="S32"/>
      <c r="T32"/>
    </row>
    <row r="33" spans="1:20" x14ac:dyDescent="0.2">
      <c r="A33" s="47">
        <v>43312</v>
      </c>
      <c r="B33" s="48">
        <f>Inputs!D90</f>
        <v>17253025.84</v>
      </c>
      <c r="C33" s="48">
        <f>Inputs!E90</f>
        <v>237873.48</v>
      </c>
      <c r="D33" s="48">
        <f t="shared" si="0"/>
        <v>17490899.32</v>
      </c>
      <c r="E33" s="48">
        <v>792777.92999999993</v>
      </c>
      <c r="F33" s="48">
        <v>3396535.0500000003</v>
      </c>
      <c r="G33" s="48">
        <f t="shared" si="1"/>
        <v>13301586.34</v>
      </c>
      <c r="H33" s="48">
        <f t="shared" si="3"/>
        <v>2.4</v>
      </c>
      <c r="I33" s="48">
        <f t="shared" si="3"/>
        <v>80.3</v>
      </c>
      <c r="J33" s="48">
        <v>31</v>
      </c>
      <c r="K33" s="110">
        <v>0</v>
      </c>
      <c r="L33" s="48">
        <f>Inputs!G90+Inputs!I90+Inputs!L90+Inputs!O90+Inputs!R90+Inputs!AA90</f>
        <v>7270</v>
      </c>
      <c r="M33" s="48">
        <v>0</v>
      </c>
      <c r="N33" s="48">
        <f t="shared" si="2"/>
        <v>12767408.576071443</v>
      </c>
      <c r="O33"/>
      <c r="P33"/>
      <c r="Q33"/>
      <c r="R33"/>
      <c r="S33"/>
      <c r="T33"/>
    </row>
    <row r="34" spans="1:20" x14ac:dyDescent="0.2">
      <c r="A34" s="47">
        <v>43343</v>
      </c>
      <c r="B34" s="48">
        <f>Inputs!D91</f>
        <v>17560844.650000006</v>
      </c>
      <c r="C34" s="48">
        <f>Inputs!E91</f>
        <v>198710.13</v>
      </c>
      <c r="D34" s="48">
        <f t="shared" si="0"/>
        <v>17759554.780000005</v>
      </c>
      <c r="E34" s="48">
        <v>827923.55</v>
      </c>
      <c r="F34" s="48">
        <v>3522903.7199999997</v>
      </c>
      <c r="G34" s="48">
        <f t="shared" si="1"/>
        <v>13408727.510000005</v>
      </c>
      <c r="H34" s="48">
        <f t="shared" si="3"/>
        <v>19.8</v>
      </c>
      <c r="I34" s="48">
        <f t="shared" si="3"/>
        <v>35.299999999999997</v>
      </c>
      <c r="J34" s="48">
        <v>31</v>
      </c>
      <c r="K34" s="110">
        <v>0</v>
      </c>
      <c r="L34" s="48">
        <f>Inputs!G91+Inputs!I91+Inputs!L91+Inputs!O91+Inputs!R91+Inputs!AA91</f>
        <v>7289</v>
      </c>
      <c r="M34" s="48">
        <v>0</v>
      </c>
      <c r="N34" s="48">
        <f t="shared" si="2"/>
        <v>11496492.563880812</v>
      </c>
      <c r="O34"/>
      <c r="P34"/>
      <c r="Q34"/>
      <c r="R34"/>
      <c r="S34"/>
      <c r="T34"/>
    </row>
    <row r="35" spans="1:20" x14ac:dyDescent="0.2">
      <c r="A35" s="47">
        <v>43373</v>
      </c>
      <c r="B35" s="48">
        <f>Inputs!D92</f>
        <v>15504314.149999997</v>
      </c>
      <c r="C35" s="48">
        <f>Inputs!E92</f>
        <v>151817.58000000002</v>
      </c>
      <c r="D35" s="48">
        <f t="shared" si="0"/>
        <v>15656131.729999997</v>
      </c>
      <c r="E35" s="48">
        <v>797357.40999999992</v>
      </c>
      <c r="F35" s="48">
        <v>3371795.6599999997</v>
      </c>
      <c r="G35" s="48">
        <f t="shared" si="1"/>
        <v>11486978.659999996</v>
      </c>
      <c r="H35" s="48">
        <f t="shared" si="3"/>
        <v>52.500000000000007</v>
      </c>
      <c r="I35" s="48">
        <f t="shared" si="3"/>
        <v>29.200000000000003</v>
      </c>
      <c r="J35" s="48">
        <v>30</v>
      </c>
      <c r="K35" s="110">
        <v>1</v>
      </c>
      <c r="L35" s="48">
        <f>Inputs!G92+Inputs!I92+Inputs!L92+Inputs!O92+Inputs!R92+Inputs!AA92</f>
        <v>7297</v>
      </c>
      <c r="M35" s="48">
        <v>0</v>
      </c>
      <c r="N35" s="48">
        <f t="shared" si="2"/>
        <v>10580655.250027888</v>
      </c>
      <c r="O35"/>
      <c r="P35"/>
      <c r="Q35"/>
      <c r="R35"/>
      <c r="S35"/>
      <c r="T35"/>
    </row>
    <row r="36" spans="1:20" x14ac:dyDescent="0.2">
      <c r="A36" s="47">
        <v>43404</v>
      </c>
      <c r="B36" s="48">
        <f>Inputs!D93</f>
        <v>15079922.620000003</v>
      </c>
      <c r="C36" s="48">
        <f>Inputs!E93</f>
        <v>103570.98</v>
      </c>
      <c r="D36" s="48">
        <f t="shared" si="0"/>
        <v>15183493.600000003</v>
      </c>
      <c r="E36" s="48">
        <v>847707.74</v>
      </c>
      <c r="F36" s="48">
        <v>3547208.5700000003</v>
      </c>
      <c r="G36" s="48">
        <f t="shared" si="1"/>
        <v>10788577.290000003</v>
      </c>
      <c r="H36" s="48">
        <f t="shared" si="3"/>
        <v>210.69999999999996</v>
      </c>
      <c r="I36" s="48">
        <f t="shared" si="3"/>
        <v>9.4</v>
      </c>
      <c r="J36" s="48">
        <v>31</v>
      </c>
      <c r="K36" s="110">
        <v>1</v>
      </c>
      <c r="L36" s="48">
        <f>Inputs!G93+Inputs!I93+Inputs!L93+Inputs!O93+Inputs!R93+Inputs!AA93</f>
        <v>7309</v>
      </c>
      <c r="M36" s="48">
        <v>0</v>
      </c>
      <c r="N36" s="48">
        <f t="shared" si="2"/>
        <v>10643754.253629882</v>
      </c>
      <c r="O36"/>
      <c r="P36"/>
      <c r="Q36"/>
      <c r="R36"/>
      <c r="S36"/>
      <c r="T36"/>
    </row>
    <row r="37" spans="1:20" x14ac:dyDescent="0.2">
      <c r="A37" s="47">
        <v>43434</v>
      </c>
      <c r="B37" s="48">
        <f>Inputs!D94</f>
        <v>15240429.750000002</v>
      </c>
      <c r="C37" s="48">
        <f>Inputs!E94</f>
        <v>36530.949999999997</v>
      </c>
      <c r="D37" s="48">
        <f t="shared" si="0"/>
        <v>15276960.700000001</v>
      </c>
      <c r="E37" s="48">
        <v>844669.66999999993</v>
      </c>
      <c r="F37" s="48">
        <v>3441518.25</v>
      </c>
      <c r="G37" s="48">
        <f t="shared" si="1"/>
        <v>10990772.780000001</v>
      </c>
      <c r="H37" s="48">
        <f t="shared" si="3"/>
        <v>448.1</v>
      </c>
      <c r="I37" s="48">
        <f t="shared" si="3"/>
        <v>0</v>
      </c>
      <c r="J37" s="48">
        <v>30</v>
      </c>
      <c r="K37" s="110">
        <v>0</v>
      </c>
      <c r="L37" s="48">
        <f>Inputs!G94+Inputs!I94+Inputs!L94+Inputs!O94+Inputs!R94+Inputs!AA94</f>
        <v>7309</v>
      </c>
      <c r="M37" s="48">
        <v>0</v>
      </c>
      <c r="N37" s="48">
        <f t="shared" si="2"/>
        <v>10969969.5237606</v>
      </c>
      <c r="O37"/>
      <c r="P37"/>
      <c r="Q37"/>
      <c r="R37"/>
      <c r="S37"/>
      <c r="T37"/>
    </row>
    <row r="38" spans="1:20" x14ac:dyDescent="0.2">
      <c r="A38" s="47">
        <v>43465</v>
      </c>
      <c r="B38" s="48">
        <f>Inputs!D95</f>
        <v>14436070.189999999</v>
      </c>
      <c r="C38" s="48">
        <f>Inputs!E95</f>
        <v>31997.420000000002</v>
      </c>
      <c r="D38" s="48">
        <f t="shared" si="0"/>
        <v>14468067.609999999</v>
      </c>
      <c r="E38" s="48">
        <v>620430.38</v>
      </c>
      <c r="F38" s="48">
        <v>2779734.3800000004</v>
      </c>
      <c r="G38" s="48">
        <f t="shared" si="1"/>
        <v>11067902.849999998</v>
      </c>
      <c r="H38" s="48">
        <f t="shared" si="3"/>
        <v>462.29999999999995</v>
      </c>
      <c r="I38" s="48">
        <f t="shared" si="3"/>
        <v>0</v>
      </c>
      <c r="J38" s="48">
        <v>31</v>
      </c>
      <c r="K38" s="110">
        <v>0</v>
      </c>
      <c r="L38" s="48">
        <f>Inputs!G95+Inputs!I95+Inputs!L95+Inputs!O95+Inputs!R95+Inputs!AA95</f>
        <v>7329</v>
      </c>
      <c r="M38" s="48">
        <v>0</v>
      </c>
      <c r="N38" s="48">
        <f t="shared" si="2"/>
        <v>11358193.680129547</v>
      </c>
      <c r="O38"/>
      <c r="P38"/>
      <c r="Q38"/>
      <c r="R38"/>
      <c r="S38"/>
      <c r="T38"/>
    </row>
    <row r="39" spans="1:20" x14ac:dyDescent="0.2">
      <c r="A39" s="47">
        <v>43496</v>
      </c>
      <c r="B39" s="48">
        <f>Inputs!D96</f>
        <v>16295154.600000001</v>
      </c>
      <c r="C39" s="48">
        <f>Inputs!E96</f>
        <v>46539.969999999994</v>
      </c>
      <c r="D39" s="48">
        <f t="shared" si="0"/>
        <v>16341694.570000002</v>
      </c>
      <c r="E39" s="48">
        <v>407405.83</v>
      </c>
      <c r="F39" s="48">
        <v>3683035.57</v>
      </c>
      <c r="G39" s="48">
        <f t="shared" si="1"/>
        <v>12251253.170000002</v>
      </c>
      <c r="H39" s="48">
        <f t="shared" si="3"/>
        <v>545.69999999999993</v>
      </c>
      <c r="I39" s="48">
        <f t="shared" si="3"/>
        <v>0</v>
      </c>
      <c r="J39" s="48">
        <v>31</v>
      </c>
      <c r="K39" s="110">
        <v>0</v>
      </c>
      <c r="L39" s="48">
        <f>Inputs!G96+Inputs!I96+Inputs!L96+Inputs!O96+Inputs!R96+Inputs!AA96</f>
        <v>7335</v>
      </c>
      <c r="M39" s="48">
        <v>0</v>
      </c>
      <c r="N39" s="48">
        <f t="shared" si="2"/>
        <v>11526971.076684719</v>
      </c>
      <c r="O39"/>
      <c r="P39"/>
      <c r="Q39"/>
      <c r="R39"/>
      <c r="S39"/>
      <c r="T39"/>
    </row>
    <row r="40" spans="1:20" x14ac:dyDescent="0.2">
      <c r="A40" s="47">
        <v>43524</v>
      </c>
      <c r="B40" s="48">
        <f>Inputs!D97</f>
        <v>14247811.720000001</v>
      </c>
      <c r="C40" s="48">
        <f>Inputs!E97</f>
        <v>62626.71</v>
      </c>
      <c r="D40" s="48">
        <f t="shared" si="0"/>
        <v>14310438.430000002</v>
      </c>
      <c r="E40" s="48">
        <v>332490.93</v>
      </c>
      <c r="F40" s="48">
        <v>3240575.56</v>
      </c>
      <c r="G40" s="48">
        <f t="shared" si="1"/>
        <v>10737371.940000001</v>
      </c>
      <c r="H40" s="48">
        <f t="shared" si="3"/>
        <v>534.49999999999989</v>
      </c>
      <c r="I40" s="48">
        <f t="shared" si="3"/>
        <v>0</v>
      </c>
      <c r="J40" s="48">
        <v>28</v>
      </c>
      <c r="K40" s="110">
        <v>0</v>
      </c>
      <c r="L40" s="48">
        <f>Inputs!G97+Inputs!I97+Inputs!L97+Inputs!O97+Inputs!R97+Inputs!AA97</f>
        <v>7343</v>
      </c>
      <c r="M40" s="48">
        <v>0</v>
      </c>
      <c r="N40" s="48">
        <f t="shared" si="2"/>
        <v>10530959.676226141</v>
      </c>
      <c r="O40"/>
      <c r="P40"/>
      <c r="Q40"/>
      <c r="R40"/>
      <c r="S40"/>
      <c r="T40"/>
    </row>
    <row r="41" spans="1:20" x14ac:dyDescent="0.2">
      <c r="A41" s="47">
        <v>43555</v>
      </c>
      <c r="B41" s="48">
        <f>Inputs!D98</f>
        <v>14861723.25</v>
      </c>
      <c r="C41" s="48">
        <f>Inputs!E98</f>
        <v>152139.06</v>
      </c>
      <c r="D41" s="48">
        <f t="shared" si="0"/>
        <v>15013862.310000001</v>
      </c>
      <c r="E41" s="48">
        <v>257080.83</v>
      </c>
      <c r="F41" s="48">
        <v>3459058.4499999997</v>
      </c>
      <c r="G41" s="48">
        <f t="shared" si="1"/>
        <v>11297723.030000001</v>
      </c>
      <c r="H41" s="48">
        <f t="shared" si="3"/>
        <v>556.09999999999991</v>
      </c>
      <c r="I41" s="48">
        <f t="shared" si="3"/>
        <v>0</v>
      </c>
      <c r="J41" s="48">
        <v>31</v>
      </c>
      <c r="K41" s="110">
        <v>1</v>
      </c>
      <c r="L41" s="48">
        <f>Inputs!G98+Inputs!I98+Inputs!L98+Inputs!O98+Inputs!R98+Inputs!AA98</f>
        <v>7347</v>
      </c>
      <c r="M41" s="48">
        <v>0</v>
      </c>
      <c r="N41" s="48">
        <f t="shared" si="2"/>
        <v>11085007.838316135</v>
      </c>
      <c r="O41"/>
      <c r="P41"/>
      <c r="Q41"/>
      <c r="R41"/>
      <c r="S41"/>
      <c r="T41"/>
    </row>
    <row r="42" spans="1:20" x14ac:dyDescent="0.2">
      <c r="A42" s="47">
        <v>43585</v>
      </c>
      <c r="B42" s="48">
        <f>Inputs!D99</f>
        <v>13124081.850000001</v>
      </c>
      <c r="C42" s="48">
        <f>Inputs!E99</f>
        <v>151196.49</v>
      </c>
      <c r="D42" s="48">
        <f t="shared" si="0"/>
        <v>13275278.340000002</v>
      </c>
      <c r="E42" s="48">
        <v>203874.13</v>
      </c>
      <c r="F42" s="48">
        <v>3178346.6399999997</v>
      </c>
      <c r="G42" s="48">
        <f t="shared" si="1"/>
        <v>9893057.5700000003</v>
      </c>
      <c r="H42" s="48">
        <f t="shared" si="3"/>
        <v>290.59999999999997</v>
      </c>
      <c r="I42" s="48">
        <f t="shared" si="3"/>
        <v>2.6</v>
      </c>
      <c r="J42" s="48">
        <v>30</v>
      </c>
      <c r="K42" s="110">
        <v>1</v>
      </c>
      <c r="L42" s="48">
        <f>Inputs!G99+Inputs!I99+Inputs!L99+Inputs!O99+Inputs!R99+Inputs!AA99</f>
        <v>7358</v>
      </c>
      <c r="M42" s="48">
        <v>0</v>
      </c>
      <c r="N42" s="48">
        <f t="shared" si="2"/>
        <v>10343805.347152283</v>
      </c>
      <c r="O42"/>
      <c r="P42"/>
      <c r="Q42"/>
      <c r="R42"/>
      <c r="S42"/>
      <c r="T42"/>
    </row>
    <row r="43" spans="1:20" x14ac:dyDescent="0.2">
      <c r="A43" s="47">
        <v>43616</v>
      </c>
      <c r="B43" s="48">
        <f>Inputs!D100</f>
        <v>13301422.26</v>
      </c>
      <c r="C43" s="48">
        <f>Inputs!E100</f>
        <v>191845.86</v>
      </c>
      <c r="D43" s="48">
        <f t="shared" si="0"/>
        <v>13493268.119999999</v>
      </c>
      <c r="E43" s="48">
        <v>178685.52999999997</v>
      </c>
      <c r="F43" s="48">
        <v>3335680.38</v>
      </c>
      <c r="G43" s="48">
        <f t="shared" si="1"/>
        <v>9978902.2100000009</v>
      </c>
      <c r="H43" s="48">
        <f t="shared" si="3"/>
        <v>153</v>
      </c>
      <c r="I43" s="48">
        <f t="shared" si="3"/>
        <v>8.9</v>
      </c>
      <c r="J43" s="48">
        <v>31</v>
      </c>
      <c r="K43" s="110">
        <v>1</v>
      </c>
      <c r="L43" s="48">
        <f>Inputs!G100+Inputs!I100+Inputs!L100+Inputs!O100+Inputs!R100+Inputs!AA100</f>
        <v>7367</v>
      </c>
      <c r="M43" s="48">
        <v>0</v>
      </c>
      <c r="N43" s="48">
        <f t="shared" si="2"/>
        <v>10611534.808473798</v>
      </c>
      <c r="O43"/>
      <c r="P43"/>
      <c r="Q43"/>
      <c r="R43"/>
      <c r="S43"/>
      <c r="T43"/>
    </row>
    <row r="44" spans="1:20" x14ac:dyDescent="0.2">
      <c r="A44" s="47">
        <v>43646</v>
      </c>
      <c r="B44" s="48">
        <f>Inputs!D101</f>
        <v>14098153.719999997</v>
      </c>
      <c r="C44" s="48">
        <f>Inputs!E101</f>
        <v>205535.26000000004</v>
      </c>
      <c r="D44" s="48">
        <f t="shared" si="0"/>
        <v>14303688.979999997</v>
      </c>
      <c r="E44" s="48">
        <v>166608.38999999998</v>
      </c>
      <c r="F44" s="48">
        <v>3264723.41</v>
      </c>
      <c r="G44" s="48">
        <f t="shared" si="1"/>
        <v>10872357.179999996</v>
      </c>
      <c r="H44" s="48">
        <f t="shared" si="3"/>
        <v>34.9</v>
      </c>
      <c r="I44" s="48">
        <f t="shared" si="3"/>
        <v>31.9</v>
      </c>
      <c r="J44" s="48">
        <v>30</v>
      </c>
      <c r="K44" s="110">
        <v>0</v>
      </c>
      <c r="L44" s="48">
        <f>Inputs!G101+Inputs!I101+Inputs!L101+Inputs!O101+Inputs!R101+Inputs!AA101</f>
        <v>7382</v>
      </c>
      <c r="M44" s="48">
        <v>0</v>
      </c>
      <c r="N44" s="48">
        <f t="shared" si="2"/>
        <v>11244044.58059597</v>
      </c>
      <c r="O44"/>
      <c r="P44"/>
      <c r="Q44"/>
      <c r="R44"/>
      <c r="S44"/>
      <c r="T44"/>
    </row>
    <row r="45" spans="1:20" x14ac:dyDescent="0.2">
      <c r="A45" s="47">
        <v>43677</v>
      </c>
      <c r="B45" s="48">
        <f>Inputs!D102</f>
        <v>17237421.399999999</v>
      </c>
      <c r="C45" s="48">
        <f>Inputs!E102</f>
        <v>234680.17</v>
      </c>
      <c r="D45" s="48">
        <f t="shared" si="0"/>
        <v>17472101.57</v>
      </c>
      <c r="E45" s="48">
        <v>181458.09</v>
      </c>
      <c r="F45" s="48">
        <v>3433936.9</v>
      </c>
      <c r="G45" s="48">
        <f t="shared" si="1"/>
        <v>13856706.58</v>
      </c>
      <c r="H45" s="48">
        <f t="shared" si="3"/>
        <v>2.4</v>
      </c>
      <c r="I45" s="48">
        <f t="shared" si="3"/>
        <v>80.3</v>
      </c>
      <c r="J45" s="48">
        <v>31</v>
      </c>
      <c r="K45" s="110">
        <v>0</v>
      </c>
      <c r="L45" s="48">
        <f>Inputs!G102+Inputs!I102+Inputs!L102+Inputs!O102+Inputs!R102+Inputs!AA102</f>
        <v>7383</v>
      </c>
      <c r="M45" s="48">
        <v>0</v>
      </c>
      <c r="N45" s="48">
        <f t="shared" si="2"/>
        <v>12948089.922226299</v>
      </c>
      <c r="O45"/>
      <c r="P45"/>
      <c r="Q45"/>
      <c r="R45"/>
      <c r="S45"/>
      <c r="T45"/>
    </row>
    <row r="46" spans="1:20" x14ac:dyDescent="0.2">
      <c r="A46" s="47">
        <v>43708</v>
      </c>
      <c r="B46" s="48">
        <f>Inputs!D103</f>
        <v>16150313.539999997</v>
      </c>
      <c r="C46" s="48">
        <f>Inputs!E103</f>
        <v>220608.79000000004</v>
      </c>
      <c r="D46" s="48">
        <f t="shared" si="0"/>
        <v>16370922.329999998</v>
      </c>
      <c r="E46" s="48">
        <v>182486.43</v>
      </c>
      <c r="F46" s="48">
        <v>3410964.21</v>
      </c>
      <c r="G46" s="48">
        <f t="shared" si="1"/>
        <v>12777471.689999998</v>
      </c>
      <c r="H46" s="48">
        <f t="shared" si="3"/>
        <v>19.8</v>
      </c>
      <c r="I46" s="48">
        <f t="shared" si="3"/>
        <v>35.299999999999997</v>
      </c>
      <c r="J46" s="48">
        <v>31</v>
      </c>
      <c r="K46" s="110">
        <v>0</v>
      </c>
      <c r="L46" s="48">
        <f>Inputs!G103+Inputs!I103+Inputs!L103+Inputs!O103+Inputs!R103+Inputs!AA103</f>
        <v>7409</v>
      </c>
      <c r="M46" s="48">
        <v>0</v>
      </c>
      <c r="N46" s="48">
        <f t="shared" si="2"/>
        <v>11688366.559797475</v>
      </c>
      <c r="O46"/>
      <c r="P46"/>
      <c r="Q46"/>
      <c r="R46"/>
      <c r="S46"/>
      <c r="T46"/>
    </row>
    <row r="47" spans="1:20" x14ac:dyDescent="0.2">
      <c r="A47" s="47">
        <v>43738</v>
      </c>
      <c r="B47" s="48">
        <f>Inputs!D104</f>
        <v>14159844.92</v>
      </c>
      <c r="C47" s="48">
        <f>Inputs!E104</f>
        <v>176014.12</v>
      </c>
      <c r="D47" s="48">
        <f t="shared" si="0"/>
        <v>14335859.039999999</v>
      </c>
      <c r="E47" s="48">
        <v>174129.58999999997</v>
      </c>
      <c r="F47" s="48">
        <v>3388939.5999999996</v>
      </c>
      <c r="G47" s="48">
        <f t="shared" si="1"/>
        <v>10772789.85</v>
      </c>
      <c r="H47" s="48">
        <f t="shared" si="3"/>
        <v>52.500000000000007</v>
      </c>
      <c r="I47" s="48">
        <f t="shared" si="3"/>
        <v>29.200000000000003</v>
      </c>
      <c r="J47" s="48">
        <v>30</v>
      </c>
      <c r="K47" s="110">
        <v>1</v>
      </c>
      <c r="L47" s="48">
        <f>Inputs!G104+Inputs!I104+Inputs!L104+Inputs!O104+Inputs!R104+Inputs!AA104</f>
        <v>7446</v>
      </c>
      <c r="M47" s="48">
        <v>0</v>
      </c>
      <c r="N47" s="48">
        <f t="shared" si="2"/>
        <v>10818898.794957742</v>
      </c>
      <c r="O47"/>
      <c r="P47"/>
      <c r="Q47"/>
      <c r="R47"/>
      <c r="S47"/>
      <c r="T47"/>
    </row>
    <row r="48" spans="1:20" x14ac:dyDescent="0.2">
      <c r="A48" s="47">
        <v>43769</v>
      </c>
      <c r="B48" s="48">
        <f>Inputs!D105</f>
        <v>13763436.57</v>
      </c>
      <c r="C48" s="48">
        <f>Inputs!E105</f>
        <v>131016.67999999998</v>
      </c>
      <c r="D48" s="48">
        <f t="shared" si="0"/>
        <v>13894453.25</v>
      </c>
      <c r="E48" s="48">
        <v>182414.28999999998</v>
      </c>
      <c r="F48" s="48">
        <v>3391531.8600000003</v>
      </c>
      <c r="G48" s="48">
        <f t="shared" si="1"/>
        <v>10320507.100000001</v>
      </c>
      <c r="H48" s="48">
        <f t="shared" si="3"/>
        <v>210.69999999999996</v>
      </c>
      <c r="I48" s="48">
        <f t="shared" si="3"/>
        <v>9.4</v>
      </c>
      <c r="J48" s="48">
        <v>31</v>
      </c>
      <c r="K48" s="110">
        <v>1</v>
      </c>
      <c r="L48" s="48">
        <f>Inputs!G105+Inputs!I105+Inputs!L105+Inputs!O105+Inputs!R105+Inputs!AA105</f>
        <v>7456</v>
      </c>
      <c r="M48" s="48">
        <v>0</v>
      </c>
      <c r="N48" s="48">
        <f t="shared" si="2"/>
        <v>10878799.898627793</v>
      </c>
      <c r="O48"/>
      <c r="P48"/>
      <c r="Q48"/>
      <c r="R48"/>
      <c r="S48"/>
      <c r="T48"/>
    </row>
    <row r="49" spans="1:20" x14ac:dyDescent="0.2">
      <c r="A49" s="47">
        <v>43799</v>
      </c>
      <c r="B49" s="48">
        <f>Inputs!D106</f>
        <v>14270971.950000003</v>
      </c>
      <c r="C49" s="48">
        <f>Inputs!E106</f>
        <v>54537.3</v>
      </c>
      <c r="D49" s="48">
        <f t="shared" si="0"/>
        <v>14325509.250000004</v>
      </c>
      <c r="E49" s="48">
        <v>189033.54000000004</v>
      </c>
      <c r="F49" s="48">
        <v>3150961.7699999996</v>
      </c>
      <c r="G49" s="48">
        <f t="shared" si="1"/>
        <v>10985513.940000005</v>
      </c>
      <c r="H49" s="48">
        <f t="shared" si="3"/>
        <v>448.1</v>
      </c>
      <c r="I49" s="48">
        <f t="shared" si="3"/>
        <v>0</v>
      </c>
      <c r="J49" s="48">
        <v>30</v>
      </c>
      <c r="K49" s="110">
        <v>0</v>
      </c>
      <c r="L49" s="48">
        <f>Inputs!G106+Inputs!I106+Inputs!L106+Inputs!O106+Inputs!R106+Inputs!AA106</f>
        <v>7479</v>
      </c>
      <c r="M49" s="48">
        <v>0</v>
      </c>
      <c r="N49" s="48">
        <f t="shared" si="2"/>
        <v>11241791.017975871</v>
      </c>
      <c r="O49"/>
      <c r="P49"/>
      <c r="Q49"/>
      <c r="R49"/>
      <c r="S49"/>
      <c r="T49"/>
    </row>
    <row r="50" spans="1:20" x14ac:dyDescent="0.2">
      <c r="A50" s="47">
        <v>43830</v>
      </c>
      <c r="B50" s="48">
        <f>Inputs!D107</f>
        <v>14104425.360000001</v>
      </c>
      <c r="C50" s="48">
        <f>Inputs!E107</f>
        <v>40652.15</v>
      </c>
      <c r="D50" s="48">
        <f t="shared" si="0"/>
        <v>14145077.510000002</v>
      </c>
      <c r="E50" s="48">
        <v>156379.99</v>
      </c>
      <c r="F50" s="48">
        <v>2676040.65</v>
      </c>
      <c r="G50" s="48">
        <f t="shared" si="1"/>
        <v>11312656.870000001</v>
      </c>
      <c r="H50" s="48">
        <f t="shared" si="3"/>
        <v>462.29999999999995</v>
      </c>
      <c r="I50" s="48">
        <f t="shared" si="3"/>
        <v>0</v>
      </c>
      <c r="J50" s="48">
        <v>31</v>
      </c>
      <c r="K50" s="110">
        <v>0</v>
      </c>
      <c r="L50" s="48">
        <f>Inputs!G107+Inputs!I107+Inputs!L107+Inputs!O107+Inputs!R107+Inputs!AA107</f>
        <v>7489</v>
      </c>
      <c r="M50" s="48">
        <v>0</v>
      </c>
      <c r="N50" s="48">
        <f t="shared" si="2"/>
        <v>11614025.674685096</v>
      </c>
      <c r="O50"/>
      <c r="P50"/>
      <c r="Q50"/>
      <c r="R50"/>
      <c r="S50"/>
      <c r="T50"/>
    </row>
    <row r="51" spans="1:20" x14ac:dyDescent="0.2">
      <c r="A51" s="47">
        <v>43861</v>
      </c>
      <c r="B51" s="48">
        <f>Inputs!D108</f>
        <v>15014091.720000003</v>
      </c>
      <c r="C51" s="48">
        <f>Inputs!E108</f>
        <v>35136.76</v>
      </c>
      <c r="D51" s="48">
        <f t="shared" si="0"/>
        <v>15049228.480000002</v>
      </c>
      <c r="E51" s="48">
        <v>171026.52000000002</v>
      </c>
      <c r="F51" s="48">
        <v>3175805.51</v>
      </c>
      <c r="G51" s="48">
        <f t="shared" si="1"/>
        <v>11702396.450000003</v>
      </c>
      <c r="H51" s="48">
        <f t="shared" si="3"/>
        <v>545.69999999999993</v>
      </c>
      <c r="I51" s="48">
        <f t="shared" si="3"/>
        <v>0</v>
      </c>
      <c r="J51" s="48">
        <v>31</v>
      </c>
      <c r="K51" s="110">
        <v>0</v>
      </c>
      <c r="L51" s="48">
        <f>Inputs!G108+Inputs!I108+Inputs!L108+Inputs!O108+Inputs!R108+Inputs!AA108</f>
        <v>7508</v>
      </c>
      <c r="M51" s="48">
        <v>0</v>
      </c>
      <c r="N51" s="48">
        <f t="shared" si="2"/>
        <v>11803589.420797907</v>
      </c>
      <c r="O51"/>
      <c r="P51"/>
      <c r="Q51"/>
      <c r="R51"/>
      <c r="S51"/>
      <c r="T51"/>
    </row>
    <row r="52" spans="1:20" x14ac:dyDescent="0.2">
      <c r="A52" s="47">
        <v>43890</v>
      </c>
      <c r="B52" s="48">
        <f>Inputs!D109</f>
        <v>14192237.660000002</v>
      </c>
      <c r="C52" s="48">
        <f>Inputs!E109</f>
        <v>77809.59</v>
      </c>
      <c r="D52" s="48">
        <f t="shared" si="0"/>
        <v>14270047.250000002</v>
      </c>
      <c r="E52" s="48">
        <v>163565.26999999999</v>
      </c>
      <c r="F52" s="48">
        <v>3106057.9</v>
      </c>
      <c r="G52" s="48">
        <f t="shared" si="1"/>
        <v>11000424.080000002</v>
      </c>
      <c r="H52" s="48">
        <f t="shared" si="3"/>
        <v>534.49999999999989</v>
      </c>
      <c r="I52" s="48">
        <f t="shared" si="3"/>
        <v>0</v>
      </c>
      <c r="J52" s="48">
        <v>29</v>
      </c>
      <c r="K52" s="110">
        <v>0</v>
      </c>
      <c r="L52" s="48">
        <f>Inputs!G109+Inputs!I109+Inputs!L109+Inputs!O109+Inputs!R109+Inputs!AA109</f>
        <v>7522</v>
      </c>
      <c r="M52" s="48">
        <v>0</v>
      </c>
      <c r="N52" s="48">
        <f t="shared" si="2"/>
        <v>11146313.657832354</v>
      </c>
      <c r="O52"/>
      <c r="P52"/>
      <c r="Q52"/>
      <c r="R52"/>
      <c r="S52"/>
      <c r="T52"/>
    </row>
    <row r="53" spans="1:20" x14ac:dyDescent="0.2">
      <c r="A53" s="47">
        <v>43921</v>
      </c>
      <c r="B53" s="48">
        <f>Inputs!D110</f>
        <v>13448796.610000001</v>
      </c>
      <c r="C53" s="48">
        <f>Inputs!E110</f>
        <v>139741.92000000001</v>
      </c>
      <c r="D53" s="48">
        <f t="shared" si="0"/>
        <v>13588538.530000001</v>
      </c>
      <c r="E53" s="48">
        <v>155745.59</v>
      </c>
      <c r="F53" s="48">
        <v>2605804.7000000002</v>
      </c>
      <c r="G53" s="48">
        <f t="shared" si="1"/>
        <v>10826988.240000002</v>
      </c>
      <c r="H53" s="48">
        <f t="shared" si="3"/>
        <v>556.09999999999991</v>
      </c>
      <c r="I53" s="48">
        <f t="shared" si="3"/>
        <v>0</v>
      </c>
      <c r="J53" s="48">
        <v>31</v>
      </c>
      <c r="K53" s="110">
        <v>1</v>
      </c>
      <c r="L53" s="48">
        <f>Inputs!G110+Inputs!I110+Inputs!L110+Inputs!O110+Inputs!R110+Inputs!AA110</f>
        <v>7534</v>
      </c>
      <c r="M53" s="48">
        <v>0</v>
      </c>
      <c r="N53" s="48">
        <f t="shared" si="2"/>
        <v>11384011.481952934</v>
      </c>
      <c r="O53"/>
      <c r="P53"/>
      <c r="Q53"/>
      <c r="R53"/>
      <c r="S53"/>
      <c r="T53"/>
    </row>
    <row r="54" spans="1:20" x14ac:dyDescent="0.2">
      <c r="A54" s="47">
        <v>43951</v>
      </c>
      <c r="B54" s="48">
        <f>Inputs!D111</f>
        <v>10036078.820000004</v>
      </c>
      <c r="C54" s="48">
        <f>Inputs!E111</f>
        <v>191301.65</v>
      </c>
      <c r="D54" s="48">
        <f t="shared" si="0"/>
        <v>10227380.470000004</v>
      </c>
      <c r="E54" s="48">
        <v>130250.96000000002</v>
      </c>
      <c r="F54" s="48">
        <v>981046.64999999991</v>
      </c>
      <c r="G54" s="48">
        <f t="shared" si="1"/>
        <v>9116082.8600000031</v>
      </c>
      <c r="H54" s="48">
        <f t="shared" si="3"/>
        <v>290.59999999999997</v>
      </c>
      <c r="I54" s="48">
        <f t="shared" si="3"/>
        <v>2.6</v>
      </c>
      <c r="J54" s="48">
        <v>30</v>
      </c>
      <c r="K54" s="110">
        <v>1</v>
      </c>
      <c r="L54" s="48">
        <f>Inputs!G111+Inputs!I111+Inputs!L111+Inputs!O111+Inputs!R111+Inputs!AA111</f>
        <v>7547</v>
      </c>
      <c r="M54" s="48">
        <v>1</v>
      </c>
      <c r="N54" s="48">
        <f t="shared" si="2"/>
        <v>9018297.1553305574</v>
      </c>
      <c r="O54"/>
      <c r="P54"/>
      <c r="Q54"/>
      <c r="R54"/>
      <c r="S54"/>
      <c r="T54"/>
    </row>
    <row r="55" spans="1:20" x14ac:dyDescent="0.2">
      <c r="A55" s="47">
        <v>43982</v>
      </c>
      <c r="B55" s="48">
        <f>Inputs!D112</f>
        <v>11027735.910000004</v>
      </c>
      <c r="C55" s="48">
        <f>Inputs!E112</f>
        <v>221551.47</v>
      </c>
      <c r="D55" s="48">
        <f t="shared" si="0"/>
        <v>11249287.380000005</v>
      </c>
      <c r="E55" s="48">
        <v>127787.47</v>
      </c>
      <c r="F55" s="48">
        <v>1321734.96</v>
      </c>
      <c r="G55" s="48">
        <f t="shared" si="1"/>
        <v>9799764.950000003</v>
      </c>
      <c r="H55" s="48">
        <f t="shared" si="3"/>
        <v>153</v>
      </c>
      <c r="I55" s="48">
        <f t="shared" si="3"/>
        <v>8.9</v>
      </c>
      <c r="J55" s="48">
        <v>31</v>
      </c>
      <c r="K55" s="110">
        <v>1</v>
      </c>
      <c r="L55" s="48">
        <f>Inputs!G112+Inputs!I112+Inputs!L112+Inputs!O112+Inputs!R112+Inputs!AA112</f>
        <v>7550</v>
      </c>
      <c r="M55" s="48">
        <v>1</v>
      </c>
      <c r="N55" s="48">
        <f t="shared" si="2"/>
        <v>9276432.9168562368</v>
      </c>
      <c r="O55"/>
      <c r="P55"/>
      <c r="Q55"/>
      <c r="R55"/>
      <c r="S55"/>
      <c r="T55"/>
    </row>
    <row r="56" spans="1:20" x14ac:dyDescent="0.2">
      <c r="A56" s="47">
        <v>44012</v>
      </c>
      <c r="B56" s="48">
        <f>Inputs!D113</f>
        <v>15117286.629999997</v>
      </c>
      <c r="C56" s="48">
        <f>Inputs!E113</f>
        <v>271293.49</v>
      </c>
      <c r="D56" s="48">
        <f t="shared" si="0"/>
        <v>15388580.119999997</v>
      </c>
      <c r="E56" s="48">
        <v>140825.13</v>
      </c>
      <c r="F56" s="48">
        <v>2831032.41</v>
      </c>
      <c r="G56" s="48">
        <f t="shared" si="1"/>
        <v>12416722.579999996</v>
      </c>
      <c r="H56" s="48">
        <f t="shared" si="3"/>
        <v>34.9</v>
      </c>
      <c r="I56" s="48">
        <f t="shared" si="3"/>
        <v>31.9</v>
      </c>
      <c r="J56" s="48">
        <v>30</v>
      </c>
      <c r="K56" s="110">
        <v>0</v>
      </c>
      <c r="L56" s="48">
        <f>Inputs!G113+Inputs!I113+Inputs!L113+Inputs!O113+Inputs!R113+Inputs!AA113</f>
        <v>7557</v>
      </c>
      <c r="M56" s="48">
        <v>0</v>
      </c>
      <c r="N56" s="48">
        <f t="shared" si="2"/>
        <v>11523860.824641101</v>
      </c>
      <c r="O56"/>
      <c r="P56"/>
      <c r="Q56"/>
      <c r="R56"/>
      <c r="S56"/>
      <c r="T56"/>
    </row>
    <row r="57" spans="1:20" x14ac:dyDescent="0.2">
      <c r="A57" s="47">
        <v>44043</v>
      </c>
      <c r="B57" s="48">
        <f>Inputs!D114</f>
        <v>18014751.010000002</v>
      </c>
      <c r="C57" s="48">
        <f>Inputs!E114</f>
        <v>250058.56000000003</v>
      </c>
      <c r="D57" s="48">
        <f t="shared" si="0"/>
        <v>18264809.57</v>
      </c>
      <c r="E57" s="48">
        <v>162185.27999999997</v>
      </c>
      <c r="F57" s="48">
        <v>3020618.2</v>
      </c>
      <c r="G57" s="48">
        <f t="shared" si="1"/>
        <v>15082006.09</v>
      </c>
      <c r="H57" s="48">
        <f t="shared" si="3"/>
        <v>2.4</v>
      </c>
      <c r="I57" s="48">
        <f t="shared" si="3"/>
        <v>80.3</v>
      </c>
      <c r="J57" s="48">
        <v>31</v>
      </c>
      <c r="K57" s="110">
        <v>0</v>
      </c>
      <c r="L57" s="48">
        <f>Inputs!G114+Inputs!I114+Inputs!L114+Inputs!O114+Inputs!R114+Inputs!AA114</f>
        <v>7566</v>
      </c>
      <c r="M57" s="48">
        <v>0</v>
      </c>
      <c r="N57" s="48">
        <f t="shared" si="2"/>
        <v>13240697.765999209</v>
      </c>
      <c r="O57"/>
      <c r="P57"/>
      <c r="Q57"/>
      <c r="R57"/>
      <c r="S57"/>
      <c r="T57"/>
    </row>
    <row r="58" spans="1:20" x14ac:dyDescent="0.2">
      <c r="A58" s="47">
        <v>44074</v>
      </c>
      <c r="B58" s="48">
        <f>Inputs!D115</f>
        <v>16733868.93</v>
      </c>
      <c r="C58" s="48">
        <f>Inputs!E115</f>
        <v>221686.43</v>
      </c>
      <c r="D58" s="48">
        <f t="shared" si="0"/>
        <v>16955555.359999999</v>
      </c>
      <c r="E58" s="48">
        <v>158668.94</v>
      </c>
      <c r="F58" s="48">
        <v>3014862.76</v>
      </c>
      <c r="G58" s="48">
        <f t="shared" si="1"/>
        <v>13782023.659999998</v>
      </c>
      <c r="H58" s="48">
        <f t="shared" si="3"/>
        <v>19.8</v>
      </c>
      <c r="I58" s="48">
        <f t="shared" si="3"/>
        <v>35.299999999999997</v>
      </c>
      <c r="J58" s="48">
        <v>31</v>
      </c>
      <c r="K58" s="110">
        <v>0</v>
      </c>
      <c r="L58" s="48">
        <f>Inputs!G115+Inputs!I115+Inputs!L115+Inputs!O115+Inputs!R115+Inputs!AA115</f>
        <v>7581</v>
      </c>
      <c r="M58" s="48">
        <v>0</v>
      </c>
      <c r="N58" s="48">
        <f t="shared" si="2"/>
        <v>11963385.953944691</v>
      </c>
      <c r="O58"/>
      <c r="P58"/>
      <c r="Q58"/>
      <c r="R58"/>
      <c r="S58"/>
      <c r="T58"/>
    </row>
    <row r="59" spans="1:20" x14ac:dyDescent="0.2">
      <c r="A59" s="47">
        <v>44104</v>
      </c>
      <c r="B59" s="48">
        <f>Inputs!D116</f>
        <v>14451425.119999997</v>
      </c>
      <c r="C59" s="48">
        <f>Inputs!E116</f>
        <v>189577.9</v>
      </c>
      <c r="D59" s="48">
        <f t="shared" si="0"/>
        <v>14641003.019999998</v>
      </c>
      <c r="E59" s="48">
        <v>149561.73000000001</v>
      </c>
      <c r="F59" s="48">
        <v>3076655.74</v>
      </c>
      <c r="G59" s="48">
        <f t="shared" si="1"/>
        <v>11414785.549999997</v>
      </c>
      <c r="H59" s="48">
        <f t="shared" si="3"/>
        <v>52.500000000000007</v>
      </c>
      <c r="I59" s="48">
        <f t="shared" si="3"/>
        <v>29.200000000000003</v>
      </c>
      <c r="J59" s="48">
        <v>30</v>
      </c>
      <c r="K59" s="110">
        <v>1</v>
      </c>
      <c r="L59" s="48">
        <f>Inputs!G116+Inputs!I116+Inputs!L116+Inputs!O116+Inputs!R116+Inputs!AA116</f>
        <v>7596</v>
      </c>
      <c r="M59" s="48">
        <v>0</v>
      </c>
      <c r="N59" s="48">
        <f t="shared" si="2"/>
        <v>11058741.289853571</v>
      </c>
      <c r="O59"/>
      <c r="P59"/>
      <c r="Q59"/>
      <c r="R59"/>
      <c r="S59"/>
      <c r="T59"/>
    </row>
    <row r="60" spans="1:20" x14ac:dyDescent="0.2">
      <c r="A60" s="47">
        <v>44135</v>
      </c>
      <c r="B60" s="48">
        <f>Inputs!D117</f>
        <v>14304932.470000003</v>
      </c>
      <c r="C60" s="48">
        <f>Inputs!E117</f>
        <v>116353.45999999999</v>
      </c>
      <c r="D60" s="48">
        <f t="shared" si="0"/>
        <v>14421285.930000003</v>
      </c>
      <c r="E60" s="48">
        <v>146356.07999999999</v>
      </c>
      <c r="F60" s="48">
        <v>3018748.12</v>
      </c>
      <c r="G60" s="48">
        <f t="shared" si="1"/>
        <v>11256181.730000004</v>
      </c>
      <c r="H60" s="48">
        <f t="shared" si="3"/>
        <v>210.69999999999996</v>
      </c>
      <c r="I60" s="48">
        <f t="shared" si="3"/>
        <v>9.4</v>
      </c>
      <c r="J60" s="48">
        <v>31</v>
      </c>
      <c r="K60" s="110">
        <v>1</v>
      </c>
      <c r="L60" s="48">
        <f>Inputs!G117+Inputs!I117+Inputs!L117+Inputs!O117+Inputs!R117+Inputs!AA117</f>
        <v>7650</v>
      </c>
      <c r="M60" s="48">
        <v>0</v>
      </c>
      <c r="N60" s="48">
        <f t="shared" si="2"/>
        <v>11188996.192026397</v>
      </c>
      <c r="O60"/>
      <c r="P60"/>
      <c r="Q60"/>
      <c r="R60"/>
      <c r="S60"/>
      <c r="T60"/>
    </row>
    <row r="61" spans="1:20" x14ac:dyDescent="0.2">
      <c r="A61" s="47">
        <v>44165</v>
      </c>
      <c r="B61" s="48">
        <f>Inputs!D118</f>
        <v>14279909.410000002</v>
      </c>
      <c r="C61" s="48">
        <f>Inputs!E118</f>
        <v>82903.28</v>
      </c>
      <c r="D61" s="48">
        <f t="shared" si="0"/>
        <v>14362812.690000001</v>
      </c>
      <c r="E61" s="48">
        <v>165563.92000000001</v>
      </c>
      <c r="F61" s="48">
        <v>2950185.69</v>
      </c>
      <c r="G61" s="48">
        <f t="shared" si="1"/>
        <v>11247063.080000002</v>
      </c>
      <c r="H61" s="48">
        <f t="shared" si="3"/>
        <v>448.1</v>
      </c>
      <c r="I61" s="48">
        <f t="shared" si="3"/>
        <v>0</v>
      </c>
      <c r="J61" s="48">
        <v>30</v>
      </c>
      <c r="K61" s="110">
        <v>0</v>
      </c>
      <c r="L61" s="48">
        <f>Inputs!G118+Inputs!I118+Inputs!L118+Inputs!O118+Inputs!R118+Inputs!AA118</f>
        <v>7665</v>
      </c>
      <c r="M61" s="48">
        <v>0</v>
      </c>
      <c r="N61" s="48">
        <f t="shared" si="2"/>
        <v>11539195.711646697</v>
      </c>
      <c r="O61"/>
      <c r="P61"/>
      <c r="Q61"/>
      <c r="R61"/>
      <c r="S61"/>
      <c r="T61"/>
    </row>
    <row r="62" spans="1:20" x14ac:dyDescent="0.2">
      <c r="A62" s="47">
        <v>44196</v>
      </c>
      <c r="B62" s="48">
        <f>Inputs!D119</f>
        <v>14921507.26</v>
      </c>
      <c r="C62" s="48">
        <f>Inputs!E119</f>
        <v>40422.69</v>
      </c>
      <c r="D62" s="48">
        <f t="shared" si="0"/>
        <v>14961929.949999999</v>
      </c>
      <c r="E62" s="48">
        <v>196766.91999999998</v>
      </c>
      <c r="F62" s="48">
        <v>2363231.4300000002</v>
      </c>
      <c r="G62" s="48">
        <f t="shared" si="1"/>
        <v>12401931.6</v>
      </c>
      <c r="H62" s="48">
        <f t="shared" si="3"/>
        <v>462.29999999999995</v>
      </c>
      <c r="I62" s="48">
        <f t="shared" si="3"/>
        <v>0</v>
      </c>
      <c r="J62" s="48">
        <v>31</v>
      </c>
      <c r="K62" s="110">
        <v>0</v>
      </c>
      <c r="L62" s="48">
        <f>Inputs!G119+Inputs!I119+Inputs!L119+Inputs!O119+Inputs!R119+Inputs!AA119</f>
        <v>7688</v>
      </c>
      <c r="M62" s="48">
        <v>0</v>
      </c>
      <c r="N62" s="48">
        <f t="shared" si="2"/>
        <v>11932216.717913561</v>
      </c>
      <c r="O62"/>
      <c r="P62"/>
      <c r="Q62"/>
      <c r="R62"/>
      <c r="S62"/>
      <c r="T62"/>
    </row>
    <row r="63" spans="1:20" x14ac:dyDescent="0.2">
      <c r="A63" s="47">
        <v>44227</v>
      </c>
      <c r="B63" s="48">
        <f>Inputs!D120</f>
        <v>15381838.239999998</v>
      </c>
      <c r="C63" s="48">
        <f>Inputs!E120</f>
        <v>41700.25</v>
      </c>
      <c r="D63" s="48">
        <f t="shared" si="0"/>
        <v>15423538.489999998</v>
      </c>
      <c r="E63" s="48">
        <v>543748.41999999993</v>
      </c>
      <c r="F63" s="48">
        <v>2652843.8200000003</v>
      </c>
      <c r="G63" s="48">
        <f t="shared" si="1"/>
        <v>12226946.249999998</v>
      </c>
      <c r="H63" s="48">
        <f t="shared" si="3"/>
        <v>545.69999999999993</v>
      </c>
      <c r="I63" s="48">
        <f t="shared" si="3"/>
        <v>0</v>
      </c>
      <c r="J63" s="48">
        <v>31</v>
      </c>
      <c r="K63" s="110">
        <v>0</v>
      </c>
      <c r="L63" s="48">
        <f>Inputs!G120+Inputs!I120+Inputs!L120+Inputs!O120+Inputs!R120+Inputs!AA120</f>
        <v>7720</v>
      </c>
      <c r="M63" s="48">
        <v>0</v>
      </c>
      <c r="N63" s="48">
        <f t="shared" si="2"/>
        <v>12142566.813584011</v>
      </c>
      <c r="O63"/>
      <c r="P63"/>
      <c r="Q63"/>
      <c r="R63"/>
      <c r="S63"/>
      <c r="T63"/>
    </row>
    <row r="64" spans="1:20" x14ac:dyDescent="0.2">
      <c r="A64" s="47">
        <v>44255</v>
      </c>
      <c r="B64" s="48">
        <f>Inputs!D121</f>
        <v>14338372.879999999</v>
      </c>
      <c r="C64" s="48">
        <f>Inputs!E121</f>
        <v>36904.899999999994</v>
      </c>
      <c r="D64" s="48">
        <f t="shared" si="0"/>
        <v>14375277.779999999</v>
      </c>
      <c r="E64" s="48">
        <v>463830.81</v>
      </c>
      <c r="F64" s="48">
        <v>2406118.8199999998</v>
      </c>
      <c r="G64" s="48">
        <f t="shared" si="1"/>
        <v>11505328.149999999</v>
      </c>
      <c r="H64" s="48">
        <f t="shared" si="3"/>
        <v>534.49999999999989</v>
      </c>
      <c r="I64" s="48">
        <f t="shared" si="3"/>
        <v>0</v>
      </c>
      <c r="J64" s="48">
        <v>28</v>
      </c>
      <c r="K64" s="110">
        <v>0</v>
      </c>
      <c r="L64" s="48">
        <f>Inputs!G121+Inputs!I121+Inputs!L121+Inputs!O121+Inputs!R121+Inputs!AA121</f>
        <v>7739</v>
      </c>
      <c r="M64" s="48">
        <v>0</v>
      </c>
      <c r="N64" s="48">
        <f t="shared" si="2"/>
        <v>11164143.862751126</v>
      </c>
      <c r="O64"/>
      <c r="P64"/>
      <c r="Q64"/>
      <c r="R64"/>
      <c r="S64"/>
      <c r="T64"/>
    </row>
    <row r="65" spans="1:20" x14ac:dyDescent="0.2">
      <c r="A65" s="47">
        <v>44286</v>
      </c>
      <c r="B65" s="48">
        <f>Inputs!D122</f>
        <v>14839569.93</v>
      </c>
      <c r="C65" s="48">
        <f>Inputs!E122</f>
        <v>197009.1</v>
      </c>
      <c r="D65" s="48">
        <f t="shared" si="0"/>
        <v>15036579.029999999</v>
      </c>
      <c r="E65" s="48">
        <v>537531.31000000006</v>
      </c>
      <c r="F65" s="48">
        <v>2855575.39</v>
      </c>
      <c r="G65" s="48">
        <f t="shared" si="1"/>
        <v>11643472.329999998</v>
      </c>
      <c r="H65" s="48">
        <f t="shared" si="3"/>
        <v>556.09999999999991</v>
      </c>
      <c r="I65" s="48">
        <f t="shared" si="3"/>
        <v>0</v>
      </c>
      <c r="J65" s="48">
        <v>31</v>
      </c>
      <c r="K65" s="110">
        <v>1</v>
      </c>
      <c r="L65" s="48">
        <f>Inputs!G122+Inputs!I122+Inputs!L122+Inputs!O122+Inputs!R122+Inputs!AA122</f>
        <v>7764</v>
      </c>
      <c r="M65" s="48">
        <v>0</v>
      </c>
      <c r="N65" s="48">
        <f t="shared" si="2"/>
        <v>11751769.974126535</v>
      </c>
      <c r="O65"/>
      <c r="P65"/>
      <c r="Q65"/>
      <c r="R65"/>
      <c r="S65"/>
      <c r="T65"/>
    </row>
    <row r="66" spans="1:20" x14ac:dyDescent="0.2">
      <c r="A66" s="47">
        <v>44316</v>
      </c>
      <c r="B66" s="48">
        <f>Inputs!D123</f>
        <v>12258026.33</v>
      </c>
      <c r="C66" s="48">
        <f>Inputs!E123</f>
        <v>195594.22999999998</v>
      </c>
      <c r="D66" s="48">
        <f t="shared" si="0"/>
        <v>12453620.560000001</v>
      </c>
      <c r="E66" s="48">
        <v>208735.52999999997</v>
      </c>
      <c r="F66" s="48">
        <v>2127833.12</v>
      </c>
      <c r="G66" s="48">
        <f t="shared" si="1"/>
        <v>10117051.91</v>
      </c>
      <c r="H66" s="48">
        <f t="shared" si="3"/>
        <v>290.59999999999997</v>
      </c>
      <c r="I66" s="48">
        <f t="shared" si="3"/>
        <v>2.6</v>
      </c>
      <c r="J66" s="48">
        <v>30</v>
      </c>
      <c r="K66" s="110">
        <v>1</v>
      </c>
      <c r="L66" s="48">
        <f>Inputs!G123+Inputs!I123+Inputs!L123+Inputs!O123+Inputs!R123+Inputs!AA123</f>
        <v>7789</v>
      </c>
      <c r="M66" s="48">
        <v>0</v>
      </c>
      <c r="N66" s="48">
        <f t="shared" si="2"/>
        <v>11032952.782486293</v>
      </c>
      <c r="O66"/>
      <c r="P66"/>
      <c r="Q66"/>
      <c r="R66"/>
      <c r="S66"/>
      <c r="T66"/>
    </row>
    <row r="67" spans="1:20" x14ac:dyDescent="0.2">
      <c r="A67" s="47">
        <v>44347</v>
      </c>
      <c r="B67" s="48">
        <f>Inputs!D124</f>
        <v>13244338.23</v>
      </c>
      <c r="C67" s="48">
        <f>Inputs!E124</f>
        <v>234500.96000000002</v>
      </c>
      <c r="D67" s="48">
        <f t="shared" ref="D67:D86" si="4">B67+C67</f>
        <v>13478839.190000001</v>
      </c>
      <c r="E67" s="48">
        <v>137709.51999999999</v>
      </c>
      <c r="F67" s="48">
        <v>2246884.9300000002</v>
      </c>
      <c r="G67" s="48">
        <f t="shared" si="1"/>
        <v>11094244.740000002</v>
      </c>
      <c r="H67" s="48">
        <f t="shared" si="3"/>
        <v>153</v>
      </c>
      <c r="I67" s="48">
        <f t="shared" si="3"/>
        <v>8.9</v>
      </c>
      <c r="J67" s="48">
        <v>31</v>
      </c>
      <c r="K67" s="110">
        <v>1</v>
      </c>
      <c r="L67" s="48">
        <f>Inputs!G124+Inputs!I124+Inputs!L124+Inputs!O124+Inputs!R124+Inputs!AA124</f>
        <v>7811</v>
      </c>
      <c r="M67" s="48">
        <v>0</v>
      </c>
      <c r="N67" s="48">
        <f t="shared" si="2"/>
        <v>11321468.593365446</v>
      </c>
      <c r="O67"/>
      <c r="P67"/>
      <c r="Q67"/>
      <c r="R67"/>
      <c r="S67"/>
      <c r="T67"/>
    </row>
    <row r="68" spans="1:20" x14ac:dyDescent="0.2">
      <c r="A68" s="47">
        <v>44377</v>
      </c>
      <c r="B68" s="48">
        <f>Inputs!D125</f>
        <v>15554413.700000001</v>
      </c>
      <c r="C68" s="48">
        <f>Inputs!E125</f>
        <v>235576.17000000004</v>
      </c>
      <c r="D68" s="48">
        <f t="shared" si="4"/>
        <v>15789989.870000001</v>
      </c>
      <c r="E68" s="48">
        <v>157595.26999999999</v>
      </c>
      <c r="F68" s="48">
        <v>2636157.2999999998</v>
      </c>
      <c r="G68" s="48">
        <f t="shared" ref="G68:G86" si="5">D68-E68-F68</f>
        <v>12996237.300000001</v>
      </c>
      <c r="H68" s="48">
        <f t="shared" si="3"/>
        <v>34.9</v>
      </c>
      <c r="I68" s="48">
        <f t="shared" si="3"/>
        <v>31.9</v>
      </c>
      <c r="J68" s="48">
        <v>30</v>
      </c>
      <c r="K68" s="110">
        <v>0</v>
      </c>
      <c r="L68" s="48">
        <f>Inputs!G125+Inputs!I125+Inputs!L125+Inputs!O125+Inputs!R125+Inputs!AA125</f>
        <v>7846</v>
      </c>
      <c r="M68" s="48">
        <v>0</v>
      </c>
      <c r="N68" s="48">
        <f t="shared" ref="N68:N110" si="6">$W$18+$W$19*H68+$W$20*I68+$W$21*J68+$W$22*K68+$W$23*L68+M68*$W$24</f>
        <v>11985957.364807062</v>
      </c>
      <c r="O68"/>
      <c r="P68"/>
      <c r="Q68"/>
      <c r="R68"/>
      <c r="S68"/>
      <c r="T68"/>
    </row>
    <row r="69" spans="1:20" x14ac:dyDescent="0.2">
      <c r="A69" s="47">
        <v>44408</v>
      </c>
      <c r="B69" s="48">
        <f>Inputs!D126</f>
        <v>15685342.790000003</v>
      </c>
      <c r="C69" s="48">
        <f>Inputs!E126</f>
        <v>213581.17999999996</v>
      </c>
      <c r="D69" s="48">
        <f t="shared" si="4"/>
        <v>15898923.970000003</v>
      </c>
      <c r="E69" s="48">
        <v>155916.87</v>
      </c>
      <c r="F69" s="48">
        <v>2079124.17</v>
      </c>
      <c r="G69" s="48">
        <f t="shared" si="5"/>
        <v>13663882.930000003</v>
      </c>
      <c r="H69" s="48">
        <f t="shared" si="3"/>
        <v>2.4</v>
      </c>
      <c r="I69" s="48">
        <f t="shared" si="3"/>
        <v>80.3</v>
      </c>
      <c r="J69" s="48">
        <v>31</v>
      </c>
      <c r="K69" s="110">
        <v>0</v>
      </c>
      <c r="L69" s="48">
        <f>Inputs!G126+Inputs!I126+Inputs!L126+Inputs!O126+Inputs!R126+Inputs!AA126</f>
        <v>7883</v>
      </c>
      <c r="M69" s="48">
        <v>0</v>
      </c>
      <c r="N69" s="48">
        <f t="shared" si="6"/>
        <v>13747564.905212391</v>
      </c>
      <c r="O69"/>
      <c r="P69"/>
      <c r="Q69"/>
      <c r="R69"/>
      <c r="S69"/>
      <c r="T69"/>
    </row>
    <row r="70" spans="1:20" x14ac:dyDescent="0.2">
      <c r="A70" s="47">
        <v>44439</v>
      </c>
      <c r="B70" s="48">
        <f>Inputs!D127</f>
        <v>17774632.540000003</v>
      </c>
      <c r="C70" s="48">
        <f>Inputs!E127</f>
        <v>222339.34000000003</v>
      </c>
      <c r="D70" s="48">
        <f t="shared" si="4"/>
        <v>17996971.880000003</v>
      </c>
      <c r="E70" s="48">
        <v>171945.79</v>
      </c>
      <c r="F70" s="48">
        <v>2857704.54</v>
      </c>
      <c r="G70" s="48">
        <f t="shared" si="5"/>
        <v>14967321.550000004</v>
      </c>
      <c r="H70" s="48">
        <f t="shared" si="3"/>
        <v>19.8</v>
      </c>
      <c r="I70" s="48">
        <f t="shared" si="3"/>
        <v>35.299999999999997</v>
      </c>
      <c r="J70" s="48">
        <v>31</v>
      </c>
      <c r="K70" s="110">
        <v>0</v>
      </c>
      <c r="L70" s="48">
        <f>Inputs!G127+Inputs!I127+Inputs!L127+Inputs!O127+Inputs!R127+Inputs!AA127</f>
        <v>7901</v>
      </c>
      <c r="M70" s="48">
        <v>0</v>
      </c>
      <c r="N70" s="48">
        <f t="shared" si="6"/>
        <v>12475049.943055788</v>
      </c>
      <c r="O70"/>
      <c r="P70"/>
      <c r="Q70"/>
      <c r="R70"/>
      <c r="S70"/>
      <c r="T70"/>
    </row>
    <row r="71" spans="1:20" x14ac:dyDescent="0.2">
      <c r="A71" s="47">
        <v>44469</v>
      </c>
      <c r="B71" s="48">
        <f>Inputs!D128</f>
        <v>14020372.270000001</v>
      </c>
      <c r="C71" s="48">
        <f>Inputs!E128</f>
        <v>193179.75</v>
      </c>
      <c r="D71" s="48">
        <f t="shared" si="4"/>
        <v>14213552.020000001</v>
      </c>
      <c r="E71" s="48">
        <v>148189.84</v>
      </c>
      <c r="F71" s="48">
        <v>2457487.63</v>
      </c>
      <c r="G71" s="48">
        <f t="shared" si="5"/>
        <v>11607874.550000001</v>
      </c>
      <c r="H71" s="48">
        <f t="shared" si="3"/>
        <v>52.500000000000007</v>
      </c>
      <c r="I71" s="48">
        <f t="shared" si="3"/>
        <v>29.200000000000003</v>
      </c>
      <c r="J71" s="48">
        <v>30</v>
      </c>
      <c r="K71" s="110">
        <v>1</v>
      </c>
      <c r="L71" s="48">
        <f>Inputs!G128+Inputs!I128+Inputs!L128+Inputs!O128+Inputs!R128+Inputs!AA128</f>
        <v>7934</v>
      </c>
      <c r="M71" s="48">
        <v>0</v>
      </c>
      <c r="N71" s="48">
        <f t="shared" si="6"/>
        <v>11599186.378352167</v>
      </c>
      <c r="O71"/>
      <c r="P71"/>
      <c r="Q71"/>
      <c r="R71"/>
      <c r="S71"/>
      <c r="T71"/>
    </row>
    <row r="72" spans="1:20" x14ac:dyDescent="0.2">
      <c r="A72" s="47">
        <v>44500</v>
      </c>
      <c r="B72" s="48">
        <f>Inputs!D129</f>
        <v>13896446.370000001</v>
      </c>
      <c r="C72" s="48">
        <f>Inputs!E129</f>
        <v>100673.29000000002</v>
      </c>
      <c r="D72" s="48">
        <f t="shared" si="4"/>
        <v>13997119.66</v>
      </c>
      <c r="E72" s="48">
        <v>161878.74</v>
      </c>
      <c r="F72" s="48">
        <v>2421664.91</v>
      </c>
      <c r="G72" s="48">
        <f t="shared" si="5"/>
        <v>11413576.01</v>
      </c>
      <c r="H72" s="48">
        <f t="shared" si="3"/>
        <v>210.69999999999996</v>
      </c>
      <c r="I72" s="48">
        <f t="shared" si="3"/>
        <v>9.4</v>
      </c>
      <c r="J72" s="48">
        <v>31</v>
      </c>
      <c r="K72" s="110">
        <v>1</v>
      </c>
      <c r="L72" s="48">
        <f>Inputs!G129+Inputs!I129+Inputs!L129+Inputs!O129+Inputs!R129+Inputs!AA129</f>
        <v>7977</v>
      </c>
      <c r="M72" s="48">
        <v>0</v>
      </c>
      <c r="N72" s="48">
        <f t="shared" si="6"/>
        <v>11711852.8308993</v>
      </c>
      <c r="O72"/>
      <c r="P72"/>
      <c r="Q72"/>
      <c r="R72"/>
      <c r="S72"/>
      <c r="T72"/>
    </row>
    <row r="73" spans="1:20" x14ac:dyDescent="0.2">
      <c r="A73" s="47">
        <v>44530</v>
      </c>
      <c r="B73" s="48">
        <f>Inputs!D130</f>
        <v>14538013.570000002</v>
      </c>
      <c r="C73" s="48">
        <f>Inputs!E130</f>
        <v>75643.289999999994</v>
      </c>
      <c r="D73" s="48">
        <f t="shared" si="4"/>
        <v>14613656.860000001</v>
      </c>
      <c r="E73" s="48">
        <v>216918.55</v>
      </c>
      <c r="F73" s="48">
        <v>2535706.0500000003</v>
      </c>
      <c r="G73" s="48">
        <f t="shared" si="5"/>
        <v>11861032.26</v>
      </c>
      <c r="H73" s="48">
        <f t="shared" si="3"/>
        <v>448.1</v>
      </c>
      <c r="I73" s="48">
        <f t="shared" si="3"/>
        <v>0</v>
      </c>
      <c r="J73" s="48">
        <v>30</v>
      </c>
      <c r="K73" s="110">
        <v>0</v>
      </c>
      <c r="L73" s="48">
        <f>Inputs!G130+Inputs!I130+Inputs!L130+Inputs!O130+Inputs!R130+Inputs!AA130</f>
        <v>8016</v>
      </c>
      <c r="M73" s="48">
        <v>0</v>
      </c>
      <c r="N73" s="48">
        <f t="shared" si="6"/>
        <v>12100427.149702935</v>
      </c>
      <c r="O73"/>
      <c r="P73"/>
      <c r="Q73"/>
      <c r="R73"/>
      <c r="S73"/>
      <c r="T73"/>
    </row>
    <row r="74" spans="1:20" x14ac:dyDescent="0.2">
      <c r="A74" s="47">
        <v>44561</v>
      </c>
      <c r="B74" s="48">
        <f>Inputs!D131</f>
        <v>14738839.719999997</v>
      </c>
      <c r="C74" s="48">
        <f>Inputs!E131</f>
        <v>46959.739999999991</v>
      </c>
      <c r="D74" s="48">
        <f t="shared" si="4"/>
        <v>14785799.459999997</v>
      </c>
      <c r="E74" s="48">
        <v>205565.01</v>
      </c>
      <c r="F74" s="48">
        <v>2333799.2400000002</v>
      </c>
      <c r="G74" s="48">
        <f t="shared" si="5"/>
        <v>12246435.209999997</v>
      </c>
      <c r="H74" s="48">
        <f t="shared" si="3"/>
        <v>462.29999999999995</v>
      </c>
      <c r="I74" s="48">
        <f t="shared" si="3"/>
        <v>0</v>
      </c>
      <c r="J74" s="48">
        <v>31</v>
      </c>
      <c r="K74" s="110">
        <v>0</v>
      </c>
      <c r="L74" s="48">
        <f>Inputs!G131+Inputs!I131+Inputs!L131+Inputs!O131+Inputs!R131+Inputs!AA131</f>
        <v>8043</v>
      </c>
      <c r="M74" s="48">
        <v>0</v>
      </c>
      <c r="N74" s="48">
        <f t="shared" si="6"/>
        <v>12499843.955833687</v>
      </c>
      <c r="O74"/>
      <c r="P74"/>
      <c r="Q74"/>
      <c r="R74"/>
      <c r="S74"/>
      <c r="T74"/>
    </row>
    <row r="75" spans="1:20" x14ac:dyDescent="0.2">
      <c r="A75" s="47">
        <v>44592</v>
      </c>
      <c r="B75" s="48">
        <f>Inputs!D132</f>
        <v>16412005.120000001</v>
      </c>
      <c r="C75" s="48">
        <f>Inputs!E132</f>
        <v>39551.119999999995</v>
      </c>
      <c r="D75" s="48">
        <f t="shared" si="4"/>
        <v>16451556.24</v>
      </c>
      <c r="E75" s="48">
        <v>229885.46</v>
      </c>
      <c r="F75" s="48">
        <v>2704683.5200000005</v>
      </c>
      <c r="G75" s="48">
        <f t="shared" si="5"/>
        <v>13516987.259999998</v>
      </c>
      <c r="H75" s="48">
        <f t="shared" si="3"/>
        <v>545.69999999999993</v>
      </c>
      <c r="I75" s="48">
        <f t="shared" si="3"/>
        <v>0</v>
      </c>
      <c r="J75" s="48">
        <v>31</v>
      </c>
      <c r="K75" s="110">
        <v>0</v>
      </c>
      <c r="L75" s="48">
        <f>Inputs!G132+Inputs!I132+Inputs!L132+Inputs!O132+Inputs!R132+Inputs!AA132</f>
        <v>8062</v>
      </c>
      <c r="M75" s="48">
        <v>0</v>
      </c>
      <c r="N75" s="48">
        <f t="shared" si="6"/>
        <v>12689407.701946497</v>
      </c>
      <c r="O75"/>
      <c r="P75"/>
      <c r="Q75"/>
      <c r="R75"/>
      <c r="S75"/>
      <c r="T75"/>
    </row>
    <row r="76" spans="1:20" x14ac:dyDescent="0.2">
      <c r="A76" s="47">
        <v>44620</v>
      </c>
      <c r="B76" s="48">
        <f>Inputs!D133</f>
        <v>14716423.85</v>
      </c>
      <c r="C76" s="48">
        <f>Inputs!E133</f>
        <v>71042.73</v>
      </c>
      <c r="D76" s="48">
        <f t="shared" si="4"/>
        <v>14787466.58</v>
      </c>
      <c r="E76" s="48">
        <v>215471.86000000002</v>
      </c>
      <c r="F76" s="48">
        <v>2459020.0700000003</v>
      </c>
      <c r="G76" s="48">
        <f t="shared" si="5"/>
        <v>12112974.65</v>
      </c>
      <c r="H76" s="48">
        <f t="shared" si="3"/>
        <v>534.49999999999989</v>
      </c>
      <c r="I76" s="48">
        <f t="shared" si="3"/>
        <v>0</v>
      </c>
      <c r="J76" s="48">
        <v>28</v>
      </c>
      <c r="K76" s="110">
        <v>0</v>
      </c>
      <c r="L76" s="48">
        <f>Inputs!G133+Inputs!I133+Inputs!L133+Inputs!O133+Inputs!R133+Inputs!AA133</f>
        <v>8086</v>
      </c>
      <c r="M76" s="48">
        <v>0</v>
      </c>
      <c r="N76" s="48">
        <f t="shared" si="6"/>
        <v>11718979.500943473</v>
      </c>
      <c r="O76"/>
      <c r="P76"/>
      <c r="Q76"/>
      <c r="R76"/>
      <c r="S76"/>
      <c r="T76"/>
    </row>
    <row r="77" spans="1:20" x14ac:dyDescent="0.2">
      <c r="A77" s="47">
        <v>44651</v>
      </c>
      <c r="B77" s="48">
        <f>Inputs!D134</f>
        <v>15784695.399999995</v>
      </c>
      <c r="C77" s="48">
        <f>Inputs!E134</f>
        <v>118490.18000000001</v>
      </c>
      <c r="D77" s="48">
        <f t="shared" si="4"/>
        <v>15903185.579999994</v>
      </c>
      <c r="E77" s="48">
        <v>258483.46000000002</v>
      </c>
      <c r="F77" s="48">
        <v>2650068.8200000003</v>
      </c>
      <c r="G77" s="48">
        <f t="shared" si="5"/>
        <v>12994633.299999993</v>
      </c>
      <c r="H77" s="48">
        <f t="shared" si="3"/>
        <v>556.09999999999991</v>
      </c>
      <c r="I77" s="48">
        <f t="shared" si="3"/>
        <v>0</v>
      </c>
      <c r="J77" s="48">
        <v>31</v>
      </c>
      <c r="K77" s="110">
        <v>1</v>
      </c>
      <c r="L77" s="48">
        <f>Inputs!G134+Inputs!I134+Inputs!L134+Inputs!O134+Inputs!R134+Inputs!AA134</f>
        <v>8093</v>
      </c>
      <c r="M77" s="48">
        <v>0</v>
      </c>
      <c r="N77" s="48">
        <f t="shared" si="6"/>
        <v>12277824.512931382</v>
      </c>
      <c r="O77"/>
      <c r="P77"/>
      <c r="Q77"/>
      <c r="R77"/>
      <c r="S77"/>
      <c r="T77"/>
    </row>
    <row r="78" spans="1:20" x14ac:dyDescent="0.2">
      <c r="A78" s="47">
        <v>44681</v>
      </c>
      <c r="B78" s="48">
        <f>Inputs!D135</f>
        <v>13400986.82</v>
      </c>
      <c r="C78" s="48">
        <f>Inputs!E135</f>
        <v>183397.94000000003</v>
      </c>
      <c r="D78" s="48">
        <f t="shared" si="4"/>
        <v>13584384.76</v>
      </c>
      <c r="E78" s="48">
        <v>215327.68000000002</v>
      </c>
      <c r="F78" s="48">
        <v>2124042.29</v>
      </c>
      <c r="G78" s="48">
        <f t="shared" si="5"/>
        <v>11245014.789999999</v>
      </c>
      <c r="H78" s="48">
        <f t="shared" si="3"/>
        <v>290.59999999999997</v>
      </c>
      <c r="I78" s="48">
        <f t="shared" si="3"/>
        <v>2.6</v>
      </c>
      <c r="J78" s="48">
        <v>30</v>
      </c>
      <c r="K78" s="110">
        <v>1</v>
      </c>
      <c r="L78" s="48">
        <f>Inputs!G135+Inputs!I135+Inputs!L135+Inputs!O135+Inputs!R135+Inputs!AA135</f>
        <v>8106</v>
      </c>
      <c r="M78" s="48">
        <v>0</v>
      </c>
      <c r="N78" s="48">
        <f t="shared" si="6"/>
        <v>11539819.921699475</v>
      </c>
      <c r="O78"/>
      <c r="P78"/>
      <c r="Q78"/>
      <c r="R78"/>
      <c r="S78"/>
      <c r="T78"/>
    </row>
    <row r="79" spans="1:20" x14ac:dyDescent="0.2">
      <c r="A79" s="47">
        <v>44712</v>
      </c>
      <c r="B79" s="48">
        <f>Inputs!D136</f>
        <v>14301607.030000005</v>
      </c>
      <c r="C79" s="48">
        <f>Inputs!E136</f>
        <v>237124.88999999996</v>
      </c>
      <c r="D79" s="48">
        <f t="shared" si="4"/>
        <v>14538731.920000006</v>
      </c>
      <c r="E79" s="48">
        <v>190188.46999999997</v>
      </c>
      <c r="F79" s="48">
        <v>2149731.92</v>
      </c>
      <c r="G79" s="48">
        <f t="shared" si="5"/>
        <v>12198811.530000005</v>
      </c>
      <c r="H79" s="48">
        <f t="shared" si="3"/>
        <v>153</v>
      </c>
      <c r="I79" s="48">
        <f t="shared" si="3"/>
        <v>8.9</v>
      </c>
      <c r="J79" s="48">
        <v>31</v>
      </c>
      <c r="K79" s="110">
        <v>1</v>
      </c>
      <c r="L79" s="48">
        <f>Inputs!G136+Inputs!I136+Inputs!L136+Inputs!O136+Inputs!R136+Inputs!AA136</f>
        <v>8119</v>
      </c>
      <c r="M79" s="48">
        <v>0</v>
      </c>
      <c r="N79" s="48">
        <f t="shared" si="6"/>
        <v>11813945.182884879</v>
      </c>
      <c r="O79"/>
      <c r="P79"/>
      <c r="Q79"/>
      <c r="R79"/>
      <c r="S79"/>
      <c r="T79"/>
    </row>
    <row r="80" spans="1:20" x14ac:dyDescent="0.2">
      <c r="A80" s="47">
        <v>44742</v>
      </c>
      <c r="B80" s="48">
        <f>Inputs!D137</f>
        <v>15576117.430000002</v>
      </c>
      <c r="C80" s="48">
        <f>Inputs!E137</f>
        <v>248877.21999999997</v>
      </c>
      <c r="D80" s="48">
        <f t="shared" si="4"/>
        <v>15824994.650000002</v>
      </c>
      <c r="E80" s="48">
        <v>186475.58000000002</v>
      </c>
      <c r="F80" s="48">
        <v>2378714.67</v>
      </c>
      <c r="G80" s="48">
        <f t="shared" si="5"/>
        <v>13259804.400000002</v>
      </c>
      <c r="H80" s="48">
        <f t="shared" ref="H80:I86" si="7">H68</f>
        <v>34.9</v>
      </c>
      <c r="I80" s="48">
        <f t="shared" si="7"/>
        <v>31.9</v>
      </c>
      <c r="J80" s="48">
        <v>30</v>
      </c>
      <c r="K80" s="110">
        <v>0</v>
      </c>
      <c r="L80" s="48">
        <f>Inputs!G137+Inputs!I137+Inputs!L137+Inputs!O137+Inputs!R137+Inputs!AA137</f>
        <v>8166</v>
      </c>
      <c r="M80" s="48">
        <v>0</v>
      </c>
      <c r="N80" s="48">
        <f t="shared" si="6"/>
        <v>12497621.353918161</v>
      </c>
      <c r="O80"/>
      <c r="P80"/>
      <c r="Q80"/>
      <c r="R80"/>
      <c r="S80"/>
      <c r="T80"/>
    </row>
    <row r="81" spans="1:20" x14ac:dyDescent="0.2">
      <c r="A81" s="47">
        <v>44773</v>
      </c>
      <c r="B81" s="48">
        <f>Inputs!D138</f>
        <v>17012436.870000001</v>
      </c>
      <c r="C81" s="48">
        <f>Inputs!E138</f>
        <v>229151.86</v>
      </c>
      <c r="D81" s="48">
        <f t="shared" si="4"/>
        <v>17241588.73</v>
      </c>
      <c r="E81" s="48">
        <v>188489.26</v>
      </c>
      <c r="F81" s="48">
        <v>2333898.79</v>
      </c>
      <c r="G81" s="48">
        <f t="shared" si="5"/>
        <v>14719200.68</v>
      </c>
      <c r="H81" s="48">
        <f t="shared" si="7"/>
        <v>2.4</v>
      </c>
      <c r="I81" s="48">
        <f t="shared" si="7"/>
        <v>80.3</v>
      </c>
      <c r="J81" s="48">
        <v>31</v>
      </c>
      <c r="K81" s="110">
        <v>0</v>
      </c>
      <c r="L81" s="48">
        <f>Inputs!G138+Inputs!I138+Inputs!L138+Inputs!O138+Inputs!R138+Inputs!AA138</f>
        <v>8192</v>
      </c>
      <c r="M81" s="48">
        <v>0</v>
      </c>
      <c r="N81" s="48">
        <f t="shared" si="6"/>
        <v>14241640.444697795</v>
      </c>
      <c r="O81"/>
      <c r="P81"/>
      <c r="Q81"/>
      <c r="R81"/>
      <c r="S81"/>
      <c r="T81"/>
    </row>
    <row r="82" spans="1:20" x14ac:dyDescent="0.2">
      <c r="A82" s="47">
        <v>44804</v>
      </c>
      <c r="B82" s="48">
        <f>Inputs!D139</f>
        <v>17747489.990000002</v>
      </c>
      <c r="C82" s="48">
        <f>Inputs!E139</f>
        <v>216120.18</v>
      </c>
      <c r="D82" s="48">
        <f t="shared" si="4"/>
        <v>17963610.170000002</v>
      </c>
      <c r="E82" s="48">
        <v>201468.34999999998</v>
      </c>
      <c r="F82" s="48">
        <v>2759316.12</v>
      </c>
      <c r="G82" s="48">
        <f t="shared" si="5"/>
        <v>15002825.699999999</v>
      </c>
      <c r="H82" s="48">
        <f t="shared" si="7"/>
        <v>19.8</v>
      </c>
      <c r="I82" s="48">
        <f t="shared" si="7"/>
        <v>35.299999999999997</v>
      </c>
      <c r="J82" s="48">
        <v>31</v>
      </c>
      <c r="K82" s="110">
        <v>0</v>
      </c>
      <c r="L82" s="48">
        <f>Inputs!G139+Inputs!I139+Inputs!L139+Inputs!O139+Inputs!R139+Inputs!AA139</f>
        <v>8221</v>
      </c>
      <c r="M82" s="48">
        <v>0</v>
      </c>
      <c r="N82" s="48">
        <f t="shared" si="6"/>
        <v>12986713.932166887</v>
      </c>
      <c r="O82"/>
      <c r="P82"/>
      <c r="Q82"/>
      <c r="R82"/>
      <c r="S82"/>
      <c r="T82"/>
    </row>
    <row r="83" spans="1:20" x14ac:dyDescent="0.2">
      <c r="A83" s="47">
        <v>44834</v>
      </c>
      <c r="B83" s="48">
        <f>Inputs!D140</f>
        <v>14825218.609999998</v>
      </c>
      <c r="C83" s="48">
        <f>Inputs!E140</f>
        <v>177422.69</v>
      </c>
      <c r="D83" s="48">
        <f t="shared" si="4"/>
        <v>15002641.299999997</v>
      </c>
      <c r="E83" s="48">
        <v>184986.37</v>
      </c>
      <c r="F83" s="48">
        <v>2284987.33</v>
      </c>
      <c r="G83" s="48">
        <f t="shared" si="5"/>
        <v>12532667.599999998</v>
      </c>
      <c r="H83" s="48">
        <f t="shared" si="7"/>
        <v>52.500000000000007</v>
      </c>
      <c r="I83" s="48">
        <f t="shared" si="7"/>
        <v>29.200000000000003</v>
      </c>
      <c r="J83" s="48">
        <v>30</v>
      </c>
      <c r="K83" s="110">
        <v>1</v>
      </c>
      <c r="L83" s="48">
        <f>Inputs!G140+Inputs!I140+Inputs!L140+Inputs!O140+Inputs!R140+Inputs!AA140</f>
        <v>8244</v>
      </c>
      <c r="M83" s="48">
        <v>0</v>
      </c>
      <c r="N83" s="48">
        <f t="shared" si="6"/>
        <v>12094860.867803544</v>
      </c>
      <c r="O83"/>
      <c r="P83"/>
      <c r="Q83"/>
      <c r="R83"/>
      <c r="S83"/>
      <c r="T83"/>
    </row>
    <row r="84" spans="1:20" x14ac:dyDescent="0.2">
      <c r="A84" s="47">
        <v>44865</v>
      </c>
      <c r="B84" s="48">
        <f>Inputs!D141</f>
        <v>13962206.960000001</v>
      </c>
      <c r="C84" s="48">
        <f>Inputs!E141</f>
        <v>150969.89999999997</v>
      </c>
      <c r="D84" s="48">
        <f t="shared" si="4"/>
        <v>14113176.860000001</v>
      </c>
      <c r="E84" s="48">
        <v>203934.89</v>
      </c>
      <c r="F84" s="48">
        <v>2142061.7199999997</v>
      </c>
      <c r="G84" s="48">
        <f t="shared" si="5"/>
        <v>11767180.25</v>
      </c>
      <c r="H84" s="48">
        <f t="shared" si="7"/>
        <v>210.69999999999996</v>
      </c>
      <c r="I84" s="48">
        <f t="shared" si="7"/>
        <v>9.4</v>
      </c>
      <c r="J84" s="48">
        <v>31</v>
      </c>
      <c r="K84" s="110">
        <v>1</v>
      </c>
      <c r="L84" s="48">
        <f>Inputs!G141+Inputs!I141+Inputs!L141+Inputs!O141+Inputs!R141+Inputs!AA141</f>
        <v>8288</v>
      </c>
      <c r="M84" s="48">
        <v>0</v>
      </c>
      <c r="N84" s="48">
        <f t="shared" si="6"/>
        <v>12209126.270316649</v>
      </c>
      <c r="O84"/>
      <c r="P84"/>
      <c r="Q84"/>
      <c r="R84"/>
      <c r="S84"/>
      <c r="T84"/>
    </row>
    <row r="85" spans="1:20" x14ac:dyDescent="0.2">
      <c r="A85" s="47">
        <v>44895</v>
      </c>
      <c r="B85" s="48">
        <f>Inputs!D142</f>
        <v>14546118.099999998</v>
      </c>
      <c r="C85" s="48">
        <f>Inputs!E142</f>
        <v>89129.83</v>
      </c>
      <c r="D85" s="48">
        <f t="shared" si="4"/>
        <v>14635247.929999998</v>
      </c>
      <c r="E85" s="48">
        <v>227343.93</v>
      </c>
      <c r="F85" s="48">
        <v>2384245.9500000002</v>
      </c>
      <c r="G85" s="48">
        <f t="shared" si="5"/>
        <v>12023658.049999997</v>
      </c>
      <c r="H85" s="48">
        <f t="shared" si="7"/>
        <v>448.1</v>
      </c>
      <c r="I85" s="48">
        <f t="shared" si="7"/>
        <v>0</v>
      </c>
      <c r="J85" s="48">
        <v>30</v>
      </c>
      <c r="K85" s="110">
        <v>0</v>
      </c>
      <c r="L85" s="48">
        <f>Inputs!G142+Inputs!I142+Inputs!L142+Inputs!O142+Inputs!R142+Inputs!AA142</f>
        <v>8301</v>
      </c>
      <c r="M85" s="48">
        <v>0</v>
      </c>
      <c r="N85" s="48">
        <f t="shared" si="6"/>
        <v>12556127.890005006</v>
      </c>
      <c r="O85"/>
      <c r="P85"/>
      <c r="Q85"/>
      <c r="R85"/>
      <c r="S85"/>
      <c r="T85"/>
    </row>
    <row r="86" spans="1:20" x14ac:dyDescent="0.2">
      <c r="A86" s="47">
        <v>44926</v>
      </c>
      <c r="B86" s="48">
        <f>Inputs!D143</f>
        <v>15060786.930000003</v>
      </c>
      <c r="C86" s="48">
        <f>Inputs!E143</f>
        <v>37383.910000000003</v>
      </c>
      <c r="D86" s="48">
        <f t="shared" si="4"/>
        <v>15098170.840000004</v>
      </c>
      <c r="E86" s="48">
        <v>219977.99</v>
      </c>
      <c r="F86" s="48">
        <v>2024507.74</v>
      </c>
      <c r="G86" s="48">
        <f t="shared" si="5"/>
        <v>12853685.110000003</v>
      </c>
      <c r="H86" s="48">
        <f t="shared" si="7"/>
        <v>462.29999999999995</v>
      </c>
      <c r="I86" s="48">
        <f t="shared" si="7"/>
        <v>0</v>
      </c>
      <c r="J86" s="48">
        <v>31</v>
      </c>
      <c r="K86" s="110">
        <v>0</v>
      </c>
      <c r="L86" s="48">
        <f>Inputs!G143+Inputs!I143+Inputs!L143+Inputs!O143+Inputs!R143+Inputs!AA143</f>
        <v>8315</v>
      </c>
      <c r="M86" s="48">
        <v>0</v>
      </c>
      <c r="N86" s="48">
        <f t="shared" si="6"/>
        <v>12934758.346578119</v>
      </c>
      <c r="O86"/>
      <c r="P86"/>
      <c r="Q86"/>
      <c r="R86"/>
      <c r="S86"/>
      <c r="T86"/>
    </row>
    <row r="87" spans="1:20" x14ac:dyDescent="0.2">
      <c r="A87" s="47">
        <v>44957</v>
      </c>
      <c r="B87" s="48"/>
      <c r="C87" s="48"/>
      <c r="D87" s="48"/>
      <c r="E87" s="48"/>
      <c r="F87" s="48"/>
      <c r="G87" s="48"/>
      <c r="H87" s="56">
        <f>(H3+H15+H27+H39+H51+H63+H75)/7</f>
        <v>545.69999999999993</v>
      </c>
      <c r="I87" s="56">
        <f>(I3+I15+I27+I39+I51+I63+I75)/7</f>
        <v>0</v>
      </c>
      <c r="J87" s="93">
        <v>31</v>
      </c>
      <c r="K87" s="111">
        <v>0</v>
      </c>
      <c r="L87" s="96">
        <f>'Rate Class Customer Model'!Q12</f>
        <v>8322.054935186803</v>
      </c>
      <c r="M87" s="48">
        <v>0</v>
      </c>
      <c r="N87" s="48">
        <f t="shared" si="6"/>
        <v>13105222.531714333</v>
      </c>
      <c r="O87"/>
      <c r="P87"/>
      <c r="Q87"/>
      <c r="R87"/>
      <c r="S87"/>
      <c r="T87"/>
    </row>
    <row r="88" spans="1:20" x14ac:dyDescent="0.2">
      <c r="A88" s="47">
        <v>44985</v>
      </c>
      <c r="B88" s="48"/>
      <c r="C88" s="48"/>
      <c r="D88" s="48"/>
      <c r="E88" s="48"/>
      <c r="F88" s="48"/>
      <c r="G88" s="48"/>
      <c r="H88" s="56">
        <f t="shared" ref="H88:I98" si="8">(H4+H16+H28+H40+H52+H64+H76)/7</f>
        <v>534.49999999999989</v>
      </c>
      <c r="I88" s="56">
        <f t="shared" si="8"/>
        <v>0</v>
      </c>
      <c r="J88" s="93">
        <v>28</v>
      </c>
      <c r="K88" s="111">
        <v>0</v>
      </c>
      <c r="L88" s="96">
        <f>'Rate Class Customer Model'!Q13</f>
        <v>8329.1158561956745</v>
      </c>
      <c r="M88" s="48">
        <v>0</v>
      </c>
      <c r="N88" s="48">
        <f t="shared" si="6"/>
        <v>12107709.590934845</v>
      </c>
      <c r="O88" s="32"/>
      <c r="R88" s="134"/>
      <c r="S88" s="134"/>
      <c r="T88" s="134"/>
    </row>
    <row r="89" spans="1:20" x14ac:dyDescent="0.2">
      <c r="A89" s="47">
        <v>45016</v>
      </c>
      <c r="B89" s="48"/>
      <c r="C89" s="48"/>
      <c r="D89" s="48"/>
      <c r="E89" s="48"/>
      <c r="F89" s="48"/>
      <c r="G89" s="48"/>
      <c r="H89" s="56">
        <f t="shared" si="8"/>
        <v>556.09999999999991</v>
      </c>
      <c r="I89" s="56">
        <f t="shared" si="8"/>
        <v>0</v>
      </c>
      <c r="J89" s="93">
        <v>31</v>
      </c>
      <c r="K89" s="111">
        <v>1</v>
      </c>
      <c r="L89" s="96">
        <f>'Rate Class Customer Model'!Q14</f>
        <v>8336.1827681053364</v>
      </c>
      <c r="M89" s="48">
        <v>0</v>
      </c>
      <c r="N89" s="48">
        <f t="shared" si="6"/>
        <v>12666661.591718432</v>
      </c>
      <c r="O89" s="32"/>
      <c r="R89" s="134"/>
      <c r="S89" s="134"/>
      <c r="T89" s="134"/>
    </row>
    <row r="90" spans="1:20" x14ac:dyDescent="0.2">
      <c r="A90" s="47">
        <v>45046</v>
      </c>
      <c r="B90" s="48"/>
      <c r="C90" s="48"/>
      <c r="D90" s="48"/>
      <c r="E90" s="48"/>
      <c r="F90" s="48"/>
      <c r="G90" s="48"/>
      <c r="H90" s="56">
        <f t="shared" si="8"/>
        <v>290.59999999999997</v>
      </c>
      <c r="I90" s="56">
        <f t="shared" si="8"/>
        <v>2.6</v>
      </c>
      <c r="J90" s="93">
        <v>30</v>
      </c>
      <c r="K90" s="111">
        <v>1</v>
      </c>
      <c r="L90" s="96">
        <f>'Rate Class Customer Model'!Q15</f>
        <v>8343.255675998822</v>
      </c>
      <c r="M90" s="48">
        <v>0</v>
      </c>
      <c r="N90" s="48">
        <f t="shared" si="6"/>
        <v>11919179.876764501</v>
      </c>
      <c r="O90" s="32"/>
      <c r="R90" s="134"/>
      <c r="S90" s="134"/>
      <c r="T90" s="134"/>
    </row>
    <row r="91" spans="1:20" x14ac:dyDescent="0.2">
      <c r="A91" s="47">
        <v>45077</v>
      </c>
      <c r="B91" s="48"/>
      <c r="C91" s="48"/>
      <c r="D91" s="48"/>
      <c r="E91" s="48"/>
      <c r="F91" s="48"/>
      <c r="G91" s="48"/>
      <c r="H91" s="56">
        <f t="shared" si="8"/>
        <v>153</v>
      </c>
      <c r="I91" s="56">
        <f t="shared" si="8"/>
        <v>8.9</v>
      </c>
      <c r="J91" s="93">
        <v>31</v>
      </c>
      <c r="K91" s="111">
        <v>1</v>
      </c>
      <c r="L91" s="96">
        <f>'Rate Class Customer Model'!Q16</f>
        <v>8350.334584963477</v>
      </c>
      <c r="M91" s="48">
        <v>0</v>
      </c>
      <c r="N91" s="48">
        <f t="shared" si="6"/>
        <v>12183837.609640419</v>
      </c>
      <c r="O91" s="32"/>
      <c r="R91" s="134"/>
      <c r="S91" s="134"/>
      <c r="T91" s="134"/>
    </row>
    <row r="92" spans="1:20" x14ac:dyDescent="0.2">
      <c r="A92" s="47">
        <v>45107</v>
      </c>
      <c r="B92" s="48"/>
      <c r="C92" s="48"/>
      <c r="D92" s="48"/>
      <c r="E92" s="48"/>
      <c r="F92" s="48"/>
      <c r="G92" s="48"/>
      <c r="H92" s="56">
        <f t="shared" si="8"/>
        <v>34.9</v>
      </c>
      <c r="I92" s="56">
        <f t="shared" si="8"/>
        <v>31.900000000000002</v>
      </c>
      <c r="J92" s="93">
        <v>30</v>
      </c>
      <c r="K92" s="111">
        <v>0</v>
      </c>
      <c r="L92" s="96">
        <f>'Rate Class Customer Model'!Q17</f>
        <v>8357.4195000909622</v>
      </c>
      <c r="M92" s="48">
        <v>0</v>
      </c>
      <c r="N92" s="48">
        <f t="shared" si="6"/>
        <v>12803691.557075016</v>
      </c>
      <c r="O92" s="32"/>
      <c r="R92" s="134"/>
      <c r="S92" s="134"/>
      <c r="T92" s="134"/>
    </row>
    <row r="93" spans="1:20" x14ac:dyDescent="0.2">
      <c r="A93" s="47">
        <v>45138</v>
      </c>
      <c r="B93" s="48"/>
      <c r="C93" s="48"/>
      <c r="D93" s="48"/>
      <c r="E93" s="48"/>
      <c r="F93" s="48"/>
      <c r="G93" s="48"/>
      <c r="H93" s="56">
        <f t="shared" si="8"/>
        <v>2.4</v>
      </c>
      <c r="I93" s="56">
        <f t="shared" si="8"/>
        <v>80.3</v>
      </c>
      <c r="J93" s="93">
        <v>31</v>
      </c>
      <c r="K93" s="111">
        <v>0</v>
      </c>
      <c r="L93" s="96">
        <f>'Rate Class Customer Model'!Q18</f>
        <v>8364.5104264772599</v>
      </c>
      <c r="M93" s="48">
        <v>0</v>
      </c>
      <c r="N93" s="48">
        <f t="shared" si="6"/>
        <v>14517475.985243456</v>
      </c>
      <c r="O93" s="32"/>
      <c r="P93"/>
      <c r="Q93"/>
      <c r="R93" s="134"/>
      <c r="S93" s="134"/>
      <c r="T93" s="134"/>
    </row>
    <row r="94" spans="1:20" x14ac:dyDescent="0.2">
      <c r="A94" s="47">
        <v>45169</v>
      </c>
      <c r="B94" s="48"/>
      <c r="C94" s="48"/>
      <c r="D94" s="48"/>
      <c r="E94" s="48"/>
      <c r="F94" s="48"/>
      <c r="G94" s="48"/>
      <c r="H94" s="56">
        <f t="shared" si="8"/>
        <v>19.8</v>
      </c>
      <c r="I94" s="56">
        <f t="shared" si="8"/>
        <v>35.300000000000004</v>
      </c>
      <c r="J94" s="93">
        <v>31</v>
      </c>
      <c r="K94" s="111">
        <v>0</v>
      </c>
      <c r="L94" s="96">
        <f>'Rate Class Customer Model'!Q19</f>
        <v>8371.6073692226764</v>
      </c>
      <c r="M94" s="48">
        <v>0</v>
      </c>
      <c r="N94" s="48">
        <f t="shared" si="6"/>
        <v>13227527.580060646</v>
      </c>
      <c r="O94" s="32"/>
      <c r="P94"/>
      <c r="Q94"/>
      <c r="R94" s="134"/>
      <c r="S94" s="134"/>
      <c r="T94" s="134"/>
    </row>
    <row r="95" spans="1:20" x14ac:dyDescent="0.2">
      <c r="A95" s="47">
        <v>45199</v>
      </c>
      <c r="B95" s="48"/>
      <c r="C95" s="48"/>
      <c r="D95" s="48"/>
      <c r="E95" s="48"/>
      <c r="F95" s="48"/>
      <c r="G95" s="48"/>
      <c r="H95" s="56">
        <f t="shared" si="8"/>
        <v>52.500000000000007</v>
      </c>
      <c r="I95" s="56">
        <f t="shared" si="8"/>
        <v>29.199999999999996</v>
      </c>
      <c r="J95" s="93">
        <v>30</v>
      </c>
      <c r="K95" s="111">
        <v>1</v>
      </c>
      <c r="L95" s="96">
        <f>'Rate Class Customer Model'!Q20</f>
        <v>8378.7103334318454</v>
      </c>
      <c r="M95" s="48">
        <v>0</v>
      </c>
      <c r="N95" s="48">
        <f t="shared" si="6"/>
        <v>12310255.950860495</v>
      </c>
      <c r="O95" s="32"/>
      <c r="P95"/>
      <c r="Q95"/>
      <c r="R95" s="134"/>
      <c r="S95" s="134"/>
      <c r="T95" s="134"/>
    </row>
    <row r="96" spans="1:20" x14ac:dyDescent="0.2">
      <c r="A96" s="47">
        <v>45230</v>
      </c>
      <c r="B96" s="48"/>
      <c r="C96" s="48"/>
      <c r="D96" s="48"/>
      <c r="E96" s="48"/>
      <c r="F96" s="48"/>
      <c r="G96" s="48"/>
      <c r="H96" s="56">
        <f t="shared" si="8"/>
        <v>210.7</v>
      </c>
      <c r="I96" s="56">
        <f t="shared" si="8"/>
        <v>9.4</v>
      </c>
      <c r="J96" s="93">
        <v>31</v>
      </c>
      <c r="K96" s="111">
        <v>1</v>
      </c>
      <c r="L96" s="96">
        <f>'Rate Class Customer Model'!Q21</f>
        <v>8385.8193242137295</v>
      </c>
      <c r="M96" s="48">
        <v>0</v>
      </c>
      <c r="N96" s="48">
        <f t="shared" si="6"/>
        <v>12365534.475439614</v>
      </c>
      <c r="O96" s="32"/>
      <c r="P96"/>
      <c r="Q96"/>
      <c r="R96" s="134"/>
      <c r="S96" s="134"/>
      <c r="T96" s="134"/>
    </row>
    <row r="97" spans="1:20" x14ac:dyDescent="0.2">
      <c r="A97" s="47">
        <v>45260</v>
      </c>
      <c r="B97" s="48"/>
      <c r="C97" s="48"/>
      <c r="D97" s="48"/>
      <c r="E97" s="48"/>
      <c r="F97" s="48"/>
      <c r="G97" s="48"/>
      <c r="H97" s="56">
        <f t="shared" si="8"/>
        <v>448.09999999999997</v>
      </c>
      <c r="I97" s="56">
        <f t="shared" si="8"/>
        <v>0</v>
      </c>
      <c r="J97" s="93">
        <v>30</v>
      </c>
      <c r="K97" s="111">
        <v>0</v>
      </c>
      <c r="L97" s="96">
        <f>'Rate Class Customer Model'!Q22</f>
        <v>8392.9343466816281</v>
      </c>
      <c r="M97" s="48">
        <v>0</v>
      </c>
      <c r="N97" s="48">
        <f t="shared" si="6"/>
        <v>12703126.31050327</v>
      </c>
      <c r="O97" s="32"/>
      <c r="P97"/>
      <c r="Q97"/>
      <c r="R97" s="134"/>
      <c r="S97" s="134"/>
      <c r="T97" s="134"/>
    </row>
    <row r="98" spans="1:20" x14ac:dyDescent="0.2">
      <c r="A98" s="47">
        <v>45291</v>
      </c>
      <c r="B98" s="48"/>
      <c r="C98" s="48"/>
      <c r="D98" s="48"/>
      <c r="E98" s="48"/>
      <c r="F98" s="48"/>
      <c r="G98" s="48"/>
      <c r="H98" s="56">
        <f t="shared" si="8"/>
        <v>462.30000000000007</v>
      </c>
      <c r="I98" s="56">
        <f t="shared" si="8"/>
        <v>0</v>
      </c>
      <c r="J98" s="93">
        <v>31</v>
      </c>
      <c r="K98" s="111">
        <v>0</v>
      </c>
      <c r="L98" s="96">
        <f>'Rate Class Customer Model'!Q23</f>
        <v>8406</v>
      </c>
      <c r="M98" s="48">
        <v>0</v>
      </c>
      <c r="N98" s="48">
        <f t="shared" si="6"/>
        <v>13080262.793481588</v>
      </c>
      <c r="O98" s="32"/>
      <c r="P98"/>
      <c r="Q98"/>
      <c r="R98" s="134"/>
      <c r="S98" s="134"/>
      <c r="T98" s="134"/>
    </row>
    <row r="99" spans="1:20" x14ac:dyDescent="0.2">
      <c r="A99" s="47">
        <v>45322</v>
      </c>
      <c r="B99" s="48"/>
      <c r="C99" s="48"/>
      <c r="D99" s="48"/>
      <c r="E99" s="48"/>
      <c r="F99" s="48"/>
      <c r="G99" s="48"/>
      <c r="H99" s="56">
        <f>H87</f>
        <v>545.69999999999993</v>
      </c>
      <c r="I99" s="56">
        <f>I87</f>
        <v>0</v>
      </c>
      <c r="J99" s="93">
        <v>31</v>
      </c>
      <c r="K99" s="111">
        <v>0</v>
      </c>
      <c r="L99" s="96">
        <f>'Rate Class Customer Model'!R12</f>
        <v>8436</v>
      </c>
      <c r="M99" s="48">
        <v>0</v>
      </c>
      <c r="N99" s="48">
        <f t="shared" si="6"/>
        <v>13287414.989220094</v>
      </c>
      <c r="O99" s="32"/>
      <c r="P99"/>
      <c r="Q99"/>
      <c r="R99" s="134"/>
      <c r="S99" s="134"/>
      <c r="T99" s="134"/>
    </row>
    <row r="100" spans="1:20" x14ac:dyDescent="0.2">
      <c r="A100" s="47">
        <v>45351</v>
      </c>
      <c r="B100" s="48"/>
      <c r="C100" s="48"/>
      <c r="D100" s="48"/>
      <c r="E100" s="48"/>
      <c r="F100" s="48"/>
      <c r="G100" s="48"/>
      <c r="H100" s="56">
        <f t="shared" ref="H100:I110" si="9">H88</f>
        <v>534.49999999999989</v>
      </c>
      <c r="I100" s="56">
        <f t="shared" si="9"/>
        <v>0</v>
      </c>
      <c r="J100" s="93">
        <v>29</v>
      </c>
      <c r="K100" s="111">
        <v>0</v>
      </c>
      <c r="L100" s="96">
        <f>'Rate Class Customer Model'!R13</f>
        <v>8440</v>
      </c>
      <c r="M100" s="48">
        <v>0</v>
      </c>
      <c r="N100" s="48">
        <f t="shared" si="6"/>
        <v>12614149.726594819</v>
      </c>
      <c r="O100" s="32"/>
      <c r="P100"/>
      <c r="Q100"/>
      <c r="R100" s="134"/>
      <c r="S100" s="134"/>
      <c r="T100" s="134"/>
    </row>
    <row r="101" spans="1:20" x14ac:dyDescent="0.2">
      <c r="A101" s="47">
        <v>45382</v>
      </c>
      <c r="B101" s="48"/>
      <c r="C101" s="48"/>
      <c r="D101" s="48"/>
      <c r="E101" s="48"/>
      <c r="F101" s="48"/>
      <c r="G101" s="48"/>
      <c r="H101" s="56">
        <f t="shared" si="9"/>
        <v>556.09999999999991</v>
      </c>
      <c r="I101" s="56">
        <f t="shared" si="9"/>
        <v>0</v>
      </c>
      <c r="J101" s="93">
        <v>31</v>
      </c>
      <c r="K101" s="111">
        <v>1</v>
      </c>
      <c r="L101" s="96">
        <f>'Rate Class Customer Model'!R14</f>
        <v>8442</v>
      </c>
      <c r="M101" s="48">
        <v>0</v>
      </c>
      <c r="N101" s="48">
        <f t="shared" si="6"/>
        <v>12835858.051055675</v>
      </c>
      <c r="O101" s="32"/>
      <c r="P101"/>
      <c r="Q101"/>
      <c r="R101" s="134"/>
      <c r="S101" s="134"/>
      <c r="T101" s="134"/>
    </row>
    <row r="102" spans="1:20" x14ac:dyDescent="0.2">
      <c r="A102" s="47">
        <v>45412</v>
      </c>
      <c r="B102" s="48"/>
      <c r="C102" s="48"/>
      <c r="D102" s="48"/>
      <c r="E102" s="48"/>
      <c r="F102" s="48"/>
      <c r="G102" s="48"/>
      <c r="H102" s="56">
        <f t="shared" si="9"/>
        <v>290.59999999999997</v>
      </c>
      <c r="I102" s="56">
        <f t="shared" si="9"/>
        <v>2.6</v>
      </c>
      <c r="J102" s="93">
        <v>30</v>
      </c>
      <c r="K102" s="111">
        <v>1</v>
      </c>
      <c r="L102" s="96">
        <f>'Rate Class Customer Model'!R15</f>
        <v>8446</v>
      </c>
      <c r="M102" s="48">
        <v>0</v>
      </c>
      <c r="N102" s="48">
        <f t="shared" si="6"/>
        <v>12083462.910130018</v>
      </c>
      <c r="O102" s="32"/>
      <c r="P102"/>
      <c r="Q102"/>
      <c r="R102" s="134"/>
      <c r="S102" s="134"/>
      <c r="T102" s="134"/>
    </row>
    <row r="103" spans="1:20" x14ac:dyDescent="0.2">
      <c r="A103" s="47">
        <v>45443</v>
      </c>
      <c r="B103" s="48"/>
      <c r="C103" s="48"/>
      <c r="D103" s="48"/>
      <c r="E103" s="48"/>
      <c r="F103" s="48"/>
      <c r="G103" s="48"/>
      <c r="H103" s="56">
        <f t="shared" si="9"/>
        <v>153</v>
      </c>
      <c r="I103" s="56">
        <f t="shared" si="9"/>
        <v>8.9</v>
      </c>
      <c r="J103" s="93">
        <v>31</v>
      </c>
      <c r="K103" s="111">
        <v>1</v>
      </c>
      <c r="L103" s="96">
        <f>'Rate Class Customer Model'!R16</f>
        <v>8456</v>
      </c>
      <c r="M103" s="48">
        <v>0</v>
      </c>
      <c r="N103" s="48">
        <f t="shared" si="6"/>
        <v>12352791.321417505</v>
      </c>
      <c r="O103" s="32"/>
      <c r="P103"/>
      <c r="Q103"/>
      <c r="R103" s="134"/>
      <c r="S103" s="134"/>
      <c r="T103" s="134"/>
    </row>
    <row r="104" spans="1:20" x14ac:dyDescent="0.2">
      <c r="A104" s="47">
        <v>45473</v>
      </c>
      <c r="B104" s="48"/>
      <c r="C104" s="48"/>
      <c r="D104" s="48"/>
      <c r="E104" s="48"/>
      <c r="F104" s="48"/>
      <c r="G104" s="48"/>
      <c r="H104" s="56">
        <f t="shared" si="9"/>
        <v>34.9</v>
      </c>
      <c r="I104" s="56">
        <f t="shared" si="9"/>
        <v>31.900000000000002</v>
      </c>
      <c r="J104" s="93">
        <v>30</v>
      </c>
      <c r="K104" s="111">
        <v>0</v>
      </c>
      <c r="L104" s="96">
        <f>'Rate Class Customer Model'!R17</f>
        <v>8480</v>
      </c>
      <c r="M104" s="48">
        <v>0</v>
      </c>
      <c r="N104" s="48">
        <f t="shared" si="6"/>
        <v>12999691.643233426</v>
      </c>
      <c r="O104" s="32"/>
      <c r="P104"/>
      <c r="Q104"/>
      <c r="R104" s="134"/>
      <c r="S104" s="134"/>
      <c r="T104" s="134"/>
    </row>
    <row r="105" spans="1:20" x14ac:dyDescent="0.2">
      <c r="A105" s="47">
        <v>45504</v>
      </c>
      <c r="B105" s="48"/>
      <c r="C105" s="48"/>
      <c r="D105" s="48"/>
      <c r="E105" s="48"/>
      <c r="F105" s="48"/>
      <c r="G105" s="48"/>
      <c r="H105" s="56">
        <f t="shared" si="9"/>
        <v>2.4</v>
      </c>
      <c r="I105" s="56">
        <f t="shared" si="9"/>
        <v>80.3</v>
      </c>
      <c r="J105" s="93">
        <v>31</v>
      </c>
      <c r="K105" s="111">
        <v>0</v>
      </c>
      <c r="L105" s="96">
        <f>'Rate Class Customer Model'!R18</f>
        <v>8492.5406045191612</v>
      </c>
      <c r="M105" s="48">
        <v>0</v>
      </c>
      <c r="N105" s="48">
        <f t="shared" si="6"/>
        <v>14722189.834066968</v>
      </c>
      <c r="O105" s="32"/>
      <c r="P105"/>
      <c r="Q105"/>
      <c r="R105" s="134"/>
      <c r="S105" s="134"/>
      <c r="T105" s="134"/>
    </row>
    <row r="106" spans="1:20" x14ac:dyDescent="0.2">
      <c r="A106" s="47">
        <v>45535</v>
      </c>
      <c r="B106" s="48"/>
      <c r="C106" s="48"/>
      <c r="D106" s="48"/>
      <c r="E106" s="48"/>
      <c r="F106" s="48"/>
      <c r="G106" s="48"/>
      <c r="H106" s="56">
        <f t="shared" si="9"/>
        <v>19.8</v>
      </c>
      <c r="I106" s="56">
        <f t="shared" si="9"/>
        <v>35.300000000000004</v>
      </c>
      <c r="J106" s="93">
        <v>31</v>
      </c>
      <c r="K106" s="111">
        <v>0</v>
      </c>
      <c r="L106" s="96">
        <f>'Rate Class Customer Model'!R19</f>
        <v>8505.0997546470153</v>
      </c>
      <c r="M106" s="48">
        <v>0</v>
      </c>
      <c r="N106" s="48">
        <f t="shared" si="6"/>
        <v>13440975.225192437</v>
      </c>
      <c r="O106" s="32"/>
      <c r="P106"/>
      <c r="Q106"/>
      <c r="R106" s="134"/>
      <c r="S106" s="134"/>
      <c r="T106" s="134"/>
    </row>
    <row r="107" spans="1:20" x14ac:dyDescent="0.2">
      <c r="A107" s="47">
        <v>45565</v>
      </c>
      <c r="B107" s="48"/>
      <c r="C107" s="48"/>
      <c r="D107" s="48"/>
      <c r="E107" s="48"/>
      <c r="F107" s="48"/>
      <c r="G107" s="48"/>
      <c r="H107" s="56">
        <f t="shared" si="9"/>
        <v>52.500000000000007</v>
      </c>
      <c r="I107" s="56">
        <f t="shared" si="9"/>
        <v>29.199999999999996</v>
      </c>
      <c r="J107" s="93">
        <v>30</v>
      </c>
      <c r="K107" s="111">
        <v>1</v>
      </c>
      <c r="L107" s="96">
        <f>'Rate Class Customer Model'!R20</f>
        <v>8517.6774778096387</v>
      </c>
      <c r="M107" s="48">
        <v>0</v>
      </c>
      <c r="N107" s="48">
        <f t="shared" si="6"/>
        <v>12532457.461634619</v>
      </c>
      <c r="O107" s="32"/>
      <c r="P107"/>
      <c r="Q107"/>
      <c r="R107" s="134"/>
      <c r="S107" s="134"/>
      <c r="T107" s="134"/>
    </row>
    <row r="108" spans="1:20" x14ac:dyDescent="0.2">
      <c r="A108" s="47">
        <v>45596</v>
      </c>
      <c r="B108" s="48"/>
      <c r="C108" s="48"/>
      <c r="D108" s="48"/>
      <c r="E108" s="48"/>
      <c r="F108" s="48"/>
      <c r="G108" s="48"/>
      <c r="H108" s="56">
        <f t="shared" si="9"/>
        <v>210.7</v>
      </c>
      <c r="I108" s="56">
        <f t="shared" si="9"/>
        <v>9.4</v>
      </c>
      <c r="J108" s="93">
        <v>31</v>
      </c>
      <c r="K108" s="111">
        <v>1</v>
      </c>
      <c r="L108" s="96">
        <f>'Rate Class Customer Model'!R21</f>
        <v>8530.2738014736697</v>
      </c>
      <c r="M108" s="48">
        <v>0</v>
      </c>
      <c r="N108" s="48">
        <f t="shared" si="6"/>
        <v>12596509.956938924</v>
      </c>
      <c r="O108" s="32"/>
      <c r="P108"/>
      <c r="Q108"/>
      <c r="R108" s="134"/>
      <c r="S108" s="134"/>
      <c r="T108" s="134"/>
    </row>
    <row r="109" spans="1:20" x14ac:dyDescent="0.2">
      <c r="A109" s="47">
        <v>45626</v>
      </c>
      <c r="B109" s="48"/>
      <c r="C109" s="48"/>
      <c r="D109" s="48"/>
      <c r="E109" s="48"/>
      <c r="F109" s="48"/>
      <c r="G109" s="48"/>
      <c r="H109" s="56">
        <f t="shared" si="9"/>
        <v>448.09999999999997</v>
      </c>
      <c r="I109" s="56">
        <f t="shared" si="9"/>
        <v>0</v>
      </c>
      <c r="J109" s="93">
        <v>30</v>
      </c>
      <c r="K109" s="111">
        <v>0</v>
      </c>
      <c r="L109" s="96">
        <f>'Rate Class Customer Model'!R22</f>
        <v>8542.8887531463643</v>
      </c>
      <c r="M109" s="48">
        <v>0</v>
      </c>
      <c r="N109" s="48">
        <f t="shared" si="6"/>
        <v>12942895.903617438</v>
      </c>
      <c r="O109" s="32"/>
      <c r="R109" s="134"/>
      <c r="S109" s="134"/>
      <c r="T109" s="134"/>
    </row>
    <row r="110" spans="1:20" x14ac:dyDescent="0.2">
      <c r="A110" s="47">
        <v>45657</v>
      </c>
      <c r="B110" s="48"/>
      <c r="C110" s="48"/>
      <c r="D110" s="48"/>
      <c r="E110" s="48"/>
      <c r="F110" s="48"/>
      <c r="G110" s="48"/>
      <c r="H110" s="56">
        <f t="shared" si="9"/>
        <v>462.30000000000007</v>
      </c>
      <c r="I110" s="56">
        <f t="shared" si="9"/>
        <v>0</v>
      </c>
      <c r="J110" s="93">
        <v>31</v>
      </c>
      <c r="K110" s="111">
        <v>0</v>
      </c>
      <c r="L110" s="96">
        <f>'Rate Class Customer Model'!R23</f>
        <v>8555.5223603756567</v>
      </c>
      <c r="M110" s="48">
        <v>0</v>
      </c>
      <c r="N110" s="48">
        <f t="shared" si="6"/>
        <v>13319341.566516325</v>
      </c>
      <c r="O110" s="32"/>
      <c r="R110" s="134"/>
      <c r="S110" s="134"/>
      <c r="T110" s="134"/>
    </row>
    <row r="111" spans="1:20" x14ac:dyDescent="0.2">
      <c r="A111" s="33"/>
      <c r="J111" s="10"/>
      <c r="K111" s="58"/>
    </row>
    <row r="112" spans="1:20" x14ac:dyDescent="0.2">
      <c r="A112" s="33"/>
      <c r="J112" s="10"/>
      <c r="K112" s="58"/>
      <c r="S112" s="171"/>
    </row>
    <row r="113" spans="1:20" ht="12.6" customHeight="1" x14ac:dyDescent="0.2">
      <c r="A113" s="33"/>
      <c r="H113" s="98" t="s">
        <v>124</v>
      </c>
      <c r="I113" s="95"/>
      <c r="J113" s="10"/>
      <c r="K113" s="58"/>
      <c r="S113" s="171"/>
    </row>
    <row r="114" spans="1:20" x14ac:dyDescent="0.2">
      <c r="A114" s="33"/>
      <c r="H114" s="99" t="s">
        <v>89</v>
      </c>
      <c r="I114" s="97"/>
      <c r="J114" s="10"/>
      <c r="K114" s="58"/>
      <c r="N114" s="32">
        <f>SUM(N2:N110)</f>
        <v>1260555609.5472507</v>
      </c>
      <c r="S114" s="171"/>
    </row>
    <row r="115" spans="1:20" x14ac:dyDescent="0.2">
      <c r="A115" s="33"/>
      <c r="J115" s="10"/>
      <c r="K115" s="58"/>
      <c r="O115" s="52" t="s">
        <v>133</v>
      </c>
      <c r="P115" s="52" t="s">
        <v>134</v>
      </c>
      <c r="Q115" s="52" t="s">
        <v>106</v>
      </c>
      <c r="S115" s="171"/>
    </row>
    <row r="116" spans="1:20" x14ac:dyDescent="0.2">
      <c r="A116" s="27">
        <v>2016</v>
      </c>
      <c r="B116" s="6">
        <f>SUM(B3:B14)</f>
        <v>199907738.60000002</v>
      </c>
      <c r="D116" s="6">
        <f>SUM(D3:D14)</f>
        <v>201771248.14999998</v>
      </c>
      <c r="E116" s="6">
        <f>SUM(E3:E14)</f>
        <v>15515215.030000001</v>
      </c>
      <c r="F116" s="6">
        <f>SUM(F3:F14)</f>
        <v>51080246.740000002</v>
      </c>
      <c r="G116" s="6">
        <f>SUM(G3:G14)</f>
        <v>135175786.38</v>
      </c>
      <c r="N116" s="6">
        <f>SUM(N3:N14)</f>
        <v>127658167.53671184</v>
      </c>
      <c r="O116" s="6">
        <f>E116</f>
        <v>15515215.030000001</v>
      </c>
      <c r="P116" s="6">
        <f>F116</f>
        <v>51080246.740000002</v>
      </c>
      <c r="Q116" s="6">
        <f>N116+O116+P116</f>
        <v>194253629.30671185</v>
      </c>
      <c r="R116" s="5"/>
      <c r="S116" s="5"/>
      <c r="T116" s="6"/>
    </row>
    <row r="117" spans="1:20" x14ac:dyDescent="0.2">
      <c r="A117" s="27">
        <v>2017</v>
      </c>
      <c r="B117" s="6">
        <f>SUM(B15:B26)</f>
        <v>187853870.12</v>
      </c>
      <c r="D117" s="6">
        <f>SUM(D15:D26)</f>
        <v>189637460.56999999</v>
      </c>
      <c r="E117" s="6">
        <f>SUM(E15:E26)</f>
        <v>13850995.209999999</v>
      </c>
      <c r="F117" s="6">
        <f>SUM(F15:F26)</f>
        <v>45192560.409999996</v>
      </c>
      <c r="G117" s="6">
        <f>SUM(G15:G26)</f>
        <v>130593904.94999999</v>
      </c>
      <c r="N117" s="6">
        <f>SUM(N15:N26)</f>
        <v>129633112.49998057</v>
      </c>
      <c r="O117" s="6">
        <f t="shared" ref="O117:P122" si="10">E117</f>
        <v>13850995.209999999</v>
      </c>
      <c r="P117" s="6">
        <f>F117</f>
        <v>45192560.409999996</v>
      </c>
      <c r="Q117" s="6">
        <f t="shared" ref="Q117:Q124" si="11">N117+O117+P117</f>
        <v>188676668.11998057</v>
      </c>
      <c r="R117" s="5"/>
      <c r="S117" s="5"/>
      <c r="T117" s="6"/>
    </row>
    <row r="118" spans="1:20" x14ac:dyDescent="0.2">
      <c r="A118" s="27">
        <v>2018</v>
      </c>
      <c r="B118" s="6">
        <f>SUM(B27:B38)</f>
        <v>188394772.28</v>
      </c>
      <c r="D118" s="6">
        <f>SUM(D27:D38)</f>
        <v>189993954.81999999</v>
      </c>
      <c r="E118" s="6">
        <f>SUM(E27:E38)</f>
        <v>9550436.8200000022</v>
      </c>
      <c r="F118" s="6">
        <f>SUM(F27:F38)</f>
        <v>42661402.460000001</v>
      </c>
      <c r="G118" s="6">
        <f>SUM(G27:G38)</f>
        <v>137782115.54000002</v>
      </c>
      <c r="N118" s="6">
        <f>SUM(N27:N38)</f>
        <v>131844460.30292009</v>
      </c>
      <c r="O118" s="6">
        <f t="shared" si="10"/>
        <v>9550436.8200000022</v>
      </c>
      <c r="P118" s="6">
        <f>F118</f>
        <v>42661402.460000001</v>
      </c>
      <c r="Q118" s="6">
        <f t="shared" si="11"/>
        <v>184056299.5829201</v>
      </c>
      <c r="R118" s="5"/>
      <c r="S118" s="5"/>
      <c r="T118" s="6"/>
    </row>
    <row r="119" spans="1:20" x14ac:dyDescent="0.2">
      <c r="A119" s="27">
        <v>2019</v>
      </c>
      <c r="B119" s="6">
        <f>SUM(B39:B50)</f>
        <v>175614761.14000005</v>
      </c>
      <c r="D119" s="6">
        <f>SUM(D39:D50)</f>
        <v>177282153.69999999</v>
      </c>
      <c r="E119" s="6">
        <f>SUM(E39:E50)</f>
        <v>2612047.5700000003</v>
      </c>
      <c r="F119" s="6">
        <f>SUM(F39:F50)</f>
        <v>39613794.999999993</v>
      </c>
      <c r="G119" s="6">
        <f>SUM(G39:G50)</f>
        <v>135056311.13</v>
      </c>
      <c r="N119" s="6">
        <f>SUM(N39:N50)</f>
        <v>134532295.19571933</v>
      </c>
      <c r="O119" s="6">
        <f t="shared" si="10"/>
        <v>2612047.5700000003</v>
      </c>
      <c r="P119" s="6">
        <f>F119</f>
        <v>39613794.999999993</v>
      </c>
      <c r="Q119" s="6">
        <f t="shared" si="11"/>
        <v>176758137.76571932</v>
      </c>
      <c r="R119" s="5"/>
      <c r="S119" s="5"/>
      <c r="T119" s="6"/>
    </row>
    <row r="120" spans="1:20" x14ac:dyDescent="0.2">
      <c r="A120" s="27">
        <v>2020</v>
      </c>
      <c r="B120" s="6">
        <f>SUM(B51:B62)</f>
        <v>171542621.55000001</v>
      </c>
      <c r="D120" s="6">
        <f>SUM(D51:D62)</f>
        <v>173380458.75</v>
      </c>
      <c r="E120" s="6">
        <f>SUM(E51:E62)</f>
        <v>1868303.8099999998</v>
      </c>
      <c r="F120" s="6">
        <f>SUM(F51:F62)</f>
        <v>31465784.07</v>
      </c>
      <c r="G120" s="6">
        <f>SUM(G51:G62)</f>
        <v>140046370.87</v>
      </c>
      <c r="N120" s="6">
        <f>SUM(N51:N62)</f>
        <v>135075739.08879521</v>
      </c>
      <c r="O120" s="6">
        <f t="shared" si="10"/>
        <v>1868303.8099999998</v>
      </c>
      <c r="P120" s="6">
        <f>F120</f>
        <v>31465784.07</v>
      </c>
      <c r="Q120" s="6">
        <f t="shared" si="11"/>
        <v>168409826.96879521</v>
      </c>
      <c r="R120" s="5"/>
      <c r="S120" s="5"/>
      <c r="T120" s="6"/>
    </row>
    <row r="121" spans="1:20" x14ac:dyDescent="0.2">
      <c r="A121" s="27">
        <v>2021</v>
      </c>
      <c r="B121" s="6">
        <f>SUM(B63:B74)</f>
        <v>176270206.56999999</v>
      </c>
      <c r="D121" s="6">
        <f>SUM(D63:D74)</f>
        <v>178063868.77000004</v>
      </c>
      <c r="E121" s="6">
        <f>SUM(E63:E74)</f>
        <v>3109565.6599999992</v>
      </c>
      <c r="F121" s="6">
        <f>SUM(F63:F74)</f>
        <v>29610899.920000002</v>
      </c>
      <c r="G121" s="6">
        <f>SUM(G63:G74)</f>
        <v>145343403.19000003</v>
      </c>
      <c r="N121" s="6">
        <f>SUM(N63:N74)</f>
        <v>143532784.55417672</v>
      </c>
      <c r="O121" s="6">
        <f t="shared" si="10"/>
        <v>3109565.6599999992</v>
      </c>
      <c r="P121" s="6">
        <f t="shared" si="10"/>
        <v>29610899.920000002</v>
      </c>
      <c r="Q121" s="6">
        <f t="shared" si="11"/>
        <v>176253250.13417673</v>
      </c>
      <c r="R121" s="5"/>
      <c r="S121" s="5"/>
      <c r="T121" s="6"/>
    </row>
    <row r="122" spans="1:20" x14ac:dyDescent="0.2">
      <c r="A122" s="27">
        <v>2022</v>
      </c>
      <c r="B122" s="6">
        <f>SUM(B75:B86)</f>
        <v>183346093.11000001</v>
      </c>
      <c r="D122" s="6">
        <f>SUM(D75:D86)</f>
        <v>185144755.56000003</v>
      </c>
      <c r="E122" s="6">
        <f>SUM(E75:E86)</f>
        <v>2522033.3000000007</v>
      </c>
      <c r="F122" s="6">
        <f>SUM(F75:F86)</f>
        <v>28395278.939999998</v>
      </c>
      <c r="G122" s="6">
        <f>SUM(G75:G86)</f>
        <v>154227443.32000002</v>
      </c>
      <c r="N122" s="6">
        <f>SUM(N75:N86)</f>
        <v>149560825.92589188</v>
      </c>
      <c r="O122" s="6">
        <f t="shared" si="10"/>
        <v>2522033.3000000007</v>
      </c>
      <c r="P122" s="6">
        <f>F122</f>
        <v>28395278.939999998</v>
      </c>
      <c r="Q122" s="6">
        <f t="shared" si="11"/>
        <v>180478138.16589189</v>
      </c>
      <c r="R122" s="5"/>
      <c r="S122" s="5"/>
      <c r="T122" s="6"/>
    </row>
    <row r="123" spans="1:20" x14ac:dyDescent="0.2">
      <c r="A123" s="27">
        <v>2023</v>
      </c>
      <c r="N123" s="15">
        <f>SUM(N87:N98)</f>
        <v>152990485.85343662</v>
      </c>
      <c r="O123" s="6">
        <v>0</v>
      </c>
      <c r="P123" s="6">
        <f>TREND(P116:P122,$A$116:$A$122,2023)</f>
        <v>22515160.681428909</v>
      </c>
      <c r="Q123" s="6">
        <f t="shared" si="11"/>
        <v>175505646.53486553</v>
      </c>
      <c r="R123" s="5"/>
      <c r="S123" s="5"/>
      <c r="T123" s="6"/>
    </row>
    <row r="124" spans="1:20" x14ac:dyDescent="0.2">
      <c r="A124" s="27">
        <v>2024</v>
      </c>
      <c r="N124" s="15">
        <f>SUM(N99:N110)</f>
        <v>155727738.58961827</v>
      </c>
      <c r="O124" s="6">
        <v>0</v>
      </c>
      <c r="P124" s="6">
        <f>TREND(P116:P123,$A$116:$A$123,2024)</f>
        <v>18571809.153927803</v>
      </c>
      <c r="Q124" s="6">
        <f t="shared" si="11"/>
        <v>174299547.74354607</v>
      </c>
      <c r="R124" s="5"/>
      <c r="S124" s="5"/>
      <c r="T124" s="5"/>
    </row>
    <row r="125" spans="1:20" x14ac:dyDescent="0.2">
      <c r="N125" s="6"/>
    </row>
    <row r="126" spans="1:20" x14ac:dyDescent="0.2">
      <c r="A126" s="42" t="s">
        <v>7</v>
      </c>
      <c r="B126" s="6">
        <f>SUM(B116:B122)</f>
        <v>1282930063.3699999</v>
      </c>
      <c r="D126" s="6">
        <f>SUM(D116:D122)</f>
        <v>1295273900.3199999</v>
      </c>
      <c r="E126" s="6">
        <f>SUM(E116:E122)</f>
        <v>49028597.400000006</v>
      </c>
      <c r="F126" s="6">
        <f>SUM(F116:F122)</f>
        <v>268019967.54000002</v>
      </c>
      <c r="G126" s="6">
        <f>SUM(G116:G122)</f>
        <v>978225335.38000011</v>
      </c>
      <c r="L126" s="1" t="s">
        <v>126</v>
      </c>
      <c r="N126" s="6">
        <f>SUM(N116:N122)</f>
        <v>951837385.10419559</v>
      </c>
      <c r="Q126" s="6">
        <f>SUM(Q116:Q122)</f>
        <v>1268885950.0441957</v>
      </c>
    </row>
    <row r="127" spans="1:20" x14ac:dyDescent="0.2">
      <c r="N127" s="32">
        <f>N126-G126</f>
        <v>-26387950.27580452</v>
      </c>
      <c r="Q127" s="6">
        <f>Q126-D126</f>
        <v>-26387950.275804281</v>
      </c>
    </row>
    <row r="129" spans="1:20" x14ac:dyDescent="0.2">
      <c r="O129"/>
      <c r="P129"/>
      <c r="Q129"/>
      <c r="R129"/>
      <c r="S129"/>
      <c r="T129"/>
    </row>
    <row r="130" spans="1:20" x14ac:dyDescent="0.2">
      <c r="N130" s="6">
        <f>SUM(N116:N124)</f>
        <v>1260555609.5472505</v>
      </c>
    </row>
    <row r="131" spans="1:20" x14ac:dyDescent="0.2">
      <c r="N131" s="32">
        <f>N114-N130</f>
        <v>0</v>
      </c>
    </row>
    <row r="132" spans="1:20" x14ac:dyDescent="0.2">
      <c r="A132"/>
      <c r="B132"/>
      <c r="C132"/>
      <c r="D132"/>
      <c r="E132"/>
      <c r="F132"/>
      <c r="G132"/>
      <c r="H132"/>
      <c r="I132"/>
      <c r="J132"/>
      <c r="L132"/>
      <c r="M132"/>
      <c r="N132"/>
      <c r="O132"/>
    </row>
    <row r="133" spans="1:20" x14ac:dyDescent="0.2">
      <c r="A133"/>
      <c r="B133"/>
      <c r="C133"/>
      <c r="D133"/>
      <c r="E133"/>
      <c r="F133"/>
      <c r="G133"/>
      <c r="H133"/>
      <c r="I133"/>
      <c r="J133"/>
      <c r="L133"/>
      <c r="M133"/>
      <c r="N133"/>
      <c r="O133"/>
    </row>
    <row r="134" spans="1:20" x14ac:dyDescent="0.2">
      <c r="A134"/>
      <c r="B134"/>
      <c r="C134"/>
      <c r="D134"/>
      <c r="E134"/>
      <c r="F134"/>
      <c r="G134"/>
      <c r="H134"/>
      <c r="I134"/>
      <c r="J134"/>
      <c r="L134"/>
      <c r="M134"/>
      <c r="N134"/>
      <c r="O134"/>
    </row>
    <row r="135" spans="1:20" x14ac:dyDescent="0.2">
      <c r="A135"/>
      <c r="B135"/>
      <c r="C135"/>
      <c r="D135"/>
      <c r="E135"/>
      <c r="F135"/>
      <c r="G135"/>
      <c r="H135"/>
      <c r="I135"/>
      <c r="J135"/>
      <c r="L135"/>
      <c r="M135"/>
      <c r="N135"/>
      <c r="O135"/>
    </row>
    <row r="136" spans="1:20" x14ac:dyDescent="0.2">
      <c r="A136"/>
      <c r="B136"/>
      <c r="C136"/>
      <c r="H136" s="6"/>
      <c r="I136" s="6"/>
      <c r="J136" s="6"/>
      <c r="L136"/>
      <c r="M136"/>
      <c r="N136"/>
      <c r="O136"/>
    </row>
    <row r="137" spans="1:20" x14ac:dyDescent="0.2">
      <c r="A137"/>
      <c r="B137"/>
      <c r="C137"/>
      <c r="H137" s="6"/>
      <c r="I137" s="6"/>
      <c r="J137" s="6"/>
      <c r="L137"/>
      <c r="M137"/>
      <c r="N137"/>
      <c r="O137"/>
    </row>
    <row r="138" spans="1:20" x14ac:dyDescent="0.2">
      <c r="A138"/>
      <c r="B138"/>
      <c r="C138"/>
      <c r="H138" s="6"/>
      <c r="I138" s="6"/>
      <c r="J138" s="6"/>
      <c r="L138"/>
      <c r="M138"/>
      <c r="N138"/>
      <c r="O138"/>
    </row>
    <row r="139" spans="1:20" x14ac:dyDescent="0.2">
      <c r="A139"/>
      <c r="B139"/>
      <c r="C139"/>
      <c r="H139" s="6"/>
      <c r="I139" s="6"/>
      <c r="J139" s="6"/>
      <c r="L139"/>
      <c r="M139"/>
      <c r="N139"/>
      <c r="O139"/>
    </row>
    <row r="140" spans="1:20" x14ac:dyDescent="0.2">
      <c r="A140"/>
      <c r="B140"/>
      <c r="C140"/>
      <c r="H140" s="6"/>
      <c r="I140" s="6"/>
      <c r="J140" s="6"/>
      <c r="L140"/>
      <c r="M140"/>
      <c r="N140"/>
      <c r="O140"/>
      <c r="P140"/>
      <c r="Q140"/>
      <c r="R140"/>
      <c r="S140"/>
      <c r="T140"/>
    </row>
    <row r="141" spans="1:20" x14ac:dyDescent="0.2">
      <c r="A141"/>
      <c r="B141"/>
      <c r="C141"/>
      <c r="H141" s="6"/>
      <c r="I141" s="6"/>
      <c r="J141" s="6"/>
      <c r="L141"/>
      <c r="M141"/>
      <c r="N141"/>
      <c r="O141"/>
      <c r="P141"/>
      <c r="Q141"/>
      <c r="R141"/>
      <c r="S141"/>
      <c r="T141"/>
    </row>
    <row r="142" spans="1:20" x14ac:dyDescent="0.2">
      <c r="A142"/>
      <c r="B142"/>
      <c r="C142"/>
      <c r="H142" s="6"/>
      <c r="I142" s="6"/>
      <c r="J142" s="6"/>
      <c r="L142"/>
      <c r="M142"/>
      <c r="N142"/>
      <c r="O142"/>
      <c r="P142"/>
      <c r="Q142"/>
      <c r="R142"/>
      <c r="S142"/>
      <c r="T142"/>
    </row>
    <row r="143" spans="1:20" x14ac:dyDescent="0.2">
      <c r="A143"/>
      <c r="B143"/>
      <c r="C143"/>
      <c r="H143" s="6"/>
      <c r="I143" s="6"/>
      <c r="J143" s="6"/>
      <c r="L143"/>
      <c r="M143"/>
      <c r="N143"/>
      <c r="O143"/>
      <c r="P143"/>
      <c r="Q143"/>
      <c r="R143"/>
      <c r="S143"/>
      <c r="T143"/>
    </row>
    <row r="144" spans="1:20" x14ac:dyDescent="0.2">
      <c r="A144"/>
      <c r="B144"/>
      <c r="C144"/>
      <c r="H144" s="6"/>
      <c r="I144" s="6"/>
      <c r="J144" s="6"/>
      <c r="L144"/>
      <c r="M144"/>
      <c r="N144"/>
      <c r="O144"/>
      <c r="P144"/>
      <c r="Q144"/>
      <c r="R144"/>
      <c r="S144"/>
      <c r="T144"/>
    </row>
    <row r="145" spans="1:20" x14ac:dyDescent="0.2">
      <c r="A145"/>
      <c r="H145" s="6"/>
      <c r="I145" s="6"/>
      <c r="J145" s="6"/>
      <c r="P145"/>
      <c r="Q145"/>
      <c r="R145"/>
      <c r="S145"/>
      <c r="T145"/>
    </row>
    <row r="146" spans="1:20" x14ac:dyDescent="0.2">
      <c r="A146"/>
      <c r="H146" s="6"/>
      <c r="I146" s="6"/>
      <c r="J146" s="6"/>
      <c r="P146"/>
      <c r="Q146"/>
      <c r="R146"/>
      <c r="S146"/>
      <c r="T146"/>
    </row>
    <row r="147" spans="1:20" x14ac:dyDescent="0.2">
      <c r="A147"/>
      <c r="H147" s="6"/>
      <c r="I147" s="6"/>
      <c r="J147" s="6"/>
      <c r="P147"/>
      <c r="Q147"/>
      <c r="R147"/>
      <c r="S147"/>
      <c r="T147"/>
    </row>
    <row r="148" spans="1:20" x14ac:dyDescent="0.2">
      <c r="A148"/>
      <c r="H148" s="6"/>
      <c r="I148" s="6"/>
      <c r="J148" s="6"/>
      <c r="K148" s="6"/>
      <c r="P148"/>
      <c r="Q148"/>
      <c r="R148"/>
      <c r="S148"/>
      <c r="T148"/>
    </row>
    <row r="149" spans="1:20" x14ac:dyDescent="0.2">
      <c r="A149"/>
      <c r="P149"/>
      <c r="Q149"/>
      <c r="R149"/>
      <c r="S149"/>
      <c r="T149"/>
    </row>
    <row r="150" spans="1:20" x14ac:dyDescent="0.2">
      <c r="A150"/>
      <c r="P150"/>
      <c r="Q150"/>
      <c r="R150"/>
      <c r="S150"/>
      <c r="T150"/>
    </row>
    <row r="151" spans="1:20" x14ac:dyDescent="0.2">
      <c r="A151"/>
      <c r="P151"/>
      <c r="Q151"/>
      <c r="R151"/>
      <c r="S151"/>
      <c r="T151"/>
    </row>
    <row r="152" spans="1:20" x14ac:dyDescent="0.2">
      <c r="A152"/>
      <c r="P152"/>
      <c r="Q152"/>
      <c r="R152"/>
      <c r="S152"/>
      <c r="T152"/>
    </row>
    <row r="153" spans="1:20" x14ac:dyDescent="0.2">
      <c r="A153"/>
      <c r="P153"/>
      <c r="Q153"/>
      <c r="R153"/>
      <c r="S153"/>
      <c r="T153"/>
    </row>
    <row r="154" spans="1:20" x14ac:dyDescent="0.2">
      <c r="A154"/>
      <c r="P154"/>
      <c r="Q154"/>
      <c r="R154"/>
      <c r="S154"/>
      <c r="T154"/>
    </row>
    <row r="155" spans="1:20" x14ac:dyDescent="0.2">
      <c r="A155"/>
      <c r="P155"/>
      <c r="Q155"/>
      <c r="R155"/>
      <c r="S155"/>
      <c r="T155"/>
    </row>
    <row r="156" spans="1:20" customFormat="1" x14ac:dyDescent="0.2">
      <c r="K156" s="57"/>
    </row>
    <row r="157" spans="1:20" customFormat="1" x14ac:dyDescent="0.2">
      <c r="K157" s="57"/>
    </row>
  </sheetData>
  <mergeCells count="1">
    <mergeCell ref="S112:S115"/>
  </mergeCells>
  <printOptions gridLines="1"/>
  <pageMargins left="0.38" right="0.75" top="0.73" bottom="0.74" header="0.5" footer="0.5"/>
  <pageSetup scale="15" orientation="landscape" r:id="rId1"/>
  <headerFooter alignWithMargins="0">
    <oddFooter>&amp;L&amp;Z&amp;F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8">
    <pageSetUpPr fitToPage="1"/>
  </sheetPr>
  <dimension ref="A2:W55"/>
  <sheetViews>
    <sheetView workbookViewId="0">
      <pane xSplit="2" ySplit="2" topLeftCell="F3" activePane="bottomRight" state="frozen"/>
      <selection pane="topRight" activeCell="C1" sqref="C1"/>
      <selection pane="bottomLeft" activeCell="A3" sqref="A3"/>
      <selection pane="bottomRight" activeCell="N10" sqref="N10"/>
    </sheetView>
  </sheetViews>
  <sheetFormatPr defaultRowHeight="12.75" x14ac:dyDescent="0.2"/>
  <cols>
    <col min="1" max="1" width="21.5703125" customWidth="1"/>
    <col min="2" max="5" width="18" style="1" customWidth="1"/>
    <col min="6" max="6" width="15.5703125" style="1" customWidth="1"/>
    <col min="7" max="7" width="15.5703125" style="6" customWidth="1"/>
    <col min="8" max="8" width="15" style="6" customWidth="1"/>
    <col min="9" max="9" width="14" style="6" customWidth="1"/>
    <col min="10" max="10" width="14.140625" style="6" bestFit="1" customWidth="1"/>
    <col min="11" max="12" width="14.140625" style="6" customWidth="1"/>
    <col min="13" max="13" width="11.42578125" style="6" customWidth="1"/>
    <col min="14" max="14" width="12.42578125" style="6" customWidth="1"/>
    <col min="15" max="15" width="10.5703125" style="6" customWidth="1"/>
    <col min="16" max="17" width="16.85546875" customWidth="1"/>
    <col min="18" max="18" width="14.42578125" customWidth="1"/>
    <col min="19" max="19" width="12.5703125" bestFit="1" customWidth="1"/>
    <col min="20" max="20" width="11.5703125" bestFit="1" customWidth="1"/>
    <col min="21" max="21" width="14" customWidth="1"/>
    <col min="22" max="22" width="10.140625" bestFit="1" customWidth="1"/>
    <col min="23" max="23" width="12.5703125" style="6" bestFit="1" customWidth="1"/>
  </cols>
  <sheetData>
    <row r="2" spans="1:15" ht="38.25" x14ac:dyDescent="0.2">
      <c r="B2" s="2" t="s">
        <v>4</v>
      </c>
      <c r="C2" s="2" t="s">
        <v>5</v>
      </c>
      <c r="D2" s="2" t="s">
        <v>35</v>
      </c>
      <c r="E2" s="2" t="s">
        <v>6</v>
      </c>
      <c r="F2" s="2" t="s">
        <v>0</v>
      </c>
      <c r="G2" s="7" t="s">
        <v>1</v>
      </c>
      <c r="H2" s="142" t="str">
        <f>Inputs!B4</f>
        <v>Residential</v>
      </c>
      <c r="I2" s="46" t="str">
        <f>Inputs!C4</f>
        <v>General Service &lt; 50 kW</v>
      </c>
      <c r="J2" s="46" t="str">
        <f>Inputs!D4</f>
        <v>General Service 50 to 499 kW</v>
      </c>
      <c r="K2" s="46" t="str">
        <f>Inputs!E4</f>
        <v>General Service 500 to 1499 kW</v>
      </c>
      <c r="L2" s="46" t="str">
        <f>Inputs!F4</f>
        <v>General Service 1500-4999 kW</v>
      </c>
      <c r="M2" s="46" t="str">
        <f>Inputs!G4</f>
        <v>Unmetered Scattered Load</v>
      </c>
      <c r="N2" s="46" t="str">
        <f>Inputs!H4</f>
        <v>Sentinel Lighting</v>
      </c>
      <c r="O2" s="46" t="str">
        <f>Inputs!I4</f>
        <v xml:space="preserve">Street Lighting </v>
      </c>
    </row>
    <row r="3" spans="1:15" x14ac:dyDescent="0.2">
      <c r="A3">
        <v>2016</v>
      </c>
      <c r="B3" s="60">
        <f>'Power Purchased Model'!D116</f>
        <v>201771248.14999998</v>
      </c>
      <c r="C3" s="60">
        <f>'Power Purchased Model'!Q116</f>
        <v>197658405.62876374</v>
      </c>
      <c r="D3" s="24">
        <f t="shared" ref="D3:D9" si="0">C3-B3</f>
        <v>-4112842.5212362409</v>
      </c>
      <c r="E3" s="5">
        <f t="shared" ref="E3:E9" si="1">D3/B3</f>
        <v>-2.0383689742448776E-2</v>
      </c>
      <c r="F3" s="17">
        <f>1 +(B3-G3)/G3</f>
        <v>1.0297694965305608</v>
      </c>
      <c r="G3" s="6">
        <f t="shared" ref="G3:G10" si="2">SUM(H3:O3)</f>
        <v>195938264.66</v>
      </c>
      <c r="H3" s="38">
        <f>SUMIF(Inputs!A$24:A$143,'Rate Class Energy Model'!A3,Inputs!F$24:F$143)</f>
        <v>50305889.600000009</v>
      </c>
      <c r="I3" s="38">
        <f>SUMIF(Inputs!$A$24:$A$143,'Rate Class Energy Model'!$A$3,Inputs!$H$24:$H$143)</f>
        <v>21381406.040000003</v>
      </c>
      <c r="J3" s="38">
        <f>SUMIF(Inputs!$A$24:$A$143,'Rate Class Energy Model'!$A$3,Inputs!$J$24:$J$143)</f>
        <v>44669118.74000001</v>
      </c>
      <c r="K3" s="38">
        <f>SUMIF(Inputs!$A$24:$A$143,'Rate Class Energy Model'!$A$3,Inputs!$M$24:$M$143)</f>
        <v>42123343.190000005</v>
      </c>
      <c r="L3" s="38">
        <f>SUMIF(Inputs!$A$24:$A$143,'Rate Class Energy Model'!$A$3,Inputs!$P$24:$P$143)</f>
        <v>35542048.920000002</v>
      </c>
      <c r="M3" s="38">
        <f>SUMIF(Inputs!A$24:A$143,'Rate Class Energy Model'!$A3,Inputs!S$24:S$143)</f>
        <v>386200.86999999994</v>
      </c>
      <c r="N3" s="38">
        <f>SUMIF(Inputs!A$24:A$143,'Rate Class Energy Model'!$A3,Inputs!V$24:V$143)</f>
        <v>102640.95</v>
      </c>
      <c r="O3" s="38">
        <f>SUMIF(Inputs!A$24:A$143,'Rate Class Energy Model'!A3,Inputs!Y$24:Y$143)</f>
        <v>1427616.35</v>
      </c>
    </row>
    <row r="4" spans="1:15" x14ac:dyDescent="0.2">
      <c r="A4">
        <v>2017</v>
      </c>
      <c r="B4" s="60">
        <f>'Power Purchased Model'!D117</f>
        <v>189637460.56999999</v>
      </c>
      <c r="C4" s="60">
        <f>'Power Purchased Model'!Q117</f>
        <v>189908039.97402301</v>
      </c>
      <c r="D4" s="24">
        <f t="shared" si="0"/>
        <v>270579.40402302146</v>
      </c>
      <c r="E4" s="5">
        <f t="shared" si="1"/>
        <v>1.4268246537879775E-3</v>
      </c>
      <c r="F4" s="17">
        <f t="shared" ref="F4:F9" si="3">1 +(B4-G4)/G4</f>
        <v>1.0316132564412603</v>
      </c>
      <c r="G4" s="6">
        <f t="shared" si="2"/>
        <v>183826118.34999996</v>
      </c>
      <c r="H4" s="38">
        <f>SUMIF(Inputs!A$24:A$143,'Rate Class Energy Model'!A4,Inputs!F$24:F$143)</f>
        <v>48524267.109999999</v>
      </c>
      <c r="I4" s="38">
        <f>SUMIF(Inputs!$A$24:$A$143,'Rate Class Energy Model'!$A$4,Inputs!$H$24:$H$143)</f>
        <v>20751634.890000001</v>
      </c>
      <c r="J4" s="38">
        <f>SUMIF(Inputs!$A$24:$A$143,'Rate Class Energy Model'!$A$4,Inputs!$J$24:$J$143)</f>
        <v>42593613.240000002</v>
      </c>
      <c r="K4" s="38">
        <f>SUMIF(Inputs!$A$24:$A$143,'Rate Class Energy Model'!$A$4,Inputs!$M$24:$M$143)</f>
        <v>39292384.899999991</v>
      </c>
      <c r="L4" s="38">
        <f>SUMIF(Inputs!$A$24:$A$143,'Rate Class Energy Model'!$A$4,Inputs!$P$24:$P$143)</f>
        <v>30775849.759999998</v>
      </c>
      <c r="M4" s="38">
        <f>SUMIF(Inputs!A$24:A$143,'Rate Class Energy Model'!$A4,Inputs!S$24:S$143)</f>
        <v>367142.77</v>
      </c>
      <c r="N4" s="38">
        <f>SUMIF(Inputs!A$24:A$143,'Rate Class Energy Model'!$A4,Inputs!V$24:V$143)</f>
        <v>98397.14</v>
      </c>
      <c r="O4" s="38">
        <f>SUMIF(Inputs!A$24:A$143,'Rate Class Energy Model'!A4,Inputs!Y$24:Y$143)</f>
        <v>1422828.54</v>
      </c>
    </row>
    <row r="5" spans="1:15" x14ac:dyDescent="0.2">
      <c r="A5">
        <v>2018</v>
      </c>
      <c r="B5" s="60">
        <f>'Power Purchased Model'!D118</f>
        <v>189993954.81999999</v>
      </c>
      <c r="C5" s="60">
        <f>'Power Purchased Model'!Q118</f>
        <v>189326530.68950027</v>
      </c>
      <c r="D5" s="24">
        <f t="shared" si="0"/>
        <v>-667424.13049972057</v>
      </c>
      <c r="E5" s="5">
        <f t="shared" si="1"/>
        <v>-3.5128703496489521E-3</v>
      </c>
      <c r="F5" s="17">
        <f t="shared" si="3"/>
        <v>1.0339778963343598</v>
      </c>
      <c r="G5" s="6">
        <f t="shared" si="2"/>
        <v>183750499.39999995</v>
      </c>
      <c r="H5" s="38">
        <f>SUMIF(Inputs!A$24:A$143,'Rate Class Energy Model'!A5,Inputs!F$24:F$143)</f>
        <v>52869436.35999997</v>
      </c>
      <c r="I5" s="38">
        <f>SUMIF(Inputs!$A$24:$A$143,'Rate Class Energy Model'!$A$5,Inputs!$H$24:$H$143)</f>
        <v>21318676.38000001</v>
      </c>
      <c r="J5" s="38">
        <f>SUMIF(Inputs!$A$24:$A$143,'Rate Class Energy Model'!$A$5,Inputs!$J$24:$J$143)</f>
        <v>42394829.209999993</v>
      </c>
      <c r="K5" s="38">
        <f>SUMIF(Inputs!$A$24:$A$143,'Rate Class Energy Model'!$A$5,Inputs!$M$24:$M$143)</f>
        <v>36925221.219999999</v>
      </c>
      <c r="L5" s="38">
        <f>SUMIF(Inputs!$A$24:$A$143,'Rate Class Energy Model'!$A$5,Inputs!$P$24:$P$143)</f>
        <v>28687524.48</v>
      </c>
      <c r="M5" s="38">
        <f>SUMIF(Inputs!A$24:A$143,'Rate Class Energy Model'!A5,Inputs!S$24:S$143)</f>
        <v>341865.81999999995</v>
      </c>
      <c r="N5" s="38">
        <f>SUMIF(Inputs!A$24:A$143,'Rate Class Energy Model'!$A5,Inputs!V$24:V$143)</f>
        <v>95814.57</v>
      </c>
      <c r="O5" s="38">
        <f>SUMIF(Inputs!A$24:A$143,'Rate Class Energy Model'!A5,Inputs!Y$24:Y$143)</f>
        <v>1117131.3599999999</v>
      </c>
    </row>
    <row r="6" spans="1:15" x14ac:dyDescent="0.2">
      <c r="A6">
        <v>2019</v>
      </c>
      <c r="B6" s="60">
        <f>'Power Purchased Model'!D119</f>
        <v>177282153.69999999</v>
      </c>
      <c r="C6" s="60">
        <f>'Power Purchased Model'!Q119</f>
        <v>180123704.75016284</v>
      </c>
      <c r="D6" s="24">
        <f t="shared" si="0"/>
        <v>2841551.0501628518</v>
      </c>
      <c r="E6" s="5">
        <f t="shared" si="1"/>
        <v>1.6028410028069578E-2</v>
      </c>
      <c r="F6" s="17">
        <f t="shared" si="3"/>
        <v>1.0325891191050567</v>
      </c>
      <c r="G6" s="6">
        <f t="shared" si="2"/>
        <v>171687024.79999998</v>
      </c>
      <c r="H6" s="38">
        <f>SUMIF(Inputs!A$24:A$143,'Rate Class Energy Model'!A6,Inputs!F$24:F$143)</f>
        <v>51949016.819999948</v>
      </c>
      <c r="I6" s="38">
        <f>SUMIF(Inputs!$A$24:$A$143,'Rate Class Energy Model'!$A$6,Inputs!$H$24:$H$143)</f>
        <v>21167457.630000006</v>
      </c>
      <c r="J6" s="38">
        <f>SUMIF(Inputs!$A$24:$A$143,'Rate Class Energy Model'!$A$6,Inputs!$J$24:$J$143)</f>
        <v>42725411.180000007</v>
      </c>
      <c r="K6" s="38">
        <f>SUMIF(Inputs!$A$24:$A$143,'Rate Class Energy Model'!$A$6,Inputs!$M$24:$M$143)</f>
        <v>28159132.399999999</v>
      </c>
      <c r="L6" s="38">
        <f>SUMIF(Inputs!$A$24:$A$143,'Rate Class Energy Model'!$A$6,Inputs!$P$24:$P$143)</f>
        <v>26720406.400000002</v>
      </c>
      <c r="M6" s="38">
        <f>SUMIF(Inputs!A$24:A$143,'Rate Class Energy Model'!A6,Inputs!S$24:S$143)</f>
        <v>340304.06</v>
      </c>
      <c r="N6" s="38">
        <f>SUMIF(Inputs!A$24:A$143,'Rate Class Energy Model'!$A6,Inputs!V$24:V$143)</f>
        <v>79644.31</v>
      </c>
      <c r="O6" s="38">
        <f>SUMIF(Inputs!A$24:A$143,'Rate Class Energy Model'!A6,Inputs!Y$24:Y$143)</f>
        <v>545652</v>
      </c>
    </row>
    <row r="7" spans="1:15" x14ac:dyDescent="0.2">
      <c r="A7">
        <v>2020</v>
      </c>
      <c r="B7" s="60">
        <f>'Power Purchased Model'!D120</f>
        <v>173380458.75</v>
      </c>
      <c r="C7" s="60">
        <f>'Power Purchased Model'!Q120</f>
        <v>173979400.71751493</v>
      </c>
      <c r="D7" s="24">
        <f t="shared" si="0"/>
        <v>598941.96751493216</v>
      </c>
      <c r="E7" s="5">
        <f t="shared" si="1"/>
        <v>3.4544952287763639E-3</v>
      </c>
      <c r="F7" s="17">
        <f t="shared" si="3"/>
        <v>1.0352458734800551</v>
      </c>
      <c r="G7" s="6">
        <f t="shared" si="2"/>
        <v>167477565.66000003</v>
      </c>
      <c r="H7" s="38">
        <f>SUMIF(Inputs!A$24:A$143,'Rate Class Energy Model'!A7,Inputs!F$24:F$143)</f>
        <v>55641421.240000024</v>
      </c>
      <c r="I7" s="38">
        <f>SUMIF(Inputs!$A$24:$A$143,'Rate Class Energy Model'!$A$7,Inputs!$H$24:$H$143)</f>
        <v>21397530.899999999</v>
      </c>
      <c r="J7" s="38">
        <f>SUMIF(Inputs!$A$24:$A$143,'Rate Class Energy Model'!$A$7,Inputs!$J$24:$J$143)</f>
        <v>43788589.379999995</v>
      </c>
      <c r="K7" s="38">
        <f>SUMIF(Inputs!$A$24:$A$143,'Rate Class Energy Model'!$A$7,Inputs!$M$24:$M$143)</f>
        <v>25142092.139999997</v>
      </c>
      <c r="L7" s="38">
        <f>SUMIF(Inputs!$A$24:$A$143,'Rate Class Energy Model'!$A$7,Inputs!$P$24:$P$143)</f>
        <v>20564790.800000001</v>
      </c>
      <c r="M7" s="38">
        <f>SUMIF(Inputs!A$24:A$143,'Rate Class Energy Model'!A7,Inputs!S$24:S$143)</f>
        <v>340496.02</v>
      </c>
      <c r="N7" s="38">
        <f>SUMIF(Inputs!A$24:A$143,'Rate Class Energy Model'!$A7,Inputs!V$24:V$143)</f>
        <v>75008.179999999993</v>
      </c>
      <c r="O7" s="38">
        <f>SUMIF(Inputs!A$24:A$143,'Rate Class Energy Model'!A7,Inputs!Y$24:Y$143)</f>
        <v>527637</v>
      </c>
    </row>
    <row r="8" spans="1:15" x14ac:dyDescent="0.2">
      <c r="A8">
        <v>2021</v>
      </c>
      <c r="B8" s="60">
        <f>'Power Purchased Model'!D121</f>
        <v>178063868.77000004</v>
      </c>
      <c r="C8" s="60">
        <f>'Power Purchased Model'!Q121</f>
        <v>183089756.45345789</v>
      </c>
      <c r="D8" s="24">
        <f t="shared" si="0"/>
        <v>5025887.6834578514</v>
      </c>
      <c r="E8" s="5">
        <f t="shared" si="1"/>
        <v>2.8225196488062636E-2</v>
      </c>
      <c r="F8" s="17">
        <f t="shared" si="3"/>
        <v>1.0340712611785601</v>
      </c>
      <c r="G8" s="6">
        <f t="shared" si="2"/>
        <v>172196903.11000004</v>
      </c>
      <c r="H8" s="38">
        <f>SUMIF(Inputs!A$24:A$143,'Rate Class Energy Model'!A8,Inputs!F$24:F$143)</f>
        <v>57807950.240000054</v>
      </c>
      <c r="I8" s="38">
        <f>SUMIF(Inputs!$A$24:$A$143,'Rate Class Energy Model'!$A$8,Inputs!$H$24:$H$143)</f>
        <v>21062931.550000001</v>
      </c>
      <c r="J8" s="38">
        <f>SUMIF(Inputs!$A$24:$A$143,'Rate Class Energy Model'!$A$8,Inputs!$J$24:$J$143)</f>
        <v>46750239.970000006</v>
      </c>
      <c r="K8" s="38">
        <f>SUMIF(Inputs!$A$24:$A$143,'Rate Class Energy Model'!$A$8,Inputs!$M$24:$M$143)</f>
        <v>27055986.100000001</v>
      </c>
      <c r="L8" s="38">
        <f>SUMIF(Inputs!$A$24:$A$143,'Rate Class Energy Model'!$A$8,Inputs!$P$24:$P$143)</f>
        <v>18499236.399999999</v>
      </c>
      <c r="M8" s="38">
        <f>SUMIF(Inputs!A$24:A$143,'Rate Class Energy Model'!A8,Inputs!S$24:S$143)</f>
        <v>340759.81</v>
      </c>
      <c r="N8" s="38">
        <f>SUMIF(Inputs!A$24:A$143,'Rate Class Energy Model'!$A8,Inputs!V$24:V$143)</f>
        <v>72438</v>
      </c>
      <c r="O8" s="38">
        <f>SUMIF(Inputs!A$24:A$143,'Rate Class Energy Model'!A8,Inputs!Y$24:Y$143)</f>
        <v>607361.03999999992</v>
      </c>
    </row>
    <row r="9" spans="1:15" x14ac:dyDescent="0.2">
      <c r="A9">
        <v>2022</v>
      </c>
      <c r="B9" s="60">
        <f>'Power Purchased Model'!D122</f>
        <v>185144755.56000003</v>
      </c>
      <c r="C9" s="60">
        <f>'Power Purchased Model'!Q122</f>
        <v>187517587.8824071</v>
      </c>
      <c r="D9" s="24">
        <f t="shared" si="0"/>
        <v>2372832.3224070668</v>
      </c>
      <c r="E9" s="5">
        <f t="shared" si="1"/>
        <v>1.2816092550016091E-2</v>
      </c>
      <c r="F9" s="17">
        <f t="shared" si="3"/>
        <v>1.0362930645547737</v>
      </c>
      <c r="G9" s="6">
        <f t="shared" si="2"/>
        <v>178660614.34999996</v>
      </c>
      <c r="H9" s="38">
        <f>SUMIF(Inputs!A$24:A$143,'Rate Class Energy Model'!A9,Inputs!F$24:F$143)</f>
        <v>59629357.129999965</v>
      </c>
      <c r="I9" s="38">
        <f>SUMIF(Inputs!$A$24:$A$143,'Rate Class Energy Model'!$A$9,Inputs!$H$24:$H$143)</f>
        <v>23000509.379999999</v>
      </c>
      <c r="J9" s="38">
        <f>SUMIF(Inputs!$A$24:$A$143,'Rate Class Energy Model'!$A$9,Inputs!$J$24:$J$143)</f>
        <v>54079512.469999991</v>
      </c>
      <c r="K9" s="38">
        <f>SUMIF(Inputs!$A$24:$A$143,'Rate Class Energy Model'!$A$9,Inputs!$M$24:$M$143)</f>
        <v>23120478.16</v>
      </c>
      <c r="L9" s="38">
        <f>SUMIF(Inputs!$A$24:$A$143,'Rate Class Energy Model'!$A$9,Inputs!$P$24:$P$143)</f>
        <v>17800153.25</v>
      </c>
      <c r="M9" s="38">
        <f>SUMIF(Inputs!A$24:A$143,'Rate Class Energy Model'!A9,Inputs!S$24:S$143)</f>
        <v>338889.99</v>
      </c>
      <c r="N9" s="38">
        <f>SUMIF(Inputs!A$24:A$143,'Rate Class Energy Model'!$A9,Inputs!V$24:V$143)</f>
        <v>72091.330000000016</v>
      </c>
      <c r="O9" s="38">
        <f>SUMIF(Inputs!A$24:A$143,'Rate Class Energy Model'!A9,Inputs!Y$24:Y$143)</f>
        <v>619622.6399999999</v>
      </c>
    </row>
    <row r="10" spans="1:15" x14ac:dyDescent="0.2">
      <c r="A10" s="45">
        <v>2023</v>
      </c>
      <c r="B10" s="60">
        <f>'Power Purchased Model'!D123</f>
        <v>184342290.19570395</v>
      </c>
      <c r="C10" s="6">
        <f>'Power Purchased Model'!Q123</f>
        <v>181348188.17161608</v>
      </c>
      <c r="D10" s="24">
        <f t="shared" ref="D10" si="4">C10-B10</f>
        <v>-2994102.0240878761</v>
      </c>
      <c r="E10" s="5">
        <f t="shared" ref="E10" si="5">D10/B10</f>
        <v>-1.6242078911514211E-2</v>
      </c>
      <c r="F10" s="17">
        <f t="shared" ref="F10" si="6">1 +(B10-G10)/G10</f>
        <v>1.0247335783803431</v>
      </c>
      <c r="G10" s="6">
        <f t="shared" si="2"/>
        <v>179892895.17287871</v>
      </c>
      <c r="H10" s="38">
        <v>59873386</v>
      </c>
      <c r="I10" s="38">
        <v>23287931</v>
      </c>
      <c r="J10" s="38">
        <v>57192547</v>
      </c>
      <c r="K10" s="38">
        <v>21487526</v>
      </c>
      <c r="L10" s="38">
        <v>17000470</v>
      </c>
      <c r="M10" s="38">
        <v>333947</v>
      </c>
      <c r="N10" s="38">
        <v>72340.172878717756</v>
      </c>
      <c r="O10" s="38">
        <v>644748</v>
      </c>
    </row>
    <row r="11" spans="1:15" x14ac:dyDescent="0.2">
      <c r="A11" s="45">
        <v>2024</v>
      </c>
      <c r="B11" s="6"/>
      <c r="C11" s="15">
        <f>'Power Purchased Model'!Q124</f>
        <v>183578942.46915087</v>
      </c>
      <c r="G11" s="15">
        <f>C11/$F$13</f>
        <v>177837168.36557257</v>
      </c>
      <c r="H11"/>
      <c r="I11"/>
      <c r="J11"/>
      <c r="K11"/>
      <c r="L11"/>
      <c r="M11"/>
      <c r="N11"/>
      <c r="O11"/>
    </row>
    <row r="12" spans="1:15" x14ac:dyDescent="0.2">
      <c r="H12" s="34"/>
      <c r="I12" s="34"/>
      <c r="J12" s="34"/>
      <c r="K12" s="34"/>
      <c r="L12" s="34"/>
      <c r="M12" s="34"/>
      <c r="N12" s="34"/>
      <c r="O12" s="34"/>
    </row>
    <row r="13" spans="1:15" x14ac:dyDescent="0.2">
      <c r="A13" s="14" t="s">
        <v>9</v>
      </c>
      <c r="C13" s="35"/>
      <c r="D13" s="37"/>
      <c r="E13" s="52" t="s">
        <v>148</v>
      </c>
      <c r="F13" s="17">
        <f>AVERAGE(F3:F10)</f>
        <v>1.0322866932506212</v>
      </c>
      <c r="H13" s="59"/>
      <c r="I13" s="59"/>
      <c r="J13" s="59"/>
      <c r="K13" s="59"/>
      <c r="L13" s="59"/>
      <c r="M13" s="59"/>
      <c r="N13" s="59"/>
      <c r="O13" s="59"/>
    </row>
    <row r="14" spans="1:15" x14ac:dyDescent="0.2">
      <c r="C14" s="157">
        <f>C10/1000000</f>
        <v>181.34818817161607</v>
      </c>
      <c r="D14" s="37"/>
      <c r="E14" s="52"/>
      <c r="F14" s="17"/>
      <c r="G14" s="157">
        <f>G10/1000000</f>
        <v>179.89289517287872</v>
      </c>
    </row>
    <row r="15" spans="1:15" x14ac:dyDescent="0.2">
      <c r="C15" s="157">
        <f>C11/1000000</f>
        <v>183.57894246915086</v>
      </c>
      <c r="D15" s="37"/>
      <c r="G15" s="157">
        <f>G11/1000000</f>
        <v>177.83716836557258</v>
      </c>
    </row>
    <row r="16" spans="1:15" x14ac:dyDescent="0.2">
      <c r="A16" s="16" t="s">
        <v>11</v>
      </c>
      <c r="B16" s="11"/>
    </row>
    <row r="18" spans="1:18" x14ac:dyDescent="0.2">
      <c r="A18">
        <v>2023</v>
      </c>
      <c r="H18" s="6">
        <f>H10/'Rate Class Customer Model'!B18</f>
        <v>7889.4961127948345</v>
      </c>
      <c r="I18" s="6">
        <f>I10/'Rate Class Customer Model'!C18</f>
        <v>33947.42128279883</v>
      </c>
      <c r="J18" s="6">
        <f>J10/'Rate Class Customer Model'!D18</f>
        <v>752533.51315789472</v>
      </c>
      <c r="K18" s="6">
        <f>K10/'Rate Class Customer Model'!E18</f>
        <v>3069646.5714285714</v>
      </c>
      <c r="L18" s="6">
        <f>L10/'Rate Class Customer Model'!F18</f>
        <v>8500235</v>
      </c>
      <c r="M18" s="6">
        <f>M10/'Rate Class Customer Model'!G18</f>
        <v>6184.2037037037035</v>
      </c>
      <c r="N18" s="6">
        <f>N10/'Rate Class Customer Model'!H18</f>
        <v>645.89440070283706</v>
      </c>
      <c r="O18" s="6">
        <f>O10/'Rate Class Customer Model'!I18</f>
        <v>644748</v>
      </c>
    </row>
    <row r="19" spans="1:18" x14ac:dyDescent="0.2">
      <c r="A19">
        <f>A11</f>
        <v>2024</v>
      </c>
      <c r="H19" s="15">
        <f>H18</f>
        <v>7889.4961127948345</v>
      </c>
      <c r="I19" s="15">
        <f t="shared" ref="I19:O19" si="7">I18</f>
        <v>33947.42128279883</v>
      </c>
      <c r="J19" s="15">
        <f t="shared" si="7"/>
        <v>752533.51315789472</v>
      </c>
      <c r="K19" s="15">
        <f t="shared" si="7"/>
        <v>3069646.5714285714</v>
      </c>
      <c r="L19" s="15">
        <f t="shared" si="7"/>
        <v>8500235</v>
      </c>
      <c r="M19" s="15">
        <f t="shared" si="7"/>
        <v>6184.2037037037035</v>
      </c>
      <c r="N19" s="15">
        <f t="shared" si="7"/>
        <v>645.89440070283706</v>
      </c>
      <c r="O19" s="15">
        <f t="shared" si="7"/>
        <v>644748</v>
      </c>
    </row>
    <row r="20" spans="1:18" x14ac:dyDescent="0.2">
      <c r="H20"/>
      <c r="I20"/>
      <c r="J20"/>
      <c r="K20"/>
      <c r="L20"/>
      <c r="M20"/>
      <c r="N20"/>
      <c r="O20"/>
    </row>
    <row r="21" spans="1:18" x14ac:dyDescent="0.2">
      <c r="D21" s="6"/>
      <c r="H21" s="18"/>
      <c r="I21" s="18"/>
      <c r="J21" s="18"/>
      <c r="K21" s="18"/>
      <c r="L21" s="18"/>
      <c r="M21" s="18"/>
      <c r="N21" s="18"/>
      <c r="O21" s="18"/>
    </row>
    <row r="22" spans="1:18" x14ac:dyDescent="0.2">
      <c r="A22" s="14" t="s">
        <v>38</v>
      </c>
    </row>
    <row r="23" spans="1:18" x14ac:dyDescent="0.2">
      <c r="A23" s="43">
        <v>2024</v>
      </c>
      <c r="G23" s="6">
        <f>SUM(H23:O23)</f>
        <v>182453000.19457629</v>
      </c>
      <c r="H23" s="6">
        <f>H19*'Rate Class Customer Model'!B19</f>
        <v>60673255.202559307</v>
      </c>
      <c r="I23" s="6">
        <f>I19*'Rate Class Customer Model'!C19</f>
        <v>24073660.091307893</v>
      </c>
      <c r="J23" s="6">
        <f>J19*'Rate Class Customer Model'!D19</f>
        <v>58167053.727830388</v>
      </c>
      <c r="K23" s="6">
        <f>K19*'Rate Class Customer Model'!E19</f>
        <v>21487526</v>
      </c>
      <c r="L23" s="6">
        <f>L19*'Rate Class Customer Model'!F19</f>
        <v>17000470</v>
      </c>
      <c r="M23" s="6">
        <f>M19*'Rate Class Customer Model'!G19</f>
        <v>333947</v>
      </c>
      <c r="N23" s="6">
        <f>N19*'Rate Class Customer Model'!H19</f>
        <v>72340.172878717756</v>
      </c>
      <c r="O23" s="6">
        <f>O19*'Rate Class Customer Model'!I19</f>
        <v>644748</v>
      </c>
    </row>
    <row r="25" spans="1:18" x14ac:dyDescent="0.2">
      <c r="A25" s="14" t="s">
        <v>37</v>
      </c>
      <c r="Q25" s="6"/>
    </row>
    <row r="26" spans="1:18" x14ac:dyDescent="0.2">
      <c r="A26" s="43">
        <f>+A23</f>
        <v>2024</v>
      </c>
      <c r="G26" s="15">
        <f>G11</f>
        <v>177837168.36557257</v>
      </c>
      <c r="H26" s="6">
        <f t="shared" ref="H26:O26" si="8">H23+H32</f>
        <v>58654994.872084022</v>
      </c>
      <c r="I26" s="6">
        <f t="shared" si="8"/>
        <v>23272863.875422921</v>
      </c>
      <c r="J26" s="6">
        <f t="shared" si="8"/>
        <v>56798561.211692415</v>
      </c>
      <c r="K26" s="6">
        <f t="shared" si="8"/>
        <v>21166791.227832042</v>
      </c>
      <c r="L26" s="6">
        <f t="shared" si="8"/>
        <v>16892922.005662471</v>
      </c>
      <c r="M26" s="6">
        <f t="shared" si="8"/>
        <v>333947</v>
      </c>
      <c r="N26" s="6">
        <f t="shared" si="8"/>
        <v>72340.172878717756</v>
      </c>
      <c r="O26" s="6">
        <f t="shared" si="8"/>
        <v>644748</v>
      </c>
      <c r="P26" s="6">
        <f>SUM(H26:O26)</f>
        <v>177837168.3655726</v>
      </c>
      <c r="Q26" s="6">
        <f>P26-G26</f>
        <v>0</v>
      </c>
      <c r="R26" s="6" t="e">
        <f>Q26-#REF!</f>
        <v>#REF!</v>
      </c>
    </row>
    <row r="27" spans="1:18" x14ac:dyDescent="0.2">
      <c r="Q27" s="6"/>
    </row>
    <row r="28" spans="1:18" x14ac:dyDescent="0.2">
      <c r="A28" t="s">
        <v>39</v>
      </c>
      <c r="H28" s="50">
        <f>(100%+J28)/2</f>
        <v>0.77355696553430442</v>
      </c>
      <c r="I28" s="51">
        <f>H28</f>
        <v>0.77355696553430442</v>
      </c>
      <c r="J28" s="51">
        <v>0.54711393106860873</v>
      </c>
      <c r="K28" s="51">
        <f>J28-20%</f>
        <v>0.34711393106860872</v>
      </c>
      <c r="L28" s="51">
        <f>K28-20%</f>
        <v>0.14711393106860871</v>
      </c>
      <c r="M28" s="51">
        <v>0</v>
      </c>
      <c r="N28" s="51">
        <v>0</v>
      </c>
      <c r="O28" s="51">
        <v>0</v>
      </c>
    </row>
    <row r="29" spans="1:18" x14ac:dyDescent="0.2">
      <c r="A29" s="43">
        <f>+A26</f>
        <v>2024</v>
      </c>
      <c r="G29" s="6">
        <f>G26-G23</f>
        <v>-4615831.8290037215</v>
      </c>
      <c r="H29" s="6">
        <f t="shared" ref="H29:O29" si="9">H23*H$28</f>
        <v>46934219.183580227</v>
      </c>
      <c r="I29" s="6">
        <f t="shared" si="9"/>
        <v>18622347.44953642</v>
      </c>
      <c r="J29" s="6">
        <f t="shared" si="9"/>
        <v>31824005.423712254</v>
      </c>
      <c r="K29" s="6">
        <f t="shared" si="9"/>
        <v>7458619.6187989376</v>
      </c>
      <c r="L29" s="6">
        <f t="shared" si="9"/>
        <v>2501005.9717139504</v>
      </c>
      <c r="M29" s="6">
        <f t="shared" si="9"/>
        <v>0</v>
      </c>
      <c r="N29" s="6">
        <f t="shared" si="9"/>
        <v>0</v>
      </c>
      <c r="O29" s="6">
        <f t="shared" si="9"/>
        <v>0</v>
      </c>
      <c r="P29" s="6">
        <f>SUM(H29:O29)</f>
        <v>107340197.64734179</v>
      </c>
    </row>
    <row r="30" spans="1:18" ht="12" customHeight="1" x14ac:dyDescent="0.2"/>
    <row r="31" spans="1:18" x14ac:dyDescent="0.2">
      <c r="A31" t="s">
        <v>40</v>
      </c>
    </row>
    <row r="32" spans="1:18" x14ac:dyDescent="0.2">
      <c r="A32" s="43">
        <f>+A29</f>
        <v>2024</v>
      </c>
      <c r="G32" s="6">
        <f>SUM(H32:O32)</f>
        <v>-4615831.8290037215</v>
      </c>
      <c r="H32" s="6">
        <f>H29/$P$29*$G$29</f>
        <v>-2018260.330475287</v>
      </c>
      <c r="I32" s="6">
        <f t="shared" ref="I32:O32" si="10">I29/$P$29*$G$29</f>
        <v>-800796.21588497388</v>
      </c>
      <c r="J32" s="6">
        <f t="shared" si="10"/>
        <v>-1368492.5161379729</v>
      </c>
      <c r="K32" s="6">
        <f t="shared" si="10"/>
        <v>-320734.77216795791</v>
      </c>
      <c r="L32" s="6">
        <f t="shared" si="10"/>
        <v>-107547.9943375297</v>
      </c>
      <c r="M32" s="6">
        <f t="shared" si="10"/>
        <v>0</v>
      </c>
      <c r="N32" s="6">
        <f t="shared" si="10"/>
        <v>0</v>
      </c>
      <c r="O32" s="6">
        <f t="shared" si="10"/>
        <v>0</v>
      </c>
    </row>
    <row r="33" spans="1:23" x14ac:dyDescent="0.2">
      <c r="G33" s="19"/>
    </row>
    <row r="34" spans="1:23" x14ac:dyDescent="0.2">
      <c r="A34" s="14"/>
    </row>
    <row r="35" spans="1:23" x14ac:dyDescent="0.2">
      <c r="A35" s="14"/>
      <c r="J35" s="6">
        <f>J26</f>
        <v>56798561.211692415</v>
      </c>
      <c r="K35" s="6">
        <f>K26</f>
        <v>21166791.227832042</v>
      </c>
      <c r="L35" s="6">
        <f>SUM(J35:K35)</f>
        <v>77965352.439524457</v>
      </c>
    </row>
    <row r="36" spans="1:23" x14ac:dyDescent="0.2">
      <c r="A36" s="14"/>
      <c r="J36" s="6">
        <f>J29</f>
        <v>31824005.423712254</v>
      </c>
      <c r="K36" s="6">
        <f>K29</f>
        <v>7458619.6187989376</v>
      </c>
      <c r="L36" s="6">
        <f>SUM(J36:K36)</f>
        <v>39282625.042511195</v>
      </c>
    </row>
    <row r="37" spans="1:23" x14ac:dyDescent="0.2">
      <c r="L37" s="59">
        <f>L36/L35</f>
        <v>0.50384720665479743</v>
      </c>
    </row>
    <row r="38" spans="1:23" x14ac:dyDescent="0.2"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W38"/>
    </row>
    <row r="39" spans="1:23" x14ac:dyDescent="0.2"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W39"/>
    </row>
    <row r="40" spans="1:23" x14ac:dyDescent="0.2"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W40"/>
    </row>
    <row r="41" spans="1:23" x14ac:dyDescent="0.2"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W41"/>
    </row>
    <row r="44" spans="1:23" x14ac:dyDescent="0.2"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W44"/>
    </row>
    <row r="45" spans="1:23" x14ac:dyDescent="0.2"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W45"/>
    </row>
    <row r="46" spans="1:23" x14ac:dyDescent="0.2"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W46"/>
    </row>
    <row r="47" spans="1:23" x14ac:dyDescent="0.2"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W47"/>
    </row>
    <row r="48" spans="1:23" x14ac:dyDescent="0.2"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W48"/>
    </row>
    <row r="49" customFormat="1" x14ac:dyDescent="0.2"/>
    <row r="50" customFormat="1" x14ac:dyDescent="0.2"/>
    <row r="51" customFormat="1" x14ac:dyDescent="0.2"/>
    <row r="52" customFormat="1" x14ac:dyDescent="0.2"/>
    <row r="53" customFormat="1" x14ac:dyDescent="0.2"/>
    <row r="54" customFormat="1" x14ac:dyDescent="0.2"/>
    <row r="55" customFormat="1" x14ac:dyDescent="0.2"/>
  </sheetData>
  <phoneticPr fontId="0" type="noConversion"/>
  <pageMargins left="0.38" right="0.75" top="0.73" bottom="0.74" header="0.5" footer="0.5"/>
  <pageSetup scale="62" orientation="landscape" r:id="rId1"/>
  <headerFooter alignWithMargins="0">
    <oddFooter>&amp;L&amp;Z&amp;F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9">
    <pageSetUpPr fitToPage="1"/>
  </sheetPr>
  <dimension ref="A1:R87"/>
  <sheetViews>
    <sheetView topLeftCell="A2" workbookViewId="0">
      <selection activeCell="H23" sqref="H23"/>
    </sheetView>
  </sheetViews>
  <sheetFormatPr defaultRowHeight="12.75" x14ac:dyDescent="0.2"/>
  <cols>
    <col min="1" max="1" width="24.42578125" customWidth="1"/>
    <col min="2" max="2" width="15" style="6" customWidth="1"/>
    <col min="3" max="3" width="14.140625" style="6" bestFit="1" customWidth="1"/>
    <col min="4" max="4" width="17.85546875" style="6" bestFit="1" customWidth="1"/>
    <col min="5" max="6" width="17.85546875" style="6" customWidth="1"/>
    <col min="7" max="7" width="12.5703125" style="6" customWidth="1"/>
    <col min="8" max="9" width="11.42578125" style="6" customWidth="1"/>
    <col min="10" max="10" width="11.5703125" customWidth="1"/>
    <col min="11" max="11" width="12.5703125" bestFit="1" customWidth="1"/>
    <col min="12" max="12" width="12.5703125" customWidth="1"/>
    <col min="13" max="13" width="12.5703125" bestFit="1" customWidth="1"/>
    <col min="14" max="14" width="11.5703125" bestFit="1" customWidth="1"/>
    <col min="15" max="17" width="11.5703125" customWidth="1"/>
    <col min="18" max="18" width="10.5703125" bestFit="1" customWidth="1"/>
    <col min="19" max="20" width="9.140625" customWidth="1"/>
  </cols>
  <sheetData>
    <row r="1" spans="1:18" x14ac:dyDescent="0.2">
      <c r="B1" s="172" t="s">
        <v>57</v>
      </c>
      <c r="C1" s="173"/>
      <c r="D1" s="173"/>
      <c r="E1" s="173"/>
      <c r="F1" s="173"/>
      <c r="G1" s="173"/>
      <c r="H1" s="173"/>
      <c r="I1" s="173"/>
    </row>
    <row r="2" spans="1:18" ht="38.25" x14ac:dyDescent="0.2">
      <c r="B2" s="9" t="str">
        <f>'Rate Class Energy Model'!H2</f>
        <v>Residential</v>
      </c>
      <c r="C2" s="9" t="str">
        <f>'Rate Class Energy Model'!I2</f>
        <v>General Service &lt; 50 kW</v>
      </c>
      <c r="D2" s="9" t="str">
        <f>'Rate Class Energy Model'!J2</f>
        <v>General Service 50 to 499 kW</v>
      </c>
      <c r="E2" s="9" t="str">
        <f>'Rate Class Energy Model'!K2</f>
        <v>General Service 500 to 1499 kW</v>
      </c>
      <c r="F2" s="9" t="str">
        <f>'Rate Class Energy Model'!L2</f>
        <v>General Service 1500-4999 kW</v>
      </c>
      <c r="G2" s="9" t="str">
        <f>'Rate Class Energy Model'!M2</f>
        <v>Unmetered Scattered Load</v>
      </c>
      <c r="H2" s="9" t="str">
        <f>'Rate Class Energy Model'!N2</f>
        <v>Sentinel Lighting</v>
      </c>
      <c r="I2" s="9" t="str">
        <f>'Rate Class Energy Model'!O2</f>
        <v xml:space="preserve">Street Lighting </v>
      </c>
      <c r="J2" s="1" t="s">
        <v>7</v>
      </c>
      <c r="L2" s="94" t="s">
        <v>105</v>
      </c>
      <c r="O2" t="s">
        <v>125</v>
      </c>
      <c r="Q2" s="107">
        <v>2023</v>
      </c>
      <c r="R2" s="107">
        <v>2024</v>
      </c>
    </row>
    <row r="3" spans="1:18" hidden="1" x14ac:dyDescent="0.2">
      <c r="A3" s="4"/>
      <c r="B3" s="26"/>
      <c r="C3" s="26"/>
      <c r="D3" s="26"/>
      <c r="E3" s="26"/>
      <c r="F3" s="26"/>
      <c r="G3" s="26"/>
      <c r="H3" s="26"/>
      <c r="I3" s="26"/>
    </row>
    <row r="4" spans="1:18" hidden="1" x14ac:dyDescent="0.2">
      <c r="A4" s="4">
        <v>2000</v>
      </c>
      <c r="B4" s="25"/>
      <c r="C4" s="25"/>
      <c r="D4" s="25"/>
      <c r="E4" s="25"/>
      <c r="F4" s="25"/>
      <c r="G4" s="25"/>
      <c r="H4" s="25"/>
      <c r="I4" s="25"/>
    </row>
    <row r="5" spans="1:18" hidden="1" x14ac:dyDescent="0.2">
      <c r="A5" s="4">
        <v>2001</v>
      </c>
      <c r="B5" s="26" t="e">
        <f>(#REF!+#REF!)/2</f>
        <v>#REF!</v>
      </c>
      <c r="C5" s="26" t="e">
        <f>(#REF!+#REF!)/2</f>
        <v>#REF!</v>
      </c>
      <c r="D5" s="26" t="e">
        <f>(#REF!+#REF!)/2</f>
        <v>#REF!</v>
      </c>
      <c r="E5" s="26"/>
      <c r="F5" s="26"/>
      <c r="G5" s="26" t="e">
        <f>(#REF!+#REF!)/2</f>
        <v>#REF!</v>
      </c>
      <c r="H5" s="26" t="e">
        <f>(#REF!+#REF!)/2</f>
        <v>#REF!</v>
      </c>
      <c r="I5" s="26"/>
    </row>
    <row r="6" spans="1:18" hidden="1" x14ac:dyDescent="0.2">
      <c r="A6" s="4">
        <v>2002</v>
      </c>
      <c r="B6" s="26" t="e">
        <f>(#REF!+#REF!)/2</f>
        <v>#REF!</v>
      </c>
      <c r="C6" s="26" t="e">
        <f>(#REF!+#REF!)/2</f>
        <v>#REF!</v>
      </c>
      <c r="D6" s="26" t="e">
        <f>(#REF!+#REF!)/2</f>
        <v>#REF!</v>
      </c>
      <c r="E6" s="26"/>
      <c r="F6" s="26"/>
      <c r="G6" s="26" t="e">
        <f>(#REF!+#REF!)/2</f>
        <v>#REF!</v>
      </c>
      <c r="H6" s="26">
        <v>0</v>
      </c>
      <c r="I6" s="26"/>
    </row>
    <row r="7" spans="1:18" hidden="1" x14ac:dyDescent="0.2">
      <c r="A7" s="4">
        <v>2003</v>
      </c>
      <c r="B7" s="26" t="e">
        <f>(#REF!+#REF!)/2</f>
        <v>#REF!</v>
      </c>
      <c r="C7" s="26" t="e">
        <f>(#REF!+#REF!)/2</f>
        <v>#REF!</v>
      </c>
      <c r="D7" s="26" t="e">
        <f>(#REF!+#REF!)/2</f>
        <v>#REF!</v>
      </c>
      <c r="E7" s="26"/>
      <c r="F7" s="26"/>
      <c r="G7" s="26" t="e">
        <f>(#REF!+#REF!)/2</f>
        <v>#REF!</v>
      </c>
      <c r="H7" s="26" t="e">
        <f>(#REF!+#REF!)/2</f>
        <v>#REF!</v>
      </c>
      <c r="I7" s="26"/>
    </row>
    <row r="8" spans="1:18" hidden="1" x14ac:dyDescent="0.2">
      <c r="A8" s="4">
        <v>2004</v>
      </c>
      <c r="B8" s="26" t="e">
        <f>(#REF!+#REF!)/2</f>
        <v>#REF!</v>
      </c>
      <c r="C8" s="26" t="e">
        <f>(#REF!+#REF!)/2</f>
        <v>#REF!</v>
      </c>
      <c r="D8" s="26" t="e">
        <f>(#REF!+#REF!)/2</f>
        <v>#REF!</v>
      </c>
      <c r="E8" s="26"/>
      <c r="F8" s="26"/>
      <c r="G8" s="26" t="e">
        <f>(#REF!+#REF!)/2</f>
        <v>#REF!</v>
      </c>
      <c r="H8" s="26" t="e">
        <f>(#REF!+#REF!)/2</f>
        <v>#REF!</v>
      </c>
      <c r="I8" s="26"/>
    </row>
    <row r="9" spans="1:18" hidden="1" x14ac:dyDescent="0.2">
      <c r="A9" s="4">
        <v>2005</v>
      </c>
      <c r="B9" s="26" t="e">
        <f>(#REF!+#REF!)/2</f>
        <v>#REF!</v>
      </c>
      <c r="C9" s="26" t="e">
        <f>(#REF!+#REF!)/2</f>
        <v>#REF!</v>
      </c>
      <c r="D9" s="26" t="e">
        <f>(#REF!+#REF!)/2</f>
        <v>#REF!</v>
      </c>
      <c r="E9" s="26"/>
      <c r="F9" s="26"/>
      <c r="G9" s="26" t="e">
        <f>(#REF!+#REF!)/2</f>
        <v>#REF!</v>
      </c>
      <c r="H9" s="26" t="e">
        <f>(#REF!+#REF!)/2</f>
        <v>#REF!</v>
      </c>
      <c r="I9" s="26"/>
    </row>
    <row r="10" spans="1:18" hidden="1" x14ac:dyDescent="0.2">
      <c r="A10" s="4">
        <v>2006</v>
      </c>
      <c r="B10" s="26" t="e">
        <f>(#REF!+#REF!)/2</f>
        <v>#REF!</v>
      </c>
      <c r="C10" s="26" t="e">
        <f>(#REF!+#REF!)/2</f>
        <v>#REF!</v>
      </c>
      <c r="D10" s="26" t="e">
        <f>(#REF!+#REF!)/2</f>
        <v>#REF!</v>
      </c>
      <c r="E10" s="26"/>
      <c r="F10" s="26"/>
      <c r="G10" s="26">
        <v>1</v>
      </c>
      <c r="H10" s="26" t="e">
        <f>(#REF!+#REF!)/2</f>
        <v>#REF!</v>
      </c>
      <c r="I10" s="26"/>
    </row>
    <row r="11" spans="1:18" x14ac:dyDescent="0.2">
      <c r="A11" s="4">
        <v>2016</v>
      </c>
      <c r="B11" s="39">
        <f>Inputs!B8</f>
        <v>6293.916666666667</v>
      </c>
      <c r="C11" s="39">
        <f>Inputs!C8</f>
        <v>637.25</v>
      </c>
      <c r="D11" s="39">
        <f>Inputs!D8</f>
        <v>79.916666666666671</v>
      </c>
      <c r="E11" s="39">
        <f>Inputs!E8</f>
        <v>10</v>
      </c>
      <c r="F11" s="39">
        <f>Inputs!F8</f>
        <v>2</v>
      </c>
      <c r="G11" s="39">
        <f>Inputs!G8</f>
        <v>59.583333333333336</v>
      </c>
      <c r="H11" s="39">
        <f>Inputs!H8</f>
        <v>118.5</v>
      </c>
      <c r="I11" s="39">
        <f>Inputs!I8</f>
        <v>1</v>
      </c>
      <c r="J11" s="49">
        <f t="shared" ref="J11:J19" si="0">SUM(B11:I11)</f>
        <v>7202.166666666667</v>
      </c>
      <c r="L11" s="6">
        <f t="shared" ref="L11:L19" si="1">B11+C11+D11+E11+F11+I11</f>
        <v>7024.0833333333339</v>
      </c>
      <c r="M11" s="6"/>
      <c r="O11" s="143">
        <f>'Power Purchased Model'!L86</f>
        <v>8315</v>
      </c>
      <c r="Q11" s="109">
        <v>8.4845883184652728E-4</v>
      </c>
      <c r="R11" s="109">
        <v>1.4788448725427136E-3</v>
      </c>
    </row>
    <row r="12" spans="1:18" x14ac:dyDescent="0.2">
      <c r="A12" s="4">
        <v>2017</v>
      </c>
      <c r="B12" s="39">
        <f>Inputs!B9</f>
        <v>6408.583333333333</v>
      </c>
      <c r="C12" s="39">
        <f>Inputs!C9</f>
        <v>642.08333333333337</v>
      </c>
      <c r="D12" s="39">
        <f>Inputs!D9</f>
        <v>80.083333333333329</v>
      </c>
      <c r="E12" s="39">
        <f>Inputs!E9</f>
        <v>10.416666666666666</v>
      </c>
      <c r="F12" s="39">
        <f>Inputs!F9</f>
        <v>2</v>
      </c>
      <c r="G12" s="39">
        <f>Inputs!G9</f>
        <v>58.5</v>
      </c>
      <c r="H12" s="39">
        <f>Inputs!H9</f>
        <v>113</v>
      </c>
      <c r="I12" s="39">
        <f>Inputs!I9</f>
        <v>1</v>
      </c>
      <c r="J12" s="49">
        <f t="shared" si="0"/>
        <v>7315.6666666666661</v>
      </c>
      <c r="L12" s="6">
        <f t="shared" si="1"/>
        <v>7144.1666666666661</v>
      </c>
      <c r="M12" s="6"/>
      <c r="P12" s="108" t="s">
        <v>91</v>
      </c>
      <c r="Q12" s="106">
        <f>O11*(1+$Q$11)</f>
        <v>8322.054935186803</v>
      </c>
      <c r="R12" s="106">
        <f>Inputs!G156+Inputs!I156+Inputs!L156+Inputs!O156+Inputs!R156+Inputs!AA156</f>
        <v>8436</v>
      </c>
    </row>
    <row r="13" spans="1:18" x14ac:dyDescent="0.2">
      <c r="A13" s="4">
        <v>2018</v>
      </c>
      <c r="B13" s="39">
        <f>Inputs!B10</f>
        <v>6516.333333333333</v>
      </c>
      <c r="C13" s="39">
        <f>Inputs!C10</f>
        <v>648</v>
      </c>
      <c r="D13" s="39">
        <f>Inputs!D10</f>
        <v>79.75</v>
      </c>
      <c r="E13" s="39">
        <f>Inputs!E10</f>
        <v>12.333333333333334</v>
      </c>
      <c r="F13" s="39">
        <f>Inputs!F10</f>
        <v>2</v>
      </c>
      <c r="G13" s="39">
        <f>Inputs!G10</f>
        <v>59.25</v>
      </c>
      <c r="H13" s="39">
        <f>Inputs!H10</f>
        <v>112</v>
      </c>
      <c r="I13" s="39">
        <f>Inputs!I10</f>
        <v>1</v>
      </c>
      <c r="J13" s="49">
        <f t="shared" si="0"/>
        <v>7430.6666666666661</v>
      </c>
      <c r="L13" s="6">
        <f t="shared" si="1"/>
        <v>7259.4166666666661</v>
      </c>
      <c r="M13" s="6"/>
      <c r="P13" s="108" t="s">
        <v>92</v>
      </c>
      <c r="Q13" s="106">
        <f>Q12*(1+$Q$11)</f>
        <v>8329.1158561956745</v>
      </c>
      <c r="R13" s="106">
        <f>Inputs!G157+Inputs!I157+Inputs!L157+Inputs!O157+Inputs!R157+Inputs!AA157</f>
        <v>8440</v>
      </c>
    </row>
    <row r="14" spans="1:18" x14ac:dyDescent="0.2">
      <c r="A14" s="4">
        <v>2019</v>
      </c>
      <c r="B14" s="39">
        <f>Inputs!B11</f>
        <v>6652</v>
      </c>
      <c r="C14" s="39">
        <f>Inputs!C11</f>
        <v>654.83333333333337</v>
      </c>
      <c r="D14" s="39">
        <f>Inputs!D11</f>
        <v>78.083333333333329</v>
      </c>
      <c r="E14" s="39">
        <f>Inputs!E11</f>
        <v>11.583333333333334</v>
      </c>
      <c r="F14" s="39">
        <f>Inputs!F11</f>
        <v>2</v>
      </c>
      <c r="G14" s="39">
        <f>Inputs!G11</f>
        <v>56.666666666666664</v>
      </c>
      <c r="H14" s="39">
        <f>Inputs!H11</f>
        <v>112</v>
      </c>
      <c r="I14" s="39">
        <f>Inputs!I11</f>
        <v>1</v>
      </c>
      <c r="J14" s="49">
        <f t="shared" si="0"/>
        <v>7568.1666666666661</v>
      </c>
      <c r="L14" s="6">
        <f t="shared" si="1"/>
        <v>7399.4999999999991</v>
      </c>
      <c r="M14" s="6"/>
      <c r="P14" s="108" t="s">
        <v>93</v>
      </c>
      <c r="Q14" s="106">
        <f t="shared" ref="Q14:Q22" si="2">Q13*(1+$Q$11)</f>
        <v>8336.1827681053364</v>
      </c>
      <c r="R14" s="106">
        <f>Inputs!G158+Inputs!I158+Inputs!L158+Inputs!O158+Inputs!R158+Inputs!AA158</f>
        <v>8442</v>
      </c>
    </row>
    <row r="15" spans="1:18" x14ac:dyDescent="0.2">
      <c r="A15" s="4">
        <v>2020</v>
      </c>
      <c r="B15" s="39">
        <f>Inputs!B12</f>
        <v>6823.416666666667</v>
      </c>
      <c r="C15" s="39">
        <f>Inputs!C12</f>
        <v>664.91666666666663</v>
      </c>
      <c r="D15" s="39">
        <f>Inputs!D12</f>
        <v>81</v>
      </c>
      <c r="E15" s="39">
        <f>Inputs!E12</f>
        <v>8</v>
      </c>
      <c r="F15" s="39">
        <f>Inputs!F12</f>
        <v>2</v>
      </c>
      <c r="G15" s="39">
        <f>Inputs!G12</f>
        <v>56.833333333333336</v>
      </c>
      <c r="H15" s="39">
        <f>Inputs!H12</f>
        <v>112.08333333333333</v>
      </c>
      <c r="I15" s="39">
        <f>Inputs!I12</f>
        <v>1</v>
      </c>
      <c r="J15" s="49">
        <f t="shared" si="0"/>
        <v>7749.25</v>
      </c>
      <c r="L15" s="6">
        <f>B15+C15+D15+E15+F15+I15</f>
        <v>7580.3333333333339</v>
      </c>
      <c r="M15" s="6"/>
      <c r="P15" s="108" t="s">
        <v>94</v>
      </c>
      <c r="Q15" s="106">
        <f t="shared" si="2"/>
        <v>8343.255675998822</v>
      </c>
      <c r="R15" s="106">
        <f>Inputs!G159+Inputs!I159+Inputs!L159+Inputs!O159+Inputs!R159+Inputs!AA159</f>
        <v>8446</v>
      </c>
    </row>
    <row r="16" spans="1:18" x14ac:dyDescent="0.2">
      <c r="A16" s="4">
        <v>2021</v>
      </c>
      <c r="B16" s="39">
        <f>Inputs!B13</f>
        <v>7107.416666666667</v>
      </c>
      <c r="C16" s="39">
        <f>Inputs!C13</f>
        <v>672.33333333333337</v>
      </c>
      <c r="D16" s="39">
        <f>Inputs!D13</f>
        <v>77.333333333333329</v>
      </c>
      <c r="E16" s="39">
        <f>Inputs!E13</f>
        <v>8.5</v>
      </c>
      <c r="F16" s="39">
        <f>Inputs!F13</f>
        <v>2</v>
      </c>
      <c r="G16" s="39">
        <f>Inputs!G13</f>
        <v>56.833333333333336</v>
      </c>
      <c r="H16" s="39">
        <f>Inputs!H13</f>
        <v>112</v>
      </c>
      <c r="I16" s="39">
        <f>Inputs!I13</f>
        <v>1</v>
      </c>
      <c r="J16" s="49">
        <f t="shared" si="0"/>
        <v>8037.4166666666661</v>
      </c>
      <c r="L16" s="6">
        <f t="shared" si="1"/>
        <v>7868.583333333333</v>
      </c>
      <c r="M16" s="6"/>
      <c r="P16" s="108" t="s">
        <v>52</v>
      </c>
      <c r="Q16" s="106">
        <f t="shared" si="2"/>
        <v>8350.334584963477</v>
      </c>
      <c r="R16" s="106">
        <f>Inputs!G160+Inputs!I160+Inputs!L160+Inputs!O160+Inputs!R160+Inputs!AA160</f>
        <v>8456</v>
      </c>
    </row>
    <row r="17" spans="1:18" x14ac:dyDescent="0.2">
      <c r="A17" s="4">
        <v>2022</v>
      </c>
      <c r="B17" s="39">
        <f>Inputs!B14</f>
        <v>7417.333333333333</v>
      </c>
      <c r="C17" s="39">
        <f>Inputs!C14</f>
        <v>682.25</v>
      </c>
      <c r="D17" s="39">
        <f>Inputs!D14</f>
        <v>74.166666666666671</v>
      </c>
      <c r="E17" s="39">
        <f>Inputs!E14</f>
        <v>6</v>
      </c>
      <c r="F17" s="39">
        <f>Inputs!F14</f>
        <v>2</v>
      </c>
      <c r="G17" s="39">
        <f>Inputs!G14</f>
        <v>55.916666666666664</v>
      </c>
      <c r="H17" s="39">
        <v>112</v>
      </c>
      <c r="I17" s="39">
        <f>Inputs!I14</f>
        <v>1</v>
      </c>
      <c r="J17" s="49">
        <f t="shared" si="0"/>
        <v>8350.6666666666661</v>
      </c>
      <c r="L17" s="6">
        <f t="shared" si="1"/>
        <v>8182.75</v>
      </c>
      <c r="M17" s="6"/>
      <c r="P17" s="108" t="s">
        <v>95</v>
      </c>
      <c r="Q17" s="106">
        <f t="shared" si="2"/>
        <v>8357.4195000909622</v>
      </c>
      <c r="R17" s="106">
        <f>Inputs!G161+Inputs!I161+Inputs!L161+Inputs!O161+Inputs!R161+Inputs!AA161</f>
        <v>8480</v>
      </c>
    </row>
    <row r="18" spans="1:18" x14ac:dyDescent="0.2">
      <c r="A18" s="4">
        <v>2023</v>
      </c>
      <c r="B18" s="159">
        <f>(Inputs!G155+Inputs!G143)/2</f>
        <v>7589</v>
      </c>
      <c r="C18" s="159">
        <f>(Inputs!I155+Inputs!I143)/2</f>
        <v>686</v>
      </c>
      <c r="D18" s="159">
        <f>(Inputs!L155+Inputs!L143)/2</f>
        <v>76</v>
      </c>
      <c r="E18" s="159">
        <v>7</v>
      </c>
      <c r="F18" s="159">
        <v>2</v>
      </c>
      <c r="G18" s="39">
        <v>54</v>
      </c>
      <c r="H18" s="159">
        <v>112</v>
      </c>
      <c r="I18" s="159">
        <f t="shared" ref="I18" si="3">I17*I34</f>
        <v>1</v>
      </c>
      <c r="J18" s="49">
        <f t="shared" si="0"/>
        <v>8527</v>
      </c>
      <c r="L18" s="6">
        <f t="shared" si="1"/>
        <v>8361</v>
      </c>
      <c r="M18" s="6"/>
      <c r="P18" s="108" t="s">
        <v>96</v>
      </c>
      <c r="Q18" s="106">
        <f t="shared" si="2"/>
        <v>8364.5104264772599</v>
      </c>
      <c r="R18" s="106">
        <f t="shared" ref="R18:R23" si="4">R17*(1+$R$11)</f>
        <v>8492.5406045191612</v>
      </c>
    </row>
    <row r="19" spans="1:18" x14ac:dyDescent="0.2">
      <c r="A19" s="4">
        <v>2024</v>
      </c>
      <c r="B19" s="54">
        <f>B70</f>
        <v>7690.3840670080453</v>
      </c>
      <c r="C19" s="54">
        <f t="shared" ref="C19:I19" si="5">C70</f>
        <v>709.14547207466467</v>
      </c>
      <c r="D19" s="54">
        <f t="shared" si="5"/>
        <v>77.294967879557973</v>
      </c>
      <c r="E19" s="54">
        <f t="shared" si="5"/>
        <v>7</v>
      </c>
      <c r="F19" s="54">
        <f t="shared" si="5"/>
        <v>2</v>
      </c>
      <c r="G19" s="54">
        <f t="shared" si="5"/>
        <v>54</v>
      </c>
      <c r="H19" s="54">
        <f>H70</f>
        <v>112</v>
      </c>
      <c r="I19" s="54">
        <f t="shared" si="5"/>
        <v>1</v>
      </c>
      <c r="J19" s="49">
        <f t="shared" si="0"/>
        <v>8652.8245069622681</v>
      </c>
      <c r="L19" s="6">
        <f t="shared" si="1"/>
        <v>8486.8245069622681</v>
      </c>
      <c r="M19" s="59"/>
      <c r="P19" s="108" t="s">
        <v>97</v>
      </c>
      <c r="Q19" s="106">
        <f t="shared" si="2"/>
        <v>8371.6073692226764</v>
      </c>
      <c r="R19" s="106">
        <f t="shared" si="4"/>
        <v>8505.0997546470153</v>
      </c>
    </row>
    <row r="20" spans="1:18" x14ac:dyDescent="0.2">
      <c r="A20" s="14"/>
      <c r="P20" s="108" t="s">
        <v>98</v>
      </c>
      <c r="Q20" s="106">
        <f t="shared" si="2"/>
        <v>8378.7103334318454</v>
      </c>
      <c r="R20" s="106">
        <f t="shared" si="4"/>
        <v>8517.6774778096387</v>
      </c>
    </row>
    <row r="21" spans="1:18" x14ac:dyDescent="0.2">
      <c r="A21" s="14" t="s">
        <v>36</v>
      </c>
      <c r="B21" s="5"/>
      <c r="C21" s="5"/>
      <c r="D21" s="5"/>
      <c r="E21" s="5"/>
      <c r="F21" s="5"/>
      <c r="G21" s="5"/>
      <c r="H21" s="17"/>
      <c r="I21" s="17"/>
      <c r="P21" s="108" t="s">
        <v>99</v>
      </c>
      <c r="Q21" s="106">
        <f t="shared" si="2"/>
        <v>8385.8193242137295</v>
      </c>
      <c r="R21" s="106">
        <f t="shared" si="4"/>
        <v>8530.2738014736697</v>
      </c>
    </row>
    <row r="22" spans="1:18" x14ac:dyDescent="0.2">
      <c r="A22" s="4"/>
      <c r="B22" s="17"/>
      <c r="C22" s="17"/>
      <c r="D22" s="17"/>
      <c r="E22" s="17"/>
      <c r="F22" s="17"/>
      <c r="G22" s="17"/>
      <c r="H22" s="17"/>
      <c r="I22" s="17"/>
      <c r="P22" s="108" t="s">
        <v>100</v>
      </c>
      <c r="Q22" s="106">
        <f t="shared" si="2"/>
        <v>8392.9343466816281</v>
      </c>
      <c r="R22" s="106">
        <f t="shared" si="4"/>
        <v>8542.8887531463643</v>
      </c>
    </row>
    <row r="23" spans="1:18" ht="13.5" thickBot="1" x14ac:dyDescent="0.25">
      <c r="A23" s="4">
        <f t="shared" ref="A23:A30" si="6">+A11</f>
        <v>2016</v>
      </c>
      <c r="B23" s="17"/>
      <c r="C23" s="17"/>
      <c r="D23" s="17"/>
      <c r="E23" s="17"/>
      <c r="F23" s="17"/>
      <c r="G23" s="17"/>
      <c r="H23" s="17"/>
      <c r="I23" s="17"/>
      <c r="P23" s="145" t="s">
        <v>101</v>
      </c>
      <c r="Q23" s="144">
        <f>Inputs!G155+Inputs!I155+Inputs!L155+Inputs!O155+Inputs!R155+Inputs!AA155</f>
        <v>8406</v>
      </c>
      <c r="R23" s="144">
        <f t="shared" si="4"/>
        <v>8555.5223603756567</v>
      </c>
    </row>
    <row r="24" spans="1:18" ht="13.5" thickTop="1" x14ac:dyDescent="0.2">
      <c r="A24" s="4">
        <f t="shared" si="6"/>
        <v>2017</v>
      </c>
      <c r="B24" s="17">
        <f t="shared" ref="B24:I28" si="7">B12/B11</f>
        <v>1.0182186502840043</v>
      </c>
      <c r="C24" s="17">
        <f t="shared" si="7"/>
        <v>1.0075846737282594</v>
      </c>
      <c r="D24" s="17">
        <f t="shared" si="7"/>
        <v>1.0020855057351405</v>
      </c>
      <c r="E24" s="17">
        <f t="shared" si="7"/>
        <v>1.0416666666666665</v>
      </c>
      <c r="F24" s="17">
        <f t="shared" si="7"/>
        <v>1</v>
      </c>
      <c r="G24" s="17">
        <f t="shared" si="7"/>
        <v>0.98181818181818181</v>
      </c>
      <c r="H24" s="17">
        <f t="shared" si="7"/>
        <v>0.95358649789029537</v>
      </c>
      <c r="I24" s="17">
        <f t="shared" si="7"/>
        <v>1</v>
      </c>
      <c r="P24" s="108" t="s">
        <v>9</v>
      </c>
      <c r="Q24" s="106">
        <f>AVERAGE(Q12:Q23)</f>
        <v>8361.4954267140183</v>
      </c>
      <c r="R24" s="106">
        <f>AVERAGE(R12:R23)</f>
        <v>8487.0002293309608</v>
      </c>
    </row>
    <row r="25" spans="1:18" x14ac:dyDescent="0.2">
      <c r="A25" s="4">
        <f t="shared" si="6"/>
        <v>2018</v>
      </c>
      <c r="B25" s="17">
        <f t="shared" si="7"/>
        <v>1.0168133882943449</v>
      </c>
      <c r="C25" s="17">
        <f t="shared" si="7"/>
        <v>1.009214795587281</v>
      </c>
      <c r="D25" s="17">
        <f t="shared" si="7"/>
        <v>0.99583766909469307</v>
      </c>
      <c r="E25" s="17">
        <f t="shared" si="7"/>
        <v>1.1840000000000002</v>
      </c>
      <c r="F25" s="17">
        <f t="shared" si="7"/>
        <v>1</v>
      </c>
      <c r="G25" s="17">
        <f t="shared" si="7"/>
        <v>1.0128205128205128</v>
      </c>
      <c r="H25" s="17">
        <f t="shared" si="7"/>
        <v>0.99115044247787609</v>
      </c>
      <c r="I25" s="17">
        <f t="shared" si="7"/>
        <v>1</v>
      </c>
      <c r="Q25" s="6">
        <f>L18</f>
        <v>8361</v>
      </c>
      <c r="R25" s="6">
        <f>L19</f>
        <v>8486.8245069622681</v>
      </c>
    </row>
    <row r="26" spans="1:18" x14ac:dyDescent="0.2">
      <c r="A26" s="4">
        <f t="shared" si="6"/>
        <v>2019</v>
      </c>
      <c r="B26" s="17">
        <f t="shared" si="7"/>
        <v>1.0208194792572511</v>
      </c>
      <c r="C26" s="17">
        <f t="shared" si="7"/>
        <v>1.010545267489712</v>
      </c>
      <c r="D26" s="17">
        <f t="shared" si="7"/>
        <v>0.9791013584117032</v>
      </c>
      <c r="E26" s="17">
        <f t="shared" si="7"/>
        <v>0.93918918918918914</v>
      </c>
      <c r="F26" s="17">
        <f t="shared" si="7"/>
        <v>1</v>
      </c>
      <c r="G26" s="17">
        <f t="shared" si="7"/>
        <v>0.95639943741209565</v>
      </c>
      <c r="H26" s="17">
        <f t="shared" si="7"/>
        <v>1</v>
      </c>
      <c r="I26" s="17">
        <f t="shared" si="7"/>
        <v>1</v>
      </c>
      <c r="Q26" s="6">
        <f>Q24-Q25</f>
        <v>0.49542671401832195</v>
      </c>
      <c r="R26" s="6">
        <f>R24-R25</f>
        <v>0.17572236869273183</v>
      </c>
    </row>
    <row r="27" spans="1:18" x14ac:dyDescent="0.2">
      <c r="A27" s="4">
        <f t="shared" si="6"/>
        <v>2020</v>
      </c>
      <c r="B27" s="17">
        <f t="shared" si="7"/>
        <v>1.0257691922228904</v>
      </c>
      <c r="C27" s="17">
        <f t="shared" si="7"/>
        <v>1.0153983201832526</v>
      </c>
      <c r="D27" s="17">
        <f t="shared" si="7"/>
        <v>1.0373532550693705</v>
      </c>
      <c r="E27" s="17">
        <f t="shared" si="7"/>
        <v>0.69064748201438841</v>
      </c>
      <c r="F27" s="17">
        <f t="shared" si="7"/>
        <v>1</v>
      </c>
      <c r="G27" s="17">
        <f t="shared" si="7"/>
        <v>1.0029411764705882</v>
      </c>
      <c r="H27" s="17">
        <f t="shared" si="7"/>
        <v>1.0007440476190477</v>
      </c>
      <c r="I27" s="17">
        <f t="shared" si="7"/>
        <v>1</v>
      </c>
    </row>
    <row r="28" spans="1:18" x14ac:dyDescent="0.2">
      <c r="A28" s="4">
        <f t="shared" si="6"/>
        <v>2021</v>
      </c>
      <c r="B28" s="17">
        <f t="shared" si="7"/>
        <v>1.0416213773647123</v>
      </c>
      <c r="C28" s="17">
        <f t="shared" si="7"/>
        <v>1.0111542799849607</v>
      </c>
      <c r="D28" s="17">
        <f t="shared" si="7"/>
        <v>0.95473251028806583</v>
      </c>
      <c r="E28" s="17">
        <f t="shared" si="7"/>
        <v>1.0625</v>
      </c>
      <c r="F28" s="17">
        <f t="shared" si="7"/>
        <v>1</v>
      </c>
      <c r="G28" s="17">
        <f t="shared" si="7"/>
        <v>1</v>
      </c>
      <c r="H28" s="17">
        <f t="shared" si="7"/>
        <v>0.99925650557620826</v>
      </c>
      <c r="I28" s="17">
        <f t="shared" si="7"/>
        <v>1</v>
      </c>
    </row>
    <row r="29" spans="1:18" x14ac:dyDescent="0.2">
      <c r="A29" s="4">
        <f t="shared" si="6"/>
        <v>2022</v>
      </c>
      <c r="B29" s="17">
        <f>B17/B16</f>
        <v>1.0436046852466319</v>
      </c>
      <c r="C29" s="17">
        <f t="shared" ref="C29:I30" si="8">C17/C16</f>
        <v>1.0147496281606345</v>
      </c>
      <c r="D29" s="17">
        <f t="shared" si="8"/>
        <v>0.95905172413793116</v>
      </c>
      <c r="E29" s="17">
        <f t="shared" si="8"/>
        <v>0.70588235294117652</v>
      </c>
      <c r="F29" s="17">
        <f t="shared" si="8"/>
        <v>1</v>
      </c>
      <c r="G29" s="17">
        <f t="shared" si="8"/>
        <v>0.98387096774193539</v>
      </c>
      <c r="H29" s="17">
        <f t="shared" si="8"/>
        <v>1</v>
      </c>
      <c r="I29" s="17">
        <f t="shared" si="8"/>
        <v>1</v>
      </c>
    </row>
    <row r="30" spans="1:18" x14ac:dyDescent="0.2">
      <c r="A30" s="4">
        <f t="shared" si="6"/>
        <v>2023</v>
      </c>
      <c r="B30" s="17">
        <f>B18/B17</f>
        <v>1.0231439870573431</v>
      </c>
      <c r="C30" s="17">
        <f t="shared" si="8"/>
        <v>1.0054965188713814</v>
      </c>
      <c r="D30" s="17">
        <f t="shared" si="8"/>
        <v>1.0247191011235954</v>
      </c>
      <c r="E30" s="17">
        <f t="shared" si="8"/>
        <v>1.1666666666666667</v>
      </c>
      <c r="F30" s="17">
        <f t="shared" si="8"/>
        <v>1</v>
      </c>
      <c r="G30" s="17">
        <f t="shared" si="8"/>
        <v>0.96572280178837555</v>
      </c>
      <c r="H30" s="17">
        <f t="shared" si="8"/>
        <v>1</v>
      </c>
      <c r="I30" s="17">
        <f t="shared" si="8"/>
        <v>1</v>
      </c>
    </row>
    <row r="31" spans="1:18" x14ac:dyDescent="0.2">
      <c r="A31" s="4"/>
      <c r="B31" s="17"/>
      <c r="C31" s="17"/>
      <c r="D31" s="17"/>
      <c r="E31" s="17"/>
      <c r="F31" s="17"/>
      <c r="G31" s="17"/>
      <c r="H31" s="17"/>
      <c r="I31" s="17"/>
    </row>
    <row r="32" spans="1:18" x14ac:dyDescent="0.2">
      <c r="A32" s="4"/>
      <c r="B32" s="17"/>
      <c r="C32" s="17"/>
      <c r="D32" s="17"/>
      <c r="E32" s="17"/>
      <c r="F32" s="17"/>
      <c r="G32" s="17"/>
      <c r="H32" s="17"/>
      <c r="I32" s="17"/>
    </row>
    <row r="34" spans="1:10" x14ac:dyDescent="0.2">
      <c r="A34" t="s">
        <v>50</v>
      </c>
      <c r="B34" s="55">
        <f>B36</f>
        <v>1.0277507475750254</v>
      </c>
      <c r="C34" s="55">
        <f t="shared" ref="C34:I34" si="9">C36</f>
        <v>1.0114372637556073</v>
      </c>
      <c r="D34" s="55">
        <f t="shared" si="9"/>
        <v>0.98763218260764185</v>
      </c>
      <c r="E34" s="55">
        <f t="shared" si="9"/>
        <v>0.91838590216844529</v>
      </c>
      <c r="F34" s="55">
        <f t="shared" si="9"/>
        <v>1</v>
      </c>
      <c r="G34" s="55">
        <f t="shared" si="9"/>
        <v>0.98947026232964364</v>
      </c>
      <c r="H34" s="55">
        <f t="shared" si="9"/>
        <v>0.99064171565320325</v>
      </c>
      <c r="I34" s="55">
        <f t="shared" si="9"/>
        <v>1</v>
      </c>
      <c r="J34" s="43" t="s">
        <v>61</v>
      </c>
    </row>
    <row r="35" spans="1:10" x14ac:dyDescent="0.2">
      <c r="B35" s="18"/>
      <c r="C35" s="18"/>
      <c r="D35" s="18"/>
      <c r="E35" s="18"/>
      <c r="F35" s="18"/>
      <c r="G35" s="18"/>
      <c r="H35" s="18"/>
      <c r="I35" s="18"/>
    </row>
    <row r="36" spans="1:10" x14ac:dyDescent="0.2">
      <c r="A36" t="s">
        <v>10</v>
      </c>
      <c r="B36" s="18">
        <f>IF(B17="",0,GEOMEAN(B23:B29))</f>
        <v>1.0277507475750254</v>
      </c>
      <c r="C36" s="18">
        <f>IF(C17="",0,GEOMEAN(C23:C29))</f>
        <v>1.0114372637556073</v>
      </c>
      <c r="D36" s="18">
        <f>IF(D17="",0,GEOMEAN(D23:D29))</f>
        <v>0.98763218260764185</v>
      </c>
      <c r="E36" s="18">
        <f t="shared" ref="E36:I36" si="10">IF(E17="",0,GEOMEAN(E23:E29))</f>
        <v>0.91838590216844529</v>
      </c>
      <c r="F36" s="18">
        <f t="shared" si="10"/>
        <v>1</v>
      </c>
      <c r="G36" s="18">
        <f>IF(G17="",0,GEOMEAN(G23:G29))</f>
        <v>0.98947026232964364</v>
      </c>
      <c r="H36" s="18">
        <f t="shared" si="10"/>
        <v>0.99064171565320325</v>
      </c>
      <c r="I36" s="18">
        <f t="shared" si="10"/>
        <v>1</v>
      </c>
    </row>
    <row r="37" spans="1:10" x14ac:dyDescent="0.2">
      <c r="A37" s="4"/>
      <c r="B37" s="18"/>
      <c r="C37" s="18"/>
      <c r="D37" s="18"/>
      <c r="E37" s="18"/>
      <c r="F37" s="18"/>
      <c r="G37" s="18"/>
      <c r="H37" s="18"/>
      <c r="I37" s="18"/>
    </row>
    <row r="38" spans="1:10" x14ac:dyDescent="0.2">
      <c r="B38"/>
      <c r="C38"/>
      <c r="D38" s="158"/>
      <c r="E38" s="158"/>
      <c r="F38" s="158"/>
      <c r="G38" s="158"/>
      <c r="H38" s="158"/>
      <c r="I38" s="158"/>
    </row>
    <row r="39" spans="1:10" x14ac:dyDescent="0.2">
      <c r="A39" s="3"/>
      <c r="B39"/>
      <c r="C39"/>
      <c r="D39"/>
      <c r="E39"/>
      <c r="F39"/>
      <c r="G39"/>
      <c r="H39"/>
      <c r="I39"/>
    </row>
    <row r="40" spans="1:10" x14ac:dyDescent="0.2">
      <c r="A40" s="3">
        <v>45261</v>
      </c>
      <c r="B40">
        <f>Inputs!G155</f>
        <v>7631</v>
      </c>
      <c r="C40">
        <f>Inputs!I155</f>
        <v>689</v>
      </c>
      <c r="D40">
        <f>Inputs!L155</f>
        <v>76</v>
      </c>
      <c r="E40">
        <v>7</v>
      </c>
      <c r="F40">
        <v>2</v>
      </c>
      <c r="G40">
        <v>54</v>
      </c>
      <c r="H40">
        <v>112</v>
      </c>
      <c r="I40">
        <v>1</v>
      </c>
    </row>
    <row r="41" spans="1:10" x14ac:dyDescent="0.2">
      <c r="A41" s="160" t="s">
        <v>91</v>
      </c>
      <c r="B41">
        <f>Inputs!G156</f>
        <v>7654</v>
      </c>
      <c r="C41">
        <f>Inputs!I156</f>
        <v>695</v>
      </c>
      <c r="D41">
        <f>Inputs!L156</f>
        <v>77</v>
      </c>
      <c r="E41">
        <f>Inputs!O156</f>
        <v>7</v>
      </c>
      <c r="F41">
        <f>Inputs!R156</f>
        <v>2</v>
      </c>
      <c r="G41">
        <v>54</v>
      </c>
      <c r="H41">
        <v>112</v>
      </c>
      <c r="I41">
        <v>1</v>
      </c>
    </row>
    <row r="42" spans="1:10" x14ac:dyDescent="0.2">
      <c r="A42" s="160" t="s">
        <v>92</v>
      </c>
      <c r="B42">
        <f>Inputs!G157</f>
        <v>7657</v>
      </c>
      <c r="C42">
        <f>Inputs!I157</f>
        <v>696</v>
      </c>
      <c r="D42">
        <f>Inputs!L157</f>
        <v>77</v>
      </c>
      <c r="E42">
        <f>Inputs!O157</f>
        <v>7</v>
      </c>
      <c r="F42">
        <f>Inputs!R157</f>
        <v>2</v>
      </c>
      <c r="G42">
        <v>54</v>
      </c>
      <c r="H42">
        <v>112</v>
      </c>
      <c r="I42">
        <v>1</v>
      </c>
    </row>
    <row r="43" spans="1:10" x14ac:dyDescent="0.2">
      <c r="A43" s="160" t="s">
        <v>93</v>
      </c>
      <c r="B43">
        <f>Inputs!G158</f>
        <v>7660</v>
      </c>
      <c r="C43">
        <f>Inputs!I158</f>
        <v>695</v>
      </c>
      <c r="D43">
        <f>Inputs!L158</f>
        <v>77</v>
      </c>
      <c r="E43">
        <f>Inputs!O158</f>
        <v>7</v>
      </c>
      <c r="F43">
        <f>Inputs!R158</f>
        <v>2</v>
      </c>
      <c r="G43">
        <v>54</v>
      </c>
      <c r="H43">
        <v>112</v>
      </c>
      <c r="I43">
        <v>1</v>
      </c>
    </row>
    <row r="44" spans="1:10" x14ac:dyDescent="0.2">
      <c r="A44" s="160" t="s">
        <v>94</v>
      </c>
      <c r="B44">
        <f>Inputs!G159</f>
        <v>7664</v>
      </c>
      <c r="C44">
        <f>Inputs!I159</f>
        <v>695</v>
      </c>
      <c r="D44">
        <f>Inputs!L159</f>
        <v>77</v>
      </c>
      <c r="E44">
        <f>Inputs!O159</f>
        <v>7</v>
      </c>
      <c r="F44">
        <f>Inputs!R159</f>
        <v>2</v>
      </c>
      <c r="G44">
        <v>54</v>
      </c>
      <c r="H44">
        <v>112</v>
      </c>
      <c r="I44">
        <v>1</v>
      </c>
    </row>
    <row r="45" spans="1:10" x14ac:dyDescent="0.2">
      <c r="A45" s="160" t="s">
        <v>52</v>
      </c>
      <c r="B45">
        <f>Inputs!G160</f>
        <v>7675</v>
      </c>
      <c r="C45">
        <f>Inputs!I160</f>
        <v>694</v>
      </c>
      <c r="D45">
        <f>Inputs!L160</f>
        <v>77</v>
      </c>
      <c r="E45">
        <f>Inputs!O160</f>
        <v>7</v>
      </c>
      <c r="F45">
        <f>Inputs!R160</f>
        <v>2</v>
      </c>
      <c r="G45">
        <v>54</v>
      </c>
      <c r="H45">
        <v>112</v>
      </c>
      <c r="I45">
        <v>1</v>
      </c>
    </row>
    <row r="46" spans="1:10" x14ac:dyDescent="0.2">
      <c r="A46" s="160" t="s">
        <v>95</v>
      </c>
      <c r="B46">
        <f>Inputs!G161</f>
        <v>7684</v>
      </c>
      <c r="C46">
        <f>Inputs!I161</f>
        <v>709</v>
      </c>
      <c r="D46">
        <f>Inputs!L161</f>
        <v>77</v>
      </c>
      <c r="E46">
        <f>Inputs!O161</f>
        <v>7</v>
      </c>
      <c r="F46">
        <f>Inputs!R161</f>
        <v>2</v>
      </c>
      <c r="G46">
        <v>54</v>
      </c>
      <c r="H46">
        <v>112</v>
      </c>
      <c r="I46">
        <v>1</v>
      </c>
    </row>
    <row r="47" spans="1:10" x14ac:dyDescent="0.2">
      <c r="A47" s="3"/>
      <c r="B47"/>
      <c r="C47"/>
      <c r="D47"/>
      <c r="E47"/>
      <c r="F47"/>
      <c r="G47"/>
      <c r="H47"/>
      <c r="I47"/>
    </row>
    <row r="48" spans="1:10" x14ac:dyDescent="0.2">
      <c r="A48" s="160" t="s">
        <v>91</v>
      </c>
      <c r="B48" s="156">
        <f>B41/B40</f>
        <v>1.0030140217533743</v>
      </c>
      <c r="C48" s="156">
        <f t="shared" ref="C48:I48" si="11">C41/C40</f>
        <v>1.0087082728592163</v>
      </c>
      <c r="D48" s="156">
        <f t="shared" si="11"/>
        <v>1.013157894736842</v>
      </c>
      <c r="E48" s="156">
        <f t="shared" si="11"/>
        <v>1</v>
      </c>
      <c r="F48" s="156">
        <f t="shared" si="11"/>
        <v>1</v>
      </c>
      <c r="G48" s="156">
        <f t="shared" si="11"/>
        <v>1</v>
      </c>
      <c r="H48" s="156">
        <f t="shared" si="11"/>
        <v>1</v>
      </c>
      <c r="I48" s="156">
        <f t="shared" si="11"/>
        <v>1</v>
      </c>
    </row>
    <row r="49" spans="1:9" x14ac:dyDescent="0.2">
      <c r="A49" s="160" t="s">
        <v>92</v>
      </c>
      <c r="B49" s="156">
        <f t="shared" ref="B49:I53" si="12">B42/B41</f>
        <v>1.0003919519205644</v>
      </c>
      <c r="C49" s="156">
        <f t="shared" si="12"/>
        <v>1.0014388489208632</v>
      </c>
      <c r="D49" s="156">
        <f t="shared" si="12"/>
        <v>1</v>
      </c>
      <c r="E49" s="156">
        <f t="shared" si="12"/>
        <v>1</v>
      </c>
      <c r="F49" s="156">
        <f t="shared" si="12"/>
        <v>1</v>
      </c>
      <c r="G49" s="156">
        <f t="shared" si="12"/>
        <v>1</v>
      </c>
      <c r="H49" s="156">
        <f t="shared" si="12"/>
        <v>1</v>
      </c>
      <c r="I49" s="156">
        <f t="shared" si="12"/>
        <v>1</v>
      </c>
    </row>
    <row r="50" spans="1:9" x14ac:dyDescent="0.2">
      <c r="A50" s="160" t="s">
        <v>93</v>
      </c>
      <c r="B50" s="156">
        <f t="shared" si="12"/>
        <v>1.0003917983544468</v>
      </c>
      <c r="C50" s="156">
        <f t="shared" si="12"/>
        <v>0.99856321839080464</v>
      </c>
      <c r="D50" s="156">
        <f t="shared" si="12"/>
        <v>1</v>
      </c>
      <c r="E50" s="156">
        <f t="shared" si="12"/>
        <v>1</v>
      </c>
      <c r="F50" s="156">
        <f t="shared" si="12"/>
        <v>1</v>
      </c>
      <c r="G50" s="156">
        <f t="shared" si="12"/>
        <v>1</v>
      </c>
      <c r="H50" s="156">
        <f t="shared" si="12"/>
        <v>1</v>
      </c>
      <c r="I50" s="156">
        <f t="shared" si="12"/>
        <v>1</v>
      </c>
    </row>
    <row r="51" spans="1:9" x14ac:dyDescent="0.2">
      <c r="A51" s="160" t="s">
        <v>94</v>
      </c>
      <c r="B51" s="156">
        <f t="shared" si="12"/>
        <v>1.0005221932114883</v>
      </c>
      <c r="C51" s="156">
        <f t="shared" si="12"/>
        <v>1</v>
      </c>
      <c r="D51" s="156">
        <f t="shared" si="12"/>
        <v>1</v>
      </c>
      <c r="E51" s="156">
        <f t="shared" si="12"/>
        <v>1</v>
      </c>
      <c r="F51" s="156">
        <f t="shared" si="12"/>
        <v>1</v>
      </c>
      <c r="G51" s="156">
        <f t="shared" si="12"/>
        <v>1</v>
      </c>
      <c r="H51" s="156">
        <f t="shared" si="12"/>
        <v>1</v>
      </c>
      <c r="I51" s="156">
        <f t="shared" si="12"/>
        <v>1</v>
      </c>
    </row>
    <row r="52" spans="1:9" x14ac:dyDescent="0.2">
      <c r="A52" s="160" t="s">
        <v>52</v>
      </c>
      <c r="B52" s="156">
        <f t="shared" si="12"/>
        <v>1.0014352818371608</v>
      </c>
      <c r="C52" s="156">
        <f t="shared" si="12"/>
        <v>0.99856115107913668</v>
      </c>
      <c r="D52" s="156">
        <f t="shared" si="12"/>
        <v>1</v>
      </c>
      <c r="E52" s="156">
        <f t="shared" si="12"/>
        <v>1</v>
      </c>
      <c r="F52" s="156">
        <f t="shared" si="12"/>
        <v>1</v>
      </c>
      <c r="G52" s="156">
        <f t="shared" si="12"/>
        <v>1</v>
      </c>
      <c r="H52" s="156">
        <f t="shared" si="12"/>
        <v>1</v>
      </c>
      <c r="I52" s="156">
        <f t="shared" si="12"/>
        <v>1</v>
      </c>
    </row>
    <row r="53" spans="1:9" x14ac:dyDescent="0.2">
      <c r="A53" s="160" t="s">
        <v>95</v>
      </c>
      <c r="B53" s="156">
        <f t="shared" si="12"/>
        <v>1.0011726384364821</v>
      </c>
      <c r="C53" s="156">
        <f t="shared" si="12"/>
        <v>1.021613832853026</v>
      </c>
      <c r="D53" s="156">
        <f t="shared" si="12"/>
        <v>1</v>
      </c>
      <c r="E53" s="156">
        <f t="shared" si="12"/>
        <v>1</v>
      </c>
      <c r="F53" s="156">
        <f t="shared" si="12"/>
        <v>1</v>
      </c>
      <c r="G53" s="156">
        <f t="shared" si="12"/>
        <v>1</v>
      </c>
      <c r="H53" s="156">
        <f t="shared" si="12"/>
        <v>1</v>
      </c>
      <c r="I53" s="156">
        <f t="shared" si="12"/>
        <v>1</v>
      </c>
    </row>
    <row r="54" spans="1:9" x14ac:dyDescent="0.2">
      <c r="A54" s="3"/>
      <c r="B54"/>
      <c r="C54"/>
      <c r="D54"/>
      <c r="E54"/>
      <c r="F54"/>
      <c r="G54"/>
      <c r="H54"/>
      <c r="I54"/>
    </row>
    <row r="55" spans="1:9" x14ac:dyDescent="0.2">
      <c r="A55" s="3" t="s">
        <v>143</v>
      </c>
      <c r="B55" s="156">
        <f>GEOMEAN(B48:B53)</f>
        <v>1.001154223370142</v>
      </c>
      <c r="C55" s="156">
        <f t="shared" ref="C55:I55" si="13">GEOMEAN(C48:C53)</f>
        <v>1.0047804325692467</v>
      </c>
      <c r="D55" s="156">
        <f t="shared" si="13"/>
        <v>1.0021810553095762</v>
      </c>
      <c r="E55" s="156">
        <f t="shared" si="13"/>
        <v>1</v>
      </c>
      <c r="F55" s="156">
        <f t="shared" si="13"/>
        <v>1</v>
      </c>
      <c r="G55" s="156">
        <f t="shared" si="13"/>
        <v>1</v>
      </c>
      <c r="H55" s="156">
        <f t="shared" si="13"/>
        <v>1</v>
      </c>
      <c r="I55" s="156">
        <f t="shared" si="13"/>
        <v>1</v>
      </c>
    </row>
    <row r="56" spans="1:9" x14ac:dyDescent="0.2">
      <c r="A56" s="3"/>
      <c r="B56"/>
      <c r="C56"/>
      <c r="D56"/>
      <c r="E56"/>
      <c r="F56"/>
      <c r="G56"/>
      <c r="H56"/>
      <c r="I56"/>
    </row>
    <row r="57" spans="1:9" x14ac:dyDescent="0.2">
      <c r="A57" s="160" t="s">
        <v>91</v>
      </c>
      <c r="B57" s="161">
        <f>B41</f>
        <v>7654</v>
      </c>
      <c r="C57" s="161">
        <f t="shared" ref="C57:I57" si="14">C41</f>
        <v>695</v>
      </c>
      <c r="D57" s="161">
        <f t="shared" si="14"/>
        <v>77</v>
      </c>
      <c r="E57" s="161">
        <f t="shared" si="14"/>
        <v>7</v>
      </c>
      <c r="F57" s="161">
        <f t="shared" si="14"/>
        <v>2</v>
      </c>
      <c r="G57" s="161">
        <f t="shared" si="14"/>
        <v>54</v>
      </c>
      <c r="H57" s="161">
        <f t="shared" si="14"/>
        <v>112</v>
      </c>
      <c r="I57" s="161">
        <f t="shared" si="14"/>
        <v>1</v>
      </c>
    </row>
    <row r="58" spans="1:9" x14ac:dyDescent="0.2">
      <c r="A58" s="160" t="s">
        <v>92</v>
      </c>
      <c r="B58" s="161">
        <f t="shared" ref="B58:I58" si="15">B42</f>
        <v>7657</v>
      </c>
      <c r="C58" s="161">
        <f t="shared" si="15"/>
        <v>696</v>
      </c>
      <c r="D58" s="161">
        <f t="shared" si="15"/>
        <v>77</v>
      </c>
      <c r="E58" s="161">
        <f t="shared" si="15"/>
        <v>7</v>
      </c>
      <c r="F58" s="161">
        <f t="shared" si="15"/>
        <v>2</v>
      </c>
      <c r="G58" s="161">
        <f t="shared" si="15"/>
        <v>54</v>
      </c>
      <c r="H58" s="161">
        <f t="shared" si="15"/>
        <v>112</v>
      </c>
      <c r="I58" s="161">
        <f t="shared" si="15"/>
        <v>1</v>
      </c>
    </row>
    <row r="59" spans="1:9" x14ac:dyDescent="0.2">
      <c r="A59" s="160" t="s">
        <v>93</v>
      </c>
      <c r="B59" s="161">
        <f t="shared" ref="B59:I59" si="16">B43</f>
        <v>7660</v>
      </c>
      <c r="C59" s="161">
        <f t="shared" si="16"/>
        <v>695</v>
      </c>
      <c r="D59" s="161">
        <f t="shared" si="16"/>
        <v>77</v>
      </c>
      <c r="E59" s="161">
        <f t="shared" si="16"/>
        <v>7</v>
      </c>
      <c r="F59" s="161">
        <f t="shared" si="16"/>
        <v>2</v>
      </c>
      <c r="G59" s="161">
        <f t="shared" si="16"/>
        <v>54</v>
      </c>
      <c r="H59" s="161">
        <f t="shared" si="16"/>
        <v>112</v>
      </c>
      <c r="I59" s="161">
        <f t="shared" si="16"/>
        <v>1</v>
      </c>
    </row>
    <row r="60" spans="1:9" x14ac:dyDescent="0.2">
      <c r="A60" s="160" t="s">
        <v>94</v>
      </c>
      <c r="B60" s="161">
        <f t="shared" ref="B60:I60" si="17">B44</f>
        <v>7664</v>
      </c>
      <c r="C60" s="161">
        <f t="shared" si="17"/>
        <v>695</v>
      </c>
      <c r="D60" s="161">
        <f t="shared" si="17"/>
        <v>77</v>
      </c>
      <c r="E60" s="161">
        <f t="shared" si="17"/>
        <v>7</v>
      </c>
      <c r="F60" s="161">
        <f t="shared" si="17"/>
        <v>2</v>
      </c>
      <c r="G60" s="161">
        <f t="shared" si="17"/>
        <v>54</v>
      </c>
      <c r="H60" s="161">
        <f t="shared" si="17"/>
        <v>112</v>
      </c>
      <c r="I60" s="161">
        <f t="shared" si="17"/>
        <v>1</v>
      </c>
    </row>
    <row r="61" spans="1:9" x14ac:dyDescent="0.2">
      <c r="A61" s="160" t="s">
        <v>52</v>
      </c>
      <c r="B61" s="161">
        <f t="shared" ref="B61:I61" si="18">B45</f>
        <v>7675</v>
      </c>
      <c r="C61" s="161">
        <f t="shared" si="18"/>
        <v>694</v>
      </c>
      <c r="D61" s="161">
        <f t="shared" si="18"/>
        <v>77</v>
      </c>
      <c r="E61" s="161">
        <f t="shared" si="18"/>
        <v>7</v>
      </c>
      <c r="F61" s="161">
        <f t="shared" si="18"/>
        <v>2</v>
      </c>
      <c r="G61" s="161">
        <f t="shared" si="18"/>
        <v>54</v>
      </c>
      <c r="H61" s="161">
        <f t="shared" si="18"/>
        <v>112</v>
      </c>
      <c r="I61" s="161">
        <f t="shared" si="18"/>
        <v>1</v>
      </c>
    </row>
    <row r="62" spans="1:9" x14ac:dyDescent="0.2">
      <c r="A62" s="160" t="s">
        <v>95</v>
      </c>
      <c r="B62" s="161">
        <f t="shared" ref="B62:I62" si="19">B46</f>
        <v>7684</v>
      </c>
      <c r="C62" s="161">
        <f t="shared" si="19"/>
        <v>709</v>
      </c>
      <c r="D62" s="161">
        <f t="shared" si="19"/>
        <v>77</v>
      </c>
      <c r="E62" s="161">
        <f t="shared" si="19"/>
        <v>7</v>
      </c>
      <c r="F62" s="161">
        <f t="shared" si="19"/>
        <v>2</v>
      </c>
      <c r="G62" s="161">
        <f t="shared" si="19"/>
        <v>54</v>
      </c>
      <c r="H62" s="161">
        <f t="shared" si="19"/>
        <v>112</v>
      </c>
      <c r="I62" s="161">
        <f t="shared" si="19"/>
        <v>1</v>
      </c>
    </row>
    <row r="63" spans="1:9" x14ac:dyDescent="0.2">
      <c r="A63" s="160" t="s">
        <v>96</v>
      </c>
      <c r="B63" s="45">
        <f>B62*B$55</f>
        <v>7692.8690523761716</v>
      </c>
      <c r="C63" s="45">
        <f t="shared" ref="C63:I68" si="20">C62*C$55</f>
        <v>712.3893266915959</v>
      </c>
      <c r="D63" s="45">
        <f t="shared" si="20"/>
        <v>77.167941258837374</v>
      </c>
      <c r="E63" s="45">
        <f t="shared" si="20"/>
        <v>7</v>
      </c>
      <c r="F63" s="45">
        <f t="shared" si="20"/>
        <v>2</v>
      </c>
      <c r="G63" s="45">
        <f t="shared" si="20"/>
        <v>54</v>
      </c>
      <c r="H63" s="45">
        <f t="shared" si="20"/>
        <v>112</v>
      </c>
      <c r="I63" s="45">
        <f t="shared" si="20"/>
        <v>1</v>
      </c>
    </row>
    <row r="64" spans="1:9" x14ac:dyDescent="0.2">
      <c r="A64" s="160" t="s">
        <v>97</v>
      </c>
      <c r="B64" s="45">
        <f t="shared" ref="B64:B68" si="21">B63*B$55</f>
        <v>7701.7483416198666</v>
      </c>
      <c r="C64" s="45">
        <f t="shared" si="20"/>
        <v>715.79485583089604</v>
      </c>
      <c r="D64" s="45">
        <f t="shared" si="20"/>
        <v>77.336248806849028</v>
      </c>
      <c r="E64" s="45">
        <f t="shared" si="20"/>
        <v>7</v>
      </c>
      <c r="F64" s="45">
        <f t="shared" si="20"/>
        <v>2</v>
      </c>
      <c r="G64" s="45">
        <f t="shared" si="20"/>
        <v>54</v>
      </c>
      <c r="H64" s="45">
        <f t="shared" si="20"/>
        <v>112</v>
      </c>
      <c r="I64" s="45">
        <f t="shared" si="20"/>
        <v>1</v>
      </c>
    </row>
    <row r="65" spans="1:9" x14ac:dyDescent="0.2">
      <c r="A65" s="160" t="s">
        <v>98</v>
      </c>
      <c r="B65" s="45">
        <f t="shared" si="21"/>
        <v>7710.6378795467172</v>
      </c>
      <c r="C65" s="45">
        <f t="shared" si="20"/>
        <v>719.21666487260927</v>
      </c>
      <c r="D65" s="45">
        <f t="shared" si="20"/>
        <v>77.504923442931911</v>
      </c>
      <c r="E65" s="45">
        <f t="shared" si="20"/>
        <v>7</v>
      </c>
      <c r="F65" s="45">
        <f t="shared" si="20"/>
        <v>2</v>
      </c>
      <c r="G65" s="45">
        <f t="shared" si="20"/>
        <v>54</v>
      </c>
      <c r="H65" s="45">
        <f t="shared" si="20"/>
        <v>112</v>
      </c>
      <c r="I65" s="45">
        <f t="shared" si="20"/>
        <v>1</v>
      </c>
    </row>
    <row r="66" spans="1:9" x14ac:dyDescent="0.2">
      <c r="A66" s="160" t="s">
        <v>99</v>
      </c>
      <c r="B66" s="45">
        <f t="shared" si="21"/>
        <v>7719.5376779859926</v>
      </c>
      <c r="C66" s="45">
        <f t="shared" si="20"/>
        <v>722.65483164171121</v>
      </c>
      <c r="D66" s="45">
        <f t="shared" si="20"/>
        <v>77.673965967725422</v>
      </c>
      <c r="E66" s="45">
        <f t="shared" si="20"/>
        <v>7</v>
      </c>
      <c r="F66" s="45">
        <f t="shared" si="20"/>
        <v>2</v>
      </c>
      <c r="G66" s="45">
        <f t="shared" si="20"/>
        <v>54</v>
      </c>
      <c r="H66" s="45">
        <f t="shared" si="20"/>
        <v>112</v>
      </c>
      <c r="I66" s="45">
        <f t="shared" si="20"/>
        <v>1</v>
      </c>
    </row>
    <row r="67" spans="1:9" x14ac:dyDescent="0.2">
      <c r="A67" s="160" t="s">
        <v>100</v>
      </c>
      <c r="B67" s="45">
        <f t="shared" si="21"/>
        <v>7728.4477487806162</v>
      </c>
      <c r="C67" s="45">
        <f t="shared" si="20"/>
        <v>726.1094343352147</v>
      </c>
      <c r="D67" s="45">
        <f t="shared" si="20"/>
        <v>77.843377183615175</v>
      </c>
      <c r="E67" s="45">
        <f t="shared" si="20"/>
        <v>7</v>
      </c>
      <c r="F67" s="45">
        <f t="shared" si="20"/>
        <v>2</v>
      </c>
      <c r="G67" s="45">
        <f t="shared" si="20"/>
        <v>54</v>
      </c>
      <c r="H67" s="45">
        <f t="shared" si="20"/>
        <v>112</v>
      </c>
      <c r="I67" s="45">
        <f t="shared" si="20"/>
        <v>1</v>
      </c>
    </row>
    <row r="68" spans="1:9" x14ac:dyDescent="0.2">
      <c r="A68" s="160" t="s">
        <v>101</v>
      </c>
      <c r="B68" s="45">
        <f t="shared" si="21"/>
        <v>7737.3681037871802</v>
      </c>
      <c r="C68" s="45">
        <f t="shared" si="20"/>
        <v>729.58055152394797</v>
      </c>
      <c r="D68" s="45">
        <f t="shared" si="20"/>
        <v>78.01315789473685</v>
      </c>
      <c r="E68" s="45">
        <f t="shared" si="20"/>
        <v>7</v>
      </c>
      <c r="F68" s="45">
        <f t="shared" si="20"/>
        <v>2</v>
      </c>
      <c r="G68" s="45">
        <f t="shared" si="20"/>
        <v>54</v>
      </c>
      <c r="H68" s="45">
        <f t="shared" si="20"/>
        <v>112</v>
      </c>
      <c r="I68" s="45">
        <f t="shared" si="20"/>
        <v>1</v>
      </c>
    </row>
    <row r="69" spans="1:9" x14ac:dyDescent="0.2">
      <c r="B69"/>
      <c r="C69"/>
      <c r="D69"/>
      <c r="E69"/>
      <c r="F69"/>
      <c r="G69"/>
      <c r="H69"/>
      <c r="I69"/>
    </row>
    <row r="70" spans="1:9" x14ac:dyDescent="0.2">
      <c r="A70" s="160" t="s">
        <v>144</v>
      </c>
      <c r="B70" s="45">
        <f>AVERAGE(B57:B68)</f>
        <v>7690.3840670080453</v>
      </c>
      <c r="C70" s="45">
        <f t="shared" ref="C70:I70" si="22">AVERAGE(C57:C68)</f>
        <v>709.14547207466467</v>
      </c>
      <c r="D70" s="45">
        <f t="shared" si="22"/>
        <v>77.294967879557973</v>
      </c>
      <c r="E70" s="45">
        <f t="shared" si="22"/>
        <v>7</v>
      </c>
      <c r="F70" s="45">
        <f t="shared" si="22"/>
        <v>2</v>
      </c>
      <c r="G70" s="45">
        <f t="shared" si="22"/>
        <v>54</v>
      </c>
      <c r="H70" s="45">
        <f t="shared" si="22"/>
        <v>112</v>
      </c>
      <c r="I70" s="45">
        <f t="shared" si="22"/>
        <v>1</v>
      </c>
    </row>
    <row r="71" spans="1:9" x14ac:dyDescent="0.2">
      <c r="B71"/>
      <c r="C71"/>
      <c r="D71"/>
      <c r="E71"/>
      <c r="F71"/>
      <c r="G71"/>
      <c r="H71"/>
      <c r="I71"/>
    </row>
    <row r="72" spans="1:9" x14ac:dyDescent="0.2">
      <c r="B72"/>
      <c r="C72"/>
      <c r="D72"/>
      <c r="E72"/>
      <c r="F72"/>
      <c r="G72"/>
      <c r="H72"/>
      <c r="I72"/>
    </row>
    <row r="73" spans="1:9" x14ac:dyDescent="0.2">
      <c r="B73"/>
      <c r="C73"/>
      <c r="D73"/>
      <c r="E73"/>
      <c r="F73"/>
      <c r="G73"/>
      <c r="H73"/>
      <c r="I73"/>
    </row>
    <row r="74" spans="1:9" x14ac:dyDescent="0.2">
      <c r="B74"/>
      <c r="C74"/>
      <c r="D74"/>
      <c r="E74"/>
      <c r="F74"/>
      <c r="G74"/>
      <c r="H74"/>
      <c r="I74"/>
    </row>
    <row r="75" spans="1:9" x14ac:dyDescent="0.2">
      <c r="B75"/>
      <c r="C75"/>
      <c r="D75"/>
      <c r="E75"/>
      <c r="F75"/>
      <c r="G75"/>
      <c r="H75"/>
      <c r="I75"/>
    </row>
    <row r="76" spans="1:9" x14ac:dyDescent="0.2">
      <c r="B76"/>
      <c r="C76"/>
      <c r="D76"/>
      <c r="E76"/>
      <c r="F76"/>
      <c r="G76"/>
      <c r="H76"/>
      <c r="I76"/>
    </row>
    <row r="77" spans="1:9" x14ac:dyDescent="0.2">
      <c r="B77"/>
      <c r="C77"/>
      <c r="D77"/>
      <c r="E77"/>
      <c r="F77"/>
      <c r="G77"/>
      <c r="H77"/>
      <c r="I77"/>
    </row>
    <row r="78" spans="1:9" x14ac:dyDescent="0.2">
      <c r="B78"/>
      <c r="C78"/>
      <c r="D78"/>
      <c r="E78"/>
      <c r="F78"/>
      <c r="G78"/>
      <c r="H78"/>
      <c r="I78"/>
    </row>
    <row r="79" spans="1:9" x14ac:dyDescent="0.2">
      <c r="B79"/>
      <c r="C79"/>
      <c r="D79"/>
      <c r="E79"/>
      <c r="F79"/>
      <c r="G79"/>
      <c r="H79"/>
      <c r="I79"/>
    </row>
    <row r="80" spans="1:9" x14ac:dyDescent="0.2">
      <c r="B80"/>
      <c r="C80"/>
      <c r="D80"/>
      <c r="E80"/>
      <c r="F80"/>
      <c r="G80"/>
      <c r="H80"/>
      <c r="I80"/>
    </row>
    <row r="81" customFormat="1" x14ac:dyDescent="0.2"/>
    <row r="82" customFormat="1" x14ac:dyDescent="0.2"/>
    <row r="83" customFormat="1" x14ac:dyDescent="0.2"/>
    <row r="84" customFormat="1" x14ac:dyDescent="0.2"/>
    <row r="85" customFormat="1" x14ac:dyDescent="0.2"/>
    <row r="86" customFormat="1" x14ac:dyDescent="0.2"/>
    <row r="87" customFormat="1" x14ac:dyDescent="0.2"/>
  </sheetData>
  <mergeCells count="1">
    <mergeCell ref="B1:I1"/>
  </mergeCells>
  <phoneticPr fontId="0" type="noConversion"/>
  <pageMargins left="0.38" right="0.75" top="0.73" bottom="0.74" header="0.5" footer="0.5"/>
  <pageSetup scale="40" orientation="landscape" r:id="rId1"/>
  <headerFooter alignWithMargins="0">
    <oddFooter>&amp;L&amp;Z&amp;F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0">
    <pageSetUpPr fitToPage="1"/>
  </sheetPr>
  <dimension ref="A1:O50"/>
  <sheetViews>
    <sheetView workbookViewId="0">
      <selection activeCell="E9" sqref="E9"/>
    </sheetView>
  </sheetViews>
  <sheetFormatPr defaultRowHeight="12.75" x14ac:dyDescent="0.2"/>
  <cols>
    <col min="1" max="1" width="11" customWidth="1"/>
    <col min="2" max="2" width="14.140625" style="6" bestFit="1" customWidth="1"/>
    <col min="3" max="4" width="14.140625" style="6" customWidth="1"/>
    <col min="5" max="6" width="12.5703125" style="6" customWidth="1"/>
    <col min="7" max="7" width="13.42578125" customWidth="1"/>
    <col min="8" max="8" width="13" customWidth="1"/>
    <col min="9" max="9" width="13.42578125" customWidth="1"/>
    <col min="10" max="10" width="15.85546875" customWidth="1"/>
    <col min="11" max="11" width="17.28515625" customWidth="1"/>
    <col min="12" max="12" width="12.42578125" style="6" bestFit="1" customWidth="1"/>
    <col min="13" max="13" width="13.42578125" bestFit="1" customWidth="1"/>
    <col min="14" max="15" width="9.140625" style="6" customWidth="1"/>
  </cols>
  <sheetData>
    <row r="1" spans="1:12" ht="38.25" x14ac:dyDescent="0.2">
      <c r="B1" s="8" t="str">
        <f>'Rate Class Customer Model'!D2</f>
        <v>General Service 50 to 499 kW</v>
      </c>
      <c r="C1" s="8" t="str">
        <f>'Rate Class Customer Model'!E2</f>
        <v>General Service 500 to 1499 kW</v>
      </c>
      <c r="D1" s="8" t="str">
        <f>'Rate Class Customer Model'!F2</f>
        <v>General Service 1500-4999 kW</v>
      </c>
      <c r="E1" s="8" t="str">
        <f>'Rate Class Energy Model'!N2</f>
        <v>Sentinel Lighting</v>
      </c>
      <c r="F1" s="8" t="str">
        <f>'Rate Class Energy Model'!O2</f>
        <v xml:space="preserve">Street Lighting </v>
      </c>
      <c r="G1" s="52" t="s">
        <v>7</v>
      </c>
      <c r="L1" s="8"/>
    </row>
    <row r="2" spans="1:12" x14ac:dyDescent="0.2">
      <c r="A2" s="22">
        <f>+'Rate Class Customer Model'!A11</f>
        <v>2016</v>
      </c>
      <c r="B2" s="39">
        <f>SUMIF(Inputs!$A$24:$A$143,'Rate Class Load Model'!$A$2,Inputs!$K$24:$K$143)</f>
        <v>143222.89000000001</v>
      </c>
      <c r="C2" s="39">
        <f>SUMIF(Inputs!$A$24:$A$143,'Rate Class Load Model'!$A$2,Inputs!$N$24:$N$143)</f>
        <v>103435.35</v>
      </c>
      <c r="D2" s="39">
        <f>SUMIF(Inputs!$A$24:$A$143,'Rate Class Load Model'!$A$2,Inputs!$Q$24:$Q$143)</f>
        <v>72106.679999999993</v>
      </c>
      <c r="E2" s="39">
        <f>SUMIF(Inputs!A$24:A$143,'Rate Class Load Model'!A2,Inputs!W$24:W$143)</f>
        <v>282.01</v>
      </c>
      <c r="F2" s="39">
        <f>SUMIF(Inputs!$A$24:$A$143,'Rate Class Load Model'!$A$2,Inputs!$Z$24:$Z$143)</f>
        <v>3831.24</v>
      </c>
      <c r="G2" s="49">
        <f t="shared" ref="G2:G10" si="0">SUM(B2:F2)</f>
        <v>322878.17000000004</v>
      </c>
      <c r="L2" s="40"/>
    </row>
    <row r="3" spans="1:12" x14ac:dyDescent="0.2">
      <c r="A3" s="22">
        <f>+'Rate Class Customer Model'!A12</f>
        <v>2017</v>
      </c>
      <c r="B3" s="39">
        <f>SUMIF(Inputs!$A$24:$A$143,'Rate Class Load Model'!$A$3,Inputs!$K$24:$K$143)</f>
        <v>137627.43000000002</v>
      </c>
      <c r="C3" s="39">
        <f>SUMIF(Inputs!$A$24:$A$143,'Rate Class Load Model'!$A$3,Inputs!$N$24:$N$143)</f>
        <v>106160.91</v>
      </c>
      <c r="D3" s="39">
        <f>SUMIF(Inputs!$A$24:$A$143,'Rate Class Load Model'!$A$3,Inputs!$Q$24:$Q$143)</f>
        <v>68624.840000000011</v>
      </c>
      <c r="E3" s="39">
        <f>SUMIF(Inputs!A$24:A$143,'Rate Class Load Model'!A3,Inputs!W$24:W$143)</f>
        <v>262.84999999999997</v>
      </c>
      <c r="F3" s="39">
        <f>SUMIF(Inputs!$A$24:$A$143,'Rate Class Load Model'!$A$3,Inputs!$Z$24:$Z$143)</f>
        <v>3831.24</v>
      </c>
      <c r="G3" s="49">
        <f t="shared" si="0"/>
        <v>316507.27</v>
      </c>
      <c r="L3" s="40"/>
    </row>
    <row r="4" spans="1:12" x14ac:dyDescent="0.2">
      <c r="A4" s="22">
        <f>+'Rate Class Customer Model'!A13</f>
        <v>2018</v>
      </c>
      <c r="B4" s="39">
        <f>SUMIF(Inputs!$A$24:$A$143,'Rate Class Load Model'!$A$4,Inputs!$K$24:$K$143)</f>
        <v>131465.72999999998</v>
      </c>
      <c r="C4" s="39">
        <f>SUMIF(Inputs!$A$24:$A$143,'Rate Class Load Model'!$A$4,Inputs!$N$24:$N$143)</f>
        <v>113440.98000000003</v>
      </c>
      <c r="D4" s="39">
        <f>SUMIF(Inputs!$A$24:$A$143,'Rate Class Load Model'!$A$4,Inputs!$Q$24:$Q$143)</f>
        <v>66586</v>
      </c>
      <c r="E4" s="39">
        <f>SUMIF(Inputs!A$24:A$143,'Rate Class Load Model'!A4,Inputs!W$24:W$143)</f>
        <v>256.44</v>
      </c>
      <c r="F4" s="39">
        <f>SUMIF(Inputs!$A$24:$A$143,'Rate Class Load Model'!$A$4,Inputs!$Z$24:$Z$143)</f>
        <v>3043.83</v>
      </c>
      <c r="G4" s="49">
        <f t="shared" si="0"/>
        <v>314792.98000000004</v>
      </c>
      <c r="L4" s="40"/>
    </row>
    <row r="5" spans="1:12" x14ac:dyDescent="0.2">
      <c r="A5" s="22">
        <f>+'Rate Class Customer Model'!A14</f>
        <v>2019</v>
      </c>
      <c r="B5" s="39">
        <f>SUMIF(Inputs!$A$24:$A$143,'Rate Class Load Model'!$A$5,Inputs!$K$24:$K$143)</f>
        <v>131386.22</v>
      </c>
      <c r="C5" s="39">
        <f>SUMIF(Inputs!$A$24:$A$143,'Rate Class Load Model'!$A$5,Inputs!$N$24:$N$143)</f>
        <v>91315.26</v>
      </c>
      <c r="D5" s="39">
        <f>SUMIF(Inputs!$A$24:$A$143,'Rate Class Load Model'!$A$5,Inputs!$Q$24:$Q$143)</f>
        <v>60559.709999999992</v>
      </c>
      <c r="E5" s="39">
        <f>SUMIF(Inputs!A$24:A$143,'Rate Class Load Model'!A5,Inputs!W$24:W$143)</f>
        <v>216.62</v>
      </c>
      <c r="F5" s="39">
        <f>SUMIF(Inputs!$A$24:$A$143,'Rate Class Load Model'!$A$5,Inputs!$Z$24:$Z$143)</f>
        <v>1498</v>
      </c>
      <c r="G5" s="49">
        <f t="shared" si="0"/>
        <v>284975.80999999994</v>
      </c>
      <c r="L5" s="40"/>
    </row>
    <row r="6" spans="1:12" x14ac:dyDescent="0.2">
      <c r="A6" s="22">
        <f>+'Rate Class Customer Model'!A15</f>
        <v>2020</v>
      </c>
      <c r="B6" s="39">
        <f>SUMIF(Inputs!$A$24:$A$143,'Rate Class Load Model'!$A$6,Inputs!$K$24:$K$143)</f>
        <v>137702.44</v>
      </c>
      <c r="C6" s="39">
        <f>SUMIF(Inputs!$A$24:$A$143,'Rate Class Load Model'!$A$6,Inputs!$N$24:$N$143)</f>
        <v>76762.569999999992</v>
      </c>
      <c r="D6" s="39">
        <f>SUMIF(Inputs!$A$24:$A$143,'Rate Class Load Model'!$A$6,Inputs!$Q$24:$Q$143)</f>
        <v>53164.5</v>
      </c>
      <c r="E6" s="39">
        <f>SUMIF(Inputs!A$24:A$143,'Rate Class Load Model'!A6,Inputs!W$24:W$143)</f>
        <v>202.49</v>
      </c>
      <c r="F6" s="39">
        <f>SUMIF(Inputs!$A$24:$A$143,'Rate Class Load Model'!$A$6,Inputs!$Z$24:$Z$143)</f>
        <v>1416</v>
      </c>
      <c r="G6" s="49">
        <f t="shared" si="0"/>
        <v>269248</v>
      </c>
    </row>
    <row r="7" spans="1:12" x14ac:dyDescent="0.2">
      <c r="A7" s="22">
        <f>+'Rate Class Customer Model'!A16</f>
        <v>2021</v>
      </c>
      <c r="B7" s="39">
        <f>SUMIF(Inputs!$A$24:$A$143,'Rate Class Load Model'!$A$7,Inputs!$K$24:$K$143)</f>
        <v>146508.41</v>
      </c>
      <c r="C7" s="39">
        <f>SUMIF(Inputs!$A$24:$A$143,'Rate Class Load Model'!$A$7,Inputs!$N$24:$N$143)</f>
        <v>82836.580000000016</v>
      </c>
      <c r="D7" s="39">
        <f>SUMIF(Inputs!$A$24:$A$143,'Rate Class Load Model'!$A$7,Inputs!$Q$24:$Q$143)</f>
        <v>50923.430000000008</v>
      </c>
      <c r="E7" s="39">
        <f>SUMIF(Inputs!A$24:A$143,'Rate Class Load Model'!A7,Inputs!W$24:W$143)</f>
        <v>201.60999999999996</v>
      </c>
      <c r="F7" s="39">
        <f>SUMIF(Inputs!$A$24:$A$143,'Rate Class Load Model'!$A$7,Inputs!$Z$24:$Z$143)</f>
        <v>1646.5600000000004</v>
      </c>
      <c r="G7" s="49">
        <f t="shared" si="0"/>
        <v>282116.59000000003</v>
      </c>
    </row>
    <row r="8" spans="1:12" x14ac:dyDescent="0.2">
      <c r="A8" s="22">
        <f>+'Rate Class Customer Model'!A17</f>
        <v>2022</v>
      </c>
      <c r="B8" s="39">
        <f>SUMIF(Inputs!$A$24:$A$143,'Rate Class Load Model'!$A$8,Inputs!$K$24:$K$143)</f>
        <v>160486.38999999998</v>
      </c>
      <c r="C8" s="39">
        <f>SUMIF(Inputs!$A$24:$A$143,'Rate Class Load Model'!$A$8,Inputs!$N$24:$N$143)</f>
        <v>73360.160000000003</v>
      </c>
      <c r="D8" s="39">
        <f>SUMIF(Inputs!$A$24:$A$143,'Rate Class Load Model'!$A$8,Inputs!$Q$24:$Q$143)</f>
        <v>48074.27</v>
      </c>
      <c r="E8" s="39">
        <f>SUMIF(Inputs!A$24:A$143,'Rate Class Load Model'!A8,Inputs!W$24:W$143)</f>
        <v>201.57</v>
      </c>
      <c r="F8" s="39">
        <f>SUMIF(Inputs!$A$24:$A$143,'Rate Class Load Model'!$A$8,Inputs!$Z$24:$Z$143)</f>
        <v>1667.5200000000002</v>
      </c>
      <c r="G8" s="49">
        <f t="shared" si="0"/>
        <v>283789.91000000003</v>
      </c>
    </row>
    <row r="9" spans="1:12" x14ac:dyDescent="0.2">
      <c r="A9" s="22">
        <f>+'Rate Class Customer Model'!A18</f>
        <v>2023</v>
      </c>
      <c r="B9" s="39">
        <v>155346</v>
      </c>
      <c r="C9" s="39">
        <v>63195</v>
      </c>
      <c r="D9" s="39">
        <v>42690</v>
      </c>
      <c r="E9" s="39">
        <v>197.32265503190328</v>
      </c>
      <c r="F9" s="39">
        <v>1677</v>
      </c>
      <c r="G9" s="49">
        <f t="shared" si="0"/>
        <v>263105.32265503192</v>
      </c>
    </row>
    <row r="10" spans="1:12" x14ac:dyDescent="0.2">
      <c r="A10" s="22">
        <f>+'Rate Class Customer Model'!A19</f>
        <v>2024</v>
      </c>
      <c r="B10" s="23">
        <f>B22*'Rate Class Energy Model'!J26</f>
        <v>178666.26397063988</v>
      </c>
      <c r="C10" s="23">
        <f>C22*'Rate Class Energy Model'!K26</f>
        <v>62709.655889185429</v>
      </c>
      <c r="D10" s="23">
        <f>D22*'Rate Class Energy Model'!L26</f>
        <v>40956.753360783812</v>
      </c>
      <c r="E10" s="23">
        <f>E22*'Rate Class Energy Model'!N26</f>
        <v>197.32265503190328</v>
      </c>
      <c r="F10" s="23">
        <f>F22*'Rate Class Energy Model'!O26</f>
        <v>1735.4400770751936</v>
      </c>
      <c r="G10" s="49">
        <f t="shared" si="0"/>
        <v>284265.43595271627</v>
      </c>
      <c r="J10" s="36"/>
    </row>
    <row r="11" spans="1:12" x14ac:dyDescent="0.2">
      <c r="A11" s="14"/>
      <c r="J11" s="174" t="str">
        <f>Inputs!AE21</f>
        <v>General Service 50-499 kW _Shut Down</v>
      </c>
      <c r="K11" s="174"/>
    </row>
    <row r="12" spans="1:12" x14ac:dyDescent="0.2">
      <c r="A12" s="14" t="s">
        <v>51</v>
      </c>
      <c r="B12" s="5"/>
      <c r="C12" s="5"/>
      <c r="D12" s="5"/>
      <c r="E12" s="5"/>
      <c r="F12" s="5"/>
      <c r="J12" s="1" t="s">
        <v>53</v>
      </c>
      <c r="K12" s="1" t="s">
        <v>54</v>
      </c>
    </row>
    <row r="13" spans="1:12" x14ac:dyDescent="0.2">
      <c r="A13" s="22">
        <f t="shared" ref="A13:A20" si="1">+A2</f>
        <v>2016</v>
      </c>
      <c r="B13" s="53">
        <f>(B2-K13)/('Rate Class Energy Model'!J3-J13)</f>
        <v>3.5958145105638747E-3</v>
      </c>
      <c r="C13" s="53">
        <f>C2/'Rate Class Energy Model'!K3</f>
        <v>2.4555351538325986E-3</v>
      </c>
      <c r="D13" s="53">
        <f>D2/'Rate Class Energy Model'!L3</f>
        <v>2.0287710526284424E-3</v>
      </c>
      <c r="E13" s="53">
        <f>E2/'Rate Class Energy Model'!N3</f>
        <v>2.7475388721558015E-3</v>
      </c>
      <c r="F13" s="53">
        <f>F2/'Rate Class Energy Model'!O3</f>
        <v>2.683662175765919E-3</v>
      </c>
      <c r="I13">
        <v>2016</v>
      </c>
      <c r="J13" s="6">
        <f>'Power Purchased Model'!O116</f>
        <v>15515215.030000001</v>
      </c>
      <c r="K13" s="6">
        <f>SUM(Inputs!AF60:AF71)</f>
        <v>38390.86</v>
      </c>
      <c r="L13" s="20"/>
    </row>
    <row r="14" spans="1:12" x14ac:dyDescent="0.2">
      <c r="A14" s="22">
        <f t="shared" si="1"/>
        <v>2017</v>
      </c>
      <c r="B14" s="53">
        <f>(B3-K14)/('Rate Class Energy Model'!J4-J14)</f>
        <v>3.5948096270199091E-3</v>
      </c>
      <c r="C14" s="53">
        <f>C3/'Rate Class Energy Model'!K4</f>
        <v>2.7018189471110475E-3</v>
      </c>
      <c r="D14" s="53">
        <f>D3/'Rate Class Energy Model'!L4</f>
        <v>2.2298276257246719E-3</v>
      </c>
      <c r="E14" s="53">
        <f>E3/'Rate Class Energy Model'!N4</f>
        <v>2.6713174793495009E-3</v>
      </c>
      <c r="F14" s="53">
        <f>F3/'Rate Class Energy Model'!O4</f>
        <v>2.6926926838282284E-3</v>
      </c>
      <c r="I14">
        <v>2017</v>
      </c>
      <c r="J14" s="6">
        <f>'Power Purchased Model'!O117</f>
        <v>13850995.209999999</v>
      </c>
      <c r="K14" s="6">
        <f>SUM(Inputs!AF72:AF83)</f>
        <v>34303.189999999995</v>
      </c>
      <c r="L14" s="20"/>
    </row>
    <row r="15" spans="1:12" x14ac:dyDescent="0.2">
      <c r="A15" s="22">
        <f t="shared" si="1"/>
        <v>2018</v>
      </c>
      <c r="B15" s="53">
        <f>(B4-K15)/('Rate Class Energy Model'!J5-J15)</f>
        <v>3.2128227171018767E-3</v>
      </c>
      <c r="C15" s="53">
        <f>C4/'Rate Class Energy Model'!K5</f>
        <v>3.0721814589578247E-3</v>
      </c>
      <c r="D15" s="53">
        <f>D4/'Rate Class Energy Model'!L5</f>
        <v>2.3210786293680228E-3</v>
      </c>
      <c r="E15" s="53">
        <f>E4/'Rate Class Energy Model'!N5</f>
        <v>2.6764196718724511E-3</v>
      </c>
      <c r="F15" s="53">
        <f>F4/'Rate Class Energy Model'!O5</f>
        <v>2.7246840514798549E-3</v>
      </c>
      <c r="I15">
        <v>2018</v>
      </c>
      <c r="J15" s="6">
        <f>'Power Purchased Model'!O118</f>
        <v>9550436.8200000022</v>
      </c>
      <c r="K15" s="6">
        <f>SUM(Inputs!AF84:AF95)</f>
        <v>25942.52</v>
      </c>
      <c r="L15" s="20"/>
    </row>
    <row r="16" spans="1:12" x14ac:dyDescent="0.2">
      <c r="A16" s="22">
        <f t="shared" si="1"/>
        <v>2019</v>
      </c>
      <c r="B16" s="53">
        <f>(B5-K16)/('Rate Class Energy Model'!J6-J16)</f>
        <v>3.0020825770387194E-3</v>
      </c>
      <c r="C16" s="53">
        <f>C5/'Rate Class Energy Model'!K6</f>
        <v>3.2428293138747413E-3</v>
      </c>
      <c r="D16" s="53">
        <f>D5/'Rate Class Energy Model'!L6</f>
        <v>2.2664217412501626E-3</v>
      </c>
      <c r="E16" s="53">
        <f>E5/'Rate Class Energy Model'!N6</f>
        <v>2.7198427608952857E-3</v>
      </c>
      <c r="F16" s="53">
        <f>F5/'Rate Class Energy Model'!O6</f>
        <v>2.7453395204269388E-3</v>
      </c>
      <c r="I16">
        <v>2019</v>
      </c>
      <c r="J16" s="6">
        <f>'Power Purchased Model'!O119</f>
        <v>2612047.5700000003</v>
      </c>
      <c r="K16" s="6">
        <f>SUM(Inputs!AF96:AF107)</f>
        <v>10962.59</v>
      </c>
      <c r="L16" s="20"/>
    </row>
    <row r="17" spans="1:12" x14ac:dyDescent="0.2">
      <c r="A17" s="22">
        <f t="shared" si="1"/>
        <v>2020</v>
      </c>
      <c r="B17" s="53">
        <f>(B6-K17)/('Rate Class Energy Model'!J7-J17)</f>
        <v>3.0585819790253884E-3</v>
      </c>
      <c r="C17" s="53">
        <f>C6/'Rate Class Energy Model'!K7</f>
        <v>3.0531496572583955E-3</v>
      </c>
      <c r="D17" s="53">
        <f>D6/'Rate Class Energy Model'!L7</f>
        <v>2.5852195880349048E-3</v>
      </c>
      <c r="E17" s="53">
        <f>E6/'Rate Class Energy Model'!N7</f>
        <v>2.6995722333217529E-3</v>
      </c>
      <c r="F17" s="53">
        <f>F6/'Rate Class Energy Model'!O7</f>
        <v>2.6836632002683663E-3</v>
      </c>
      <c r="I17">
        <v>2020</v>
      </c>
      <c r="J17" s="6">
        <f>'Power Purchased Model'!O120</f>
        <v>1868303.8099999998</v>
      </c>
      <c r="K17" s="6">
        <f>SUM(Inputs!AF108:AF119)</f>
        <v>9485.81</v>
      </c>
      <c r="L17" s="20"/>
    </row>
    <row r="18" spans="1:12" x14ac:dyDescent="0.2">
      <c r="A18" s="22">
        <f t="shared" si="1"/>
        <v>2021</v>
      </c>
      <c r="B18" s="53">
        <f>(B7-K18)/('Rate Class Energy Model'!J8-J18)</f>
        <v>3.0732433015882052E-3</v>
      </c>
      <c r="C18" s="53">
        <f>C7/'Rate Class Energy Model'!K8</f>
        <v>3.0616729212468072E-3</v>
      </c>
      <c r="D18" s="53">
        <f>D7/'Rate Class Energy Model'!L8</f>
        <v>2.7527314586887493E-3</v>
      </c>
      <c r="E18" s="53">
        <f>E7/'Rate Class Energy Model'!N8</f>
        <v>2.7832077086611994E-3</v>
      </c>
      <c r="F18" s="53">
        <f>F7/'Rate Class Energy Model'!O8</f>
        <v>2.7110069490133919E-3</v>
      </c>
      <c r="I18">
        <v>2021</v>
      </c>
      <c r="J18" s="6">
        <f>'Power Purchased Model'!O121</f>
        <v>3109565.6599999992</v>
      </c>
      <c r="K18" s="6">
        <f>SUM(Inputs!AF120:AF131)</f>
        <v>12390.000000000002</v>
      </c>
      <c r="L18" s="20"/>
    </row>
    <row r="19" spans="1:12" x14ac:dyDescent="0.2">
      <c r="A19" s="22">
        <f t="shared" si="1"/>
        <v>2022</v>
      </c>
      <c r="B19" s="53">
        <f>(B8-K19)/('Rate Class Energy Model'!J9-J19)</f>
        <v>2.9113521920858493E-3</v>
      </c>
      <c r="C19" s="53">
        <f>C8/'Rate Class Energy Model'!K9</f>
        <v>3.1729516791273839E-3</v>
      </c>
      <c r="D19" s="53">
        <f>D8/'Rate Class Energy Model'!L9</f>
        <v>2.7007784329047841E-3</v>
      </c>
      <c r="E19" s="53">
        <f>E8/'Rate Class Energy Model'!N9</f>
        <v>2.7960366385250479E-3</v>
      </c>
      <c r="F19" s="53">
        <f>F8/'Rate Class Energy Model'!O9</f>
        <v>2.691186364655753E-3</v>
      </c>
      <c r="I19">
        <v>2022</v>
      </c>
      <c r="J19" s="6">
        <f>'Power Purchased Model'!O122</f>
        <v>2522033.3000000007</v>
      </c>
      <c r="K19" s="6">
        <f>SUM(Inputs!AF132:AF143)</f>
        <v>10384.41</v>
      </c>
      <c r="L19" s="20"/>
    </row>
    <row r="20" spans="1:12" x14ac:dyDescent="0.2">
      <c r="A20" s="22">
        <f t="shared" si="1"/>
        <v>2023</v>
      </c>
      <c r="B20" s="53">
        <f>(B9-K20)/('Rate Class Energy Model'!J10-J20)</f>
        <v>2.7161930731988558E-3</v>
      </c>
      <c r="C20" s="53">
        <f>C9/'Rate Class Energy Model'!K10</f>
        <v>2.9410086577673017E-3</v>
      </c>
      <c r="D20" s="53">
        <f>D9/'Rate Class Energy Model'!L10</f>
        <v>2.511107045864026E-3</v>
      </c>
      <c r="E20" s="53">
        <f>E9/'Rate Class Energy Model'!N10</f>
        <v>2.7277050521115767E-3</v>
      </c>
      <c r="F20" s="53">
        <f>F9/'Rate Class Energy Model'!O10</f>
        <v>2.6010162109847568E-3</v>
      </c>
      <c r="I20">
        <v>2023</v>
      </c>
      <c r="J20" s="106">
        <v>0</v>
      </c>
      <c r="K20" s="106">
        <v>0</v>
      </c>
    </row>
    <row r="21" spans="1:12" x14ac:dyDescent="0.2">
      <c r="J21" s="36"/>
      <c r="K21" s="36"/>
    </row>
    <row r="22" spans="1:12" x14ac:dyDescent="0.2">
      <c r="A22" s="43" t="s">
        <v>50</v>
      </c>
      <c r="B22" s="20">
        <f>B24</f>
        <v>3.1456124972028352E-3</v>
      </c>
      <c r="C22" s="20">
        <f t="shared" ref="C22:D22" si="2">C24</f>
        <v>2.9626434736470123E-3</v>
      </c>
      <c r="D22" s="20">
        <f t="shared" si="2"/>
        <v>2.4244919468079705E-3</v>
      </c>
      <c r="E22" s="20">
        <f t="shared" ref="E22:F22" si="3">E24</f>
        <v>2.7277050521115767E-3</v>
      </c>
      <c r="F22" s="20">
        <f t="shared" si="3"/>
        <v>2.6916563945529005E-3</v>
      </c>
    </row>
    <row r="23" spans="1:12" x14ac:dyDescent="0.2">
      <c r="J23" s="36"/>
      <c r="K23" s="36"/>
    </row>
    <row r="24" spans="1:12" x14ac:dyDescent="0.2">
      <c r="A24" t="s">
        <v>9</v>
      </c>
      <c r="B24" s="20">
        <f>AVERAGE(B13:B20)</f>
        <v>3.1456124972028352E-3</v>
      </c>
      <c r="C24" s="20">
        <f t="shared" ref="C24:F24" si="4">AVERAGE(C13:C20)</f>
        <v>2.9626434736470123E-3</v>
      </c>
      <c r="D24" s="20">
        <f t="shared" si="4"/>
        <v>2.4244919468079705E-3</v>
      </c>
      <c r="E24" s="20">
        <f>AVERAGE(E13:E20)</f>
        <v>2.7277050521115767E-3</v>
      </c>
      <c r="F24" s="20">
        <f t="shared" si="4"/>
        <v>2.6916563945529005E-3</v>
      </c>
      <c r="K24" s="20"/>
      <c r="L24" s="20"/>
    </row>
    <row r="27" spans="1:12" x14ac:dyDescent="0.2">
      <c r="B27" s="60"/>
      <c r="C27" s="60"/>
      <c r="D27" s="60"/>
      <c r="E27" s="60"/>
      <c r="F27" s="60"/>
    </row>
    <row r="29" spans="1:12" x14ac:dyDescent="0.2">
      <c r="B29" s="19"/>
      <c r="C29" s="19"/>
      <c r="D29" s="19"/>
      <c r="E29" s="19"/>
      <c r="F29" s="19"/>
    </row>
    <row r="30" spans="1:12" x14ac:dyDescent="0.2">
      <c r="B30" s="19"/>
      <c r="C30" s="19"/>
      <c r="D30" s="19"/>
      <c r="E30" s="19"/>
      <c r="F30" s="19"/>
    </row>
    <row r="49" spans="2:6" x14ac:dyDescent="0.2">
      <c r="B49" s="13"/>
      <c r="C49" s="13"/>
      <c r="D49" s="13"/>
      <c r="E49" s="13"/>
      <c r="F49" s="13"/>
    </row>
    <row r="50" spans="2:6" x14ac:dyDescent="0.2">
      <c r="B50" s="13"/>
      <c r="C50" s="13"/>
      <c r="D50" s="13"/>
      <c r="E50" s="13"/>
      <c r="F50" s="13"/>
    </row>
  </sheetData>
  <mergeCells count="1">
    <mergeCell ref="J11:K11"/>
  </mergeCells>
  <phoneticPr fontId="0" type="noConversion"/>
  <pageMargins left="0.38" right="0.75" top="0.73" bottom="0.74" header="0.5" footer="0.5"/>
  <pageSetup orientation="landscape" r:id="rId1"/>
  <headerFooter alignWithMargins="0">
    <oddFooter>&amp;L&amp;Z&amp;F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S43"/>
  <sheetViews>
    <sheetView topLeftCell="A19" workbookViewId="0">
      <selection activeCell="P1" sqref="P1:Q1048576"/>
    </sheetView>
  </sheetViews>
  <sheetFormatPr defaultRowHeight="12.75" x14ac:dyDescent="0.2"/>
  <cols>
    <col min="13" max="14" width="9.85546875" bestFit="1" customWidth="1"/>
    <col min="16" max="16" width="8.85546875" customWidth="1"/>
  </cols>
  <sheetData>
    <row r="1" spans="1:14" x14ac:dyDescent="0.2">
      <c r="A1" s="14" t="s">
        <v>128</v>
      </c>
    </row>
    <row r="2" spans="1:14" x14ac:dyDescent="0.2">
      <c r="A2" s="146"/>
    </row>
    <row r="3" spans="1:14" x14ac:dyDescent="0.2">
      <c r="A3" s="147" t="s">
        <v>129</v>
      </c>
    </row>
    <row r="4" spans="1:14" x14ac:dyDescent="0.2">
      <c r="A4" s="148"/>
    </row>
    <row r="5" spans="1:14" x14ac:dyDescent="0.2">
      <c r="A5" s="149" t="s">
        <v>103</v>
      </c>
      <c r="B5" s="149">
        <f t="shared" ref="B5:L5" si="0">B24</f>
        <v>2013</v>
      </c>
      <c r="C5" s="149">
        <f t="shared" si="0"/>
        <v>2014</v>
      </c>
      <c r="D5" s="149">
        <f t="shared" si="0"/>
        <v>2015</v>
      </c>
      <c r="E5" s="149">
        <f t="shared" si="0"/>
        <v>2016</v>
      </c>
      <c r="F5" s="149">
        <f t="shared" si="0"/>
        <v>2017</v>
      </c>
      <c r="G5" s="149">
        <f t="shared" si="0"/>
        <v>2018</v>
      </c>
      <c r="H5" s="149">
        <f t="shared" si="0"/>
        <v>2019</v>
      </c>
      <c r="I5" s="149">
        <f t="shared" si="0"/>
        <v>2020</v>
      </c>
      <c r="J5" s="149">
        <f t="shared" si="0"/>
        <v>2021</v>
      </c>
      <c r="K5" s="149">
        <f t="shared" si="0"/>
        <v>2022</v>
      </c>
      <c r="L5" s="149">
        <f t="shared" si="0"/>
        <v>2023</v>
      </c>
      <c r="M5" s="150" t="s">
        <v>132</v>
      </c>
      <c r="N5" s="150" t="s">
        <v>130</v>
      </c>
    </row>
    <row r="6" spans="1:14" x14ac:dyDescent="0.2">
      <c r="A6" s="148"/>
    </row>
    <row r="7" spans="1:14" x14ac:dyDescent="0.2">
      <c r="A7" s="151"/>
    </row>
    <row r="8" spans="1:14" x14ac:dyDescent="0.2">
      <c r="A8" s="151" t="s">
        <v>78</v>
      </c>
      <c r="B8" s="152">
        <v>620.79999999999995</v>
      </c>
      <c r="C8" s="152">
        <v>852.0999999999998</v>
      </c>
      <c r="D8" s="152">
        <v>829.49999999999989</v>
      </c>
      <c r="E8" s="152">
        <v>699.50000000000023</v>
      </c>
      <c r="F8" s="152">
        <v>605.4</v>
      </c>
      <c r="G8" s="152">
        <v>764.80000000000007</v>
      </c>
      <c r="H8" s="152">
        <v>778.9</v>
      </c>
      <c r="I8" s="152">
        <v>602.6</v>
      </c>
      <c r="J8" s="152">
        <v>615.30000000000007</v>
      </c>
      <c r="K8" s="152">
        <v>824.49999999999989</v>
      </c>
      <c r="L8" s="152">
        <v>545.69999999999993</v>
      </c>
      <c r="M8" s="153">
        <f>AVERAGE(E8:K8)</f>
        <v>698.71428571428567</v>
      </c>
      <c r="N8" s="153">
        <f>AVERAGE(B8:K8)</f>
        <v>719.33999999999992</v>
      </c>
    </row>
    <row r="9" spans="1:14" x14ac:dyDescent="0.2">
      <c r="A9" s="151" t="s">
        <v>79</v>
      </c>
      <c r="B9" s="152">
        <v>651.29999999999995</v>
      </c>
      <c r="C9" s="152">
        <v>800.7</v>
      </c>
      <c r="D9" s="152">
        <v>884.09999999999991</v>
      </c>
      <c r="E9" s="152">
        <v>603.99999999999989</v>
      </c>
      <c r="F9" s="152">
        <v>507.69999999999993</v>
      </c>
      <c r="G9" s="152">
        <v>585</v>
      </c>
      <c r="H9" s="152">
        <v>636.20000000000005</v>
      </c>
      <c r="I9" s="152">
        <v>602.69999999999993</v>
      </c>
      <c r="J9" s="152">
        <v>692.7</v>
      </c>
      <c r="K9" s="152">
        <v>635.30000000000018</v>
      </c>
      <c r="L9" s="152">
        <v>534.49999999999989</v>
      </c>
      <c r="M9" s="153">
        <f t="shared" ref="M9:M19" si="1">AVERAGE(E9:K9)</f>
        <v>609.08571428571418</v>
      </c>
      <c r="N9" s="153">
        <f t="shared" ref="N9:N19" si="2">AVERAGE(B9:K9)</f>
        <v>659.97</v>
      </c>
    </row>
    <row r="10" spans="1:14" x14ac:dyDescent="0.2">
      <c r="A10" s="151" t="s">
        <v>80</v>
      </c>
      <c r="B10" s="152">
        <v>593.4</v>
      </c>
      <c r="C10" s="152">
        <v>726</v>
      </c>
      <c r="D10" s="152">
        <v>651.70000000000005</v>
      </c>
      <c r="E10" s="152">
        <v>466.50000000000006</v>
      </c>
      <c r="F10" s="152">
        <v>568.4</v>
      </c>
      <c r="G10" s="152">
        <v>591.50000000000011</v>
      </c>
      <c r="H10" s="152">
        <v>617</v>
      </c>
      <c r="I10" s="152">
        <v>463.4</v>
      </c>
      <c r="J10" s="152">
        <v>456</v>
      </c>
      <c r="K10" s="152">
        <v>499.2</v>
      </c>
      <c r="L10" s="152">
        <v>556.09999999999991</v>
      </c>
      <c r="M10" s="153">
        <f t="shared" si="1"/>
        <v>523.14285714285711</v>
      </c>
      <c r="N10" s="153">
        <f t="shared" si="2"/>
        <v>563.30999999999995</v>
      </c>
    </row>
    <row r="11" spans="1:14" x14ac:dyDescent="0.2">
      <c r="A11" s="151" t="s">
        <v>81</v>
      </c>
      <c r="B11" s="152">
        <v>347.5</v>
      </c>
      <c r="C11" s="152">
        <v>359.59999999999997</v>
      </c>
      <c r="D11" s="152">
        <v>340.09999999999997</v>
      </c>
      <c r="E11" s="152">
        <v>391.09999999999997</v>
      </c>
      <c r="F11" s="152">
        <v>255.80000000000004</v>
      </c>
      <c r="G11" s="152">
        <v>454.2000000000001</v>
      </c>
      <c r="H11" s="152">
        <v>346.60000000000014</v>
      </c>
      <c r="I11" s="152">
        <v>381.59999999999997</v>
      </c>
      <c r="J11" s="152">
        <v>302.70000000000005</v>
      </c>
      <c r="K11" s="152">
        <v>371.9</v>
      </c>
      <c r="L11" s="152">
        <v>290.59999999999997</v>
      </c>
      <c r="M11" s="153">
        <f t="shared" si="1"/>
        <v>357.7</v>
      </c>
      <c r="N11" s="153">
        <f t="shared" si="2"/>
        <v>355.11</v>
      </c>
    </row>
    <row r="12" spans="1:14" x14ac:dyDescent="0.2">
      <c r="A12" s="151" t="s">
        <v>52</v>
      </c>
      <c r="B12" s="152">
        <v>117.60000000000002</v>
      </c>
      <c r="C12" s="152">
        <v>147.69999999999996</v>
      </c>
      <c r="D12" s="152">
        <v>106.7</v>
      </c>
      <c r="E12" s="152">
        <v>148.19999999999996</v>
      </c>
      <c r="F12" s="152">
        <v>194.60000000000002</v>
      </c>
      <c r="G12" s="152">
        <v>83.5</v>
      </c>
      <c r="H12" s="152">
        <v>184.20000000000002</v>
      </c>
      <c r="I12" s="152">
        <v>213.39999999999995</v>
      </c>
      <c r="J12" s="152">
        <v>175.60000000000005</v>
      </c>
      <c r="K12" s="152">
        <v>120.5</v>
      </c>
      <c r="L12" s="152">
        <v>153</v>
      </c>
      <c r="M12" s="153">
        <f t="shared" si="1"/>
        <v>160</v>
      </c>
      <c r="N12" s="153">
        <f t="shared" si="2"/>
        <v>149.19999999999999</v>
      </c>
    </row>
    <row r="13" spans="1:14" x14ac:dyDescent="0.2">
      <c r="A13" s="151" t="s">
        <v>82</v>
      </c>
      <c r="B13" s="152">
        <v>47</v>
      </c>
      <c r="C13" s="152">
        <v>21</v>
      </c>
      <c r="D13" s="152">
        <v>33.300000000000004</v>
      </c>
      <c r="E13" s="152">
        <v>42.5</v>
      </c>
      <c r="F13" s="152">
        <v>37.400000000000006</v>
      </c>
      <c r="G13" s="152">
        <v>22.600000000000005</v>
      </c>
      <c r="H13" s="152">
        <v>37.800000000000004</v>
      </c>
      <c r="I13" s="152">
        <v>33.9</v>
      </c>
      <c r="J13" s="152">
        <v>20.799999999999997</v>
      </c>
      <c r="K13" s="152">
        <v>36.700000000000003</v>
      </c>
      <c r="L13" s="152">
        <v>34.9</v>
      </c>
      <c r="M13" s="153">
        <f t="shared" si="1"/>
        <v>33.1</v>
      </c>
      <c r="N13" s="153">
        <f t="shared" si="2"/>
        <v>33.299999999999997</v>
      </c>
    </row>
    <row r="14" spans="1:14" x14ac:dyDescent="0.2">
      <c r="A14" s="151" t="s">
        <v>83</v>
      </c>
      <c r="B14" s="152">
        <v>8.3000000000000007</v>
      </c>
      <c r="C14" s="152">
        <v>26.799999999999997</v>
      </c>
      <c r="D14" s="152">
        <v>10.499999999999998</v>
      </c>
      <c r="E14" s="152">
        <v>4.4000000000000004</v>
      </c>
      <c r="F14" s="152">
        <v>0.8</v>
      </c>
      <c r="G14" s="152">
        <v>3.6</v>
      </c>
      <c r="H14" s="152">
        <v>0</v>
      </c>
      <c r="I14" s="152">
        <v>0</v>
      </c>
      <c r="J14" s="152">
        <v>6</v>
      </c>
      <c r="K14" s="152">
        <v>0.9</v>
      </c>
      <c r="L14" s="152">
        <v>2.4</v>
      </c>
      <c r="M14" s="153">
        <f t="shared" si="1"/>
        <v>2.2428571428571429</v>
      </c>
      <c r="N14" s="153">
        <f t="shared" si="2"/>
        <v>6.129999999999999</v>
      </c>
    </row>
    <row r="15" spans="1:14" x14ac:dyDescent="0.2">
      <c r="A15" s="151" t="s">
        <v>84</v>
      </c>
      <c r="B15" s="152">
        <v>23.3</v>
      </c>
      <c r="C15" s="152">
        <v>19.3</v>
      </c>
      <c r="D15" s="152">
        <v>19.600000000000001</v>
      </c>
      <c r="E15" s="152">
        <v>0.7</v>
      </c>
      <c r="F15" s="152">
        <v>23.500000000000004</v>
      </c>
      <c r="G15" s="152">
        <v>3.5999999999999996</v>
      </c>
      <c r="H15" s="152">
        <v>11.099999999999998</v>
      </c>
      <c r="I15" s="152">
        <v>5.6</v>
      </c>
      <c r="J15" s="152">
        <v>2.2999999999999998</v>
      </c>
      <c r="K15" s="152">
        <v>2.2000000000000002</v>
      </c>
      <c r="L15" s="152">
        <v>19.8</v>
      </c>
      <c r="M15" s="153">
        <f t="shared" si="1"/>
        <v>7.0000000000000009</v>
      </c>
      <c r="N15" s="153">
        <f t="shared" si="2"/>
        <v>11.12</v>
      </c>
    </row>
    <row r="16" spans="1:14" x14ac:dyDescent="0.2">
      <c r="A16" s="151" t="s">
        <v>85</v>
      </c>
      <c r="B16" s="152">
        <v>103.4</v>
      </c>
      <c r="C16" s="152">
        <v>92.799999999999983</v>
      </c>
      <c r="D16" s="152">
        <v>36.099999999999994</v>
      </c>
      <c r="E16" s="152">
        <v>40.9</v>
      </c>
      <c r="F16" s="152">
        <v>71.399999999999991</v>
      </c>
      <c r="G16" s="152">
        <v>68.699999999999989</v>
      </c>
      <c r="H16" s="152">
        <v>47.999999999999986</v>
      </c>
      <c r="I16" s="152">
        <v>91.6</v>
      </c>
      <c r="J16" s="152">
        <v>58.4</v>
      </c>
      <c r="K16" s="152">
        <v>69.899999999999991</v>
      </c>
      <c r="L16" s="152">
        <v>52.500000000000007</v>
      </c>
      <c r="M16" s="153">
        <f t="shared" si="1"/>
        <v>64.128571428571405</v>
      </c>
      <c r="N16" s="153">
        <f t="shared" si="2"/>
        <v>68.11999999999999</v>
      </c>
    </row>
    <row r="17" spans="1:19" x14ac:dyDescent="0.2">
      <c r="A17" s="151" t="s">
        <v>86</v>
      </c>
      <c r="B17" s="152">
        <v>217.6</v>
      </c>
      <c r="C17" s="152">
        <v>253.09999999999997</v>
      </c>
      <c r="D17" s="152">
        <v>261.09999999999997</v>
      </c>
      <c r="E17" s="152">
        <v>212.90000000000003</v>
      </c>
      <c r="F17" s="152">
        <v>184.39999999999998</v>
      </c>
      <c r="G17" s="152">
        <v>293.89999999999998</v>
      </c>
      <c r="H17" s="152">
        <v>248.3</v>
      </c>
      <c r="I17" s="152">
        <v>273.00000000000006</v>
      </c>
      <c r="J17" s="152">
        <v>157.30000000000001</v>
      </c>
      <c r="K17" s="152">
        <v>254</v>
      </c>
      <c r="L17" s="152">
        <v>210.69999999999996</v>
      </c>
      <c r="M17" s="153">
        <f t="shared" si="1"/>
        <v>231.97142857142856</v>
      </c>
      <c r="N17" s="153">
        <f t="shared" si="2"/>
        <v>235.56</v>
      </c>
    </row>
    <row r="18" spans="1:19" x14ac:dyDescent="0.2">
      <c r="A18" s="151" t="s">
        <v>87</v>
      </c>
      <c r="B18" s="152">
        <v>499.59999999999997</v>
      </c>
      <c r="C18" s="152">
        <v>509.80000000000013</v>
      </c>
      <c r="D18" s="152">
        <v>358.5</v>
      </c>
      <c r="E18" s="152">
        <v>364.5</v>
      </c>
      <c r="F18" s="152">
        <v>447.5</v>
      </c>
      <c r="G18" s="152">
        <v>526.9</v>
      </c>
      <c r="H18" s="152">
        <v>527.1</v>
      </c>
      <c r="I18" s="152">
        <v>354.3</v>
      </c>
      <c r="J18" s="152">
        <v>447.7000000000001</v>
      </c>
      <c r="K18" s="152">
        <v>401.29999999999995</v>
      </c>
      <c r="L18" s="152">
        <v>448.1</v>
      </c>
      <c r="M18" s="153">
        <f t="shared" si="1"/>
        <v>438.47142857142859</v>
      </c>
      <c r="N18" s="153">
        <f t="shared" si="2"/>
        <v>443.72000000000008</v>
      </c>
    </row>
    <row r="19" spans="1:19" x14ac:dyDescent="0.2">
      <c r="A19" s="151" t="s">
        <v>88</v>
      </c>
      <c r="B19" s="152">
        <v>694.6</v>
      </c>
      <c r="C19" s="152">
        <v>573.49999999999989</v>
      </c>
      <c r="D19" s="152">
        <v>452.59999999999997</v>
      </c>
      <c r="E19" s="152">
        <v>645.10000000000014</v>
      </c>
      <c r="F19" s="152">
        <v>730</v>
      </c>
      <c r="G19" s="152">
        <v>573.5</v>
      </c>
      <c r="H19" s="152">
        <v>535.89999999999986</v>
      </c>
      <c r="I19" s="152">
        <v>567.59999999999991</v>
      </c>
      <c r="J19" s="152">
        <v>515.4</v>
      </c>
      <c r="K19" s="152">
        <v>557.30000000000007</v>
      </c>
      <c r="L19" s="152">
        <v>462.29999999999995</v>
      </c>
      <c r="M19" s="153">
        <f t="shared" si="1"/>
        <v>589.25714285714287</v>
      </c>
      <c r="N19" s="153">
        <f t="shared" si="2"/>
        <v>584.54999999999995</v>
      </c>
    </row>
    <row r="20" spans="1:19" x14ac:dyDescent="0.2">
      <c r="A20" s="151" t="s">
        <v>7</v>
      </c>
      <c r="B20" s="152">
        <f t="shared" ref="B20:L20" si="3">SUM(B8:B19)</f>
        <v>3924.4</v>
      </c>
      <c r="C20" s="152">
        <f t="shared" si="3"/>
        <v>4382.3999999999996</v>
      </c>
      <c r="D20" s="152">
        <f t="shared" si="3"/>
        <v>3983.7999999999997</v>
      </c>
      <c r="E20" s="152">
        <f t="shared" si="3"/>
        <v>3620.3</v>
      </c>
      <c r="F20" s="152">
        <f t="shared" si="3"/>
        <v>3626.9000000000005</v>
      </c>
      <c r="G20" s="152">
        <f t="shared" si="3"/>
        <v>3971.8</v>
      </c>
      <c r="H20" s="152">
        <f t="shared" si="3"/>
        <v>3971.0999999999995</v>
      </c>
      <c r="I20" s="152">
        <f t="shared" si="3"/>
        <v>3589.7</v>
      </c>
      <c r="J20" s="152">
        <f t="shared" si="3"/>
        <v>3450.2000000000007</v>
      </c>
      <c r="K20" s="152">
        <f t="shared" si="3"/>
        <v>3773.7</v>
      </c>
      <c r="L20" s="152">
        <f t="shared" si="3"/>
        <v>3310.5999999999995</v>
      </c>
    </row>
    <row r="22" spans="1:19" x14ac:dyDescent="0.2">
      <c r="A22" s="147" t="s">
        <v>131</v>
      </c>
    </row>
    <row r="23" spans="1:19" x14ac:dyDescent="0.2">
      <c r="A23" s="148"/>
    </row>
    <row r="24" spans="1:19" x14ac:dyDescent="0.2">
      <c r="A24" s="149" t="s">
        <v>103</v>
      </c>
      <c r="B24" s="149">
        <v>2013</v>
      </c>
      <c r="C24" s="149">
        <v>2014</v>
      </c>
      <c r="D24" s="149">
        <v>2015</v>
      </c>
      <c r="E24" s="149">
        <v>2016</v>
      </c>
      <c r="F24" s="149">
        <v>2017</v>
      </c>
      <c r="G24" s="149">
        <v>2018</v>
      </c>
      <c r="H24" s="149">
        <v>2019</v>
      </c>
      <c r="I24" s="149">
        <v>2020</v>
      </c>
      <c r="J24" s="149">
        <v>2021</v>
      </c>
      <c r="K24" s="149">
        <v>2022</v>
      </c>
      <c r="L24" s="149">
        <v>2023</v>
      </c>
      <c r="M24" s="150" t="s">
        <v>132</v>
      </c>
      <c r="N24" s="150" t="s">
        <v>130</v>
      </c>
    </row>
    <row r="25" spans="1:19" x14ac:dyDescent="0.2">
      <c r="A25" s="148"/>
      <c r="M25" s="154"/>
      <c r="N25" s="154"/>
    </row>
    <row r="26" spans="1:19" x14ac:dyDescent="0.2">
      <c r="M26" s="154"/>
      <c r="N26" s="154"/>
    </row>
    <row r="27" spans="1:19" x14ac:dyDescent="0.2">
      <c r="A27" s="151" t="s">
        <v>78</v>
      </c>
      <c r="B27" s="152">
        <v>0</v>
      </c>
      <c r="C27" s="152">
        <v>0</v>
      </c>
      <c r="D27" s="152">
        <v>0</v>
      </c>
      <c r="E27" s="152">
        <v>0</v>
      </c>
      <c r="F27" s="152">
        <v>0</v>
      </c>
      <c r="G27" s="152">
        <v>0</v>
      </c>
      <c r="H27" s="152">
        <v>0</v>
      </c>
      <c r="I27" s="152">
        <v>0</v>
      </c>
      <c r="J27" s="152">
        <v>0</v>
      </c>
      <c r="K27" s="152">
        <v>0</v>
      </c>
      <c r="L27" s="152">
        <v>0</v>
      </c>
      <c r="M27" s="153">
        <f>AVERAGE(E27:K27)</f>
        <v>0</v>
      </c>
      <c r="N27" s="153">
        <f>AVERAGE(B27:K27)</f>
        <v>0</v>
      </c>
      <c r="R27" s="152"/>
      <c r="S27" s="152"/>
    </row>
    <row r="28" spans="1:19" x14ac:dyDescent="0.2">
      <c r="A28" s="151" t="s">
        <v>79</v>
      </c>
      <c r="B28" s="152">
        <v>0</v>
      </c>
      <c r="C28" s="152">
        <v>0</v>
      </c>
      <c r="D28" s="152">
        <v>0</v>
      </c>
      <c r="E28" s="152">
        <v>0</v>
      </c>
      <c r="F28" s="152">
        <v>0</v>
      </c>
      <c r="G28" s="152">
        <v>0</v>
      </c>
      <c r="H28" s="152">
        <v>0</v>
      </c>
      <c r="I28" s="152">
        <v>0</v>
      </c>
      <c r="J28" s="152">
        <v>0</v>
      </c>
      <c r="K28" s="152">
        <v>0</v>
      </c>
      <c r="L28" s="152">
        <v>0</v>
      </c>
      <c r="M28" s="153">
        <f t="shared" ref="M28:M38" si="4">AVERAGE(E28:K28)</f>
        <v>0</v>
      </c>
      <c r="N28" s="153">
        <f t="shared" ref="N28:N38" si="5">AVERAGE(B28:K28)</f>
        <v>0</v>
      </c>
      <c r="R28" s="152"/>
      <c r="S28" s="152"/>
    </row>
    <row r="29" spans="1:19" x14ac:dyDescent="0.2">
      <c r="A29" s="151" t="s">
        <v>80</v>
      </c>
      <c r="B29" s="152">
        <v>0</v>
      </c>
      <c r="C29" s="152">
        <v>0</v>
      </c>
      <c r="D29" s="152">
        <v>0</v>
      </c>
      <c r="E29" s="152">
        <v>0</v>
      </c>
      <c r="F29" s="152">
        <v>0</v>
      </c>
      <c r="G29" s="152">
        <v>0</v>
      </c>
      <c r="H29" s="152">
        <v>0</v>
      </c>
      <c r="I29" s="152">
        <v>0</v>
      </c>
      <c r="J29" s="152">
        <v>0</v>
      </c>
      <c r="K29" s="152">
        <v>0</v>
      </c>
      <c r="L29" s="152">
        <v>0</v>
      </c>
      <c r="M29" s="153">
        <f t="shared" si="4"/>
        <v>0</v>
      </c>
      <c r="N29" s="153">
        <f t="shared" si="5"/>
        <v>0</v>
      </c>
      <c r="R29" s="152"/>
      <c r="S29" s="152"/>
    </row>
    <row r="30" spans="1:19" x14ac:dyDescent="0.2">
      <c r="A30" s="151" t="s">
        <v>81</v>
      </c>
      <c r="B30" s="152">
        <v>0</v>
      </c>
      <c r="C30" s="152">
        <v>0</v>
      </c>
      <c r="D30" s="152">
        <v>0</v>
      </c>
      <c r="E30" s="152">
        <v>0</v>
      </c>
      <c r="F30" s="152">
        <v>0</v>
      </c>
      <c r="G30" s="152">
        <v>0</v>
      </c>
      <c r="H30" s="152">
        <v>0</v>
      </c>
      <c r="I30" s="152">
        <v>0</v>
      </c>
      <c r="J30" s="152">
        <v>0</v>
      </c>
      <c r="K30" s="152">
        <v>0</v>
      </c>
      <c r="L30" s="152">
        <v>2.6</v>
      </c>
      <c r="M30" s="153">
        <f t="shared" si="4"/>
        <v>0</v>
      </c>
      <c r="N30" s="153">
        <f t="shared" si="5"/>
        <v>0</v>
      </c>
      <c r="R30" s="152"/>
      <c r="S30" s="152"/>
    </row>
    <row r="31" spans="1:19" x14ac:dyDescent="0.2">
      <c r="A31" s="151" t="s">
        <v>52</v>
      </c>
      <c r="B31" s="152">
        <v>20.799999999999997</v>
      </c>
      <c r="C31" s="152">
        <v>10.199999999999999</v>
      </c>
      <c r="D31" s="152">
        <v>35.4</v>
      </c>
      <c r="E31" s="152">
        <v>25.8</v>
      </c>
      <c r="F31" s="152">
        <v>7.3</v>
      </c>
      <c r="G31" s="152">
        <v>36.900000000000006</v>
      </c>
      <c r="H31" s="152">
        <v>2.2000000000000002</v>
      </c>
      <c r="I31" s="152">
        <v>22.699999999999996</v>
      </c>
      <c r="J31" s="152">
        <v>19.8</v>
      </c>
      <c r="K31" s="152">
        <v>23.699999999999996</v>
      </c>
      <c r="L31" s="152">
        <v>8.9</v>
      </c>
      <c r="M31" s="153">
        <f t="shared" si="4"/>
        <v>19.771428571428572</v>
      </c>
      <c r="N31" s="153">
        <f t="shared" si="5"/>
        <v>20.479999999999997</v>
      </c>
      <c r="R31" s="152"/>
      <c r="S31" s="152"/>
    </row>
    <row r="32" spans="1:19" x14ac:dyDescent="0.2">
      <c r="A32" s="151" t="s">
        <v>82</v>
      </c>
      <c r="B32" s="152">
        <v>47.699999999999996</v>
      </c>
      <c r="C32" s="152">
        <v>66.500000000000014</v>
      </c>
      <c r="D32" s="152">
        <v>24.900000000000002</v>
      </c>
      <c r="E32" s="152">
        <v>43.8</v>
      </c>
      <c r="F32" s="152">
        <v>59.6</v>
      </c>
      <c r="G32" s="152">
        <v>45.9</v>
      </c>
      <c r="H32" s="152">
        <v>30.2</v>
      </c>
      <c r="I32" s="152">
        <v>59.9</v>
      </c>
      <c r="J32" s="152">
        <v>88.100000000000009</v>
      </c>
      <c r="K32" s="152">
        <v>45.5</v>
      </c>
      <c r="L32" s="152">
        <v>31.9</v>
      </c>
      <c r="M32" s="153">
        <f t="shared" si="4"/>
        <v>53.285714285714285</v>
      </c>
      <c r="N32" s="153">
        <f t="shared" si="5"/>
        <v>51.21</v>
      </c>
      <c r="R32" s="152"/>
      <c r="S32" s="152"/>
    </row>
    <row r="33" spans="1:19" x14ac:dyDescent="0.2">
      <c r="A33" s="151" t="s">
        <v>83</v>
      </c>
      <c r="B33" s="152">
        <v>104.00000000000001</v>
      </c>
      <c r="C33" s="152">
        <v>45.099999999999994</v>
      </c>
      <c r="D33" s="152">
        <v>70.7</v>
      </c>
      <c r="E33" s="152">
        <v>109.1</v>
      </c>
      <c r="F33" s="152">
        <v>78.300000000000011</v>
      </c>
      <c r="G33" s="152">
        <v>91.499999999999986</v>
      </c>
      <c r="H33" s="152">
        <v>127.19999999999999</v>
      </c>
      <c r="I33" s="152">
        <v>159.19999999999993</v>
      </c>
      <c r="J33" s="152">
        <v>76.5</v>
      </c>
      <c r="K33" s="152">
        <v>80</v>
      </c>
      <c r="L33" s="152">
        <v>80.3</v>
      </c>
      <c r="M33" s="153">
        <f t="shared" si="4"/>
        <v>103.11428571428571</v>
      </c>
      <c r="N33" s="153">
        <f t="shared" si="5"/>
        <v>94.16</v>
      </c>
      <c r="R33" s="152"/>
      <c r="S33" s="152"/>
    </row>
    <row r="34" spans="1:19" x14ac:dyDescent="0.2">
      <c r="A34" s="151" t="s">
        <v>84</v>
      </c>
      <c r="B34" s="152">
        <v>54.4</v>
      </c>
      <c r="C34" s="152">
        <v>50.400000000000006</v>
      </c>
      <c r="D34" s="152">
        <v>55.7</v>
      </c>
      <c r="E34" s="152">
        <v>124.20000000000002</v>
      </c>
      <c r="F34" s="152">
        <v>43.300000000000004</v>
      </c>
      <c r="G34" s="152">
        <v>107.3</v>
      </c>
      <c r="H34" s="152">
        <v>66.5</v>
      </c>
      <c r="I34" s="152">
        <v>75.699999999999989</v>
      </c>
      <c r="J34" s="152">
        <v>112.89999999999999</v>
      </c>
      <c r="K34" s="152">
        <v>71.5</v>
      </c>
      <c r="L34" s="152">
        <v>35.299999999999997</v>
      </c>
      <c r="M34" s="153">
        <f t="shared" si="4"/>
        <v>85.914285714285711</v>
      </c>
      <c r="N34" s="153">
        <f t="shared" si="5"/>
        <v>76.19</v>
      </c>
      <c r="R34" s="152"/>
      <c r="S34" s="152"/>
    </row>
    <row r="35" spans="1:19" x14ac:dyDescent="0.2">
      <c r="A35" s="151" t="s">
        <v>85</v>
      </c>
      <c r="B35" s="152">
        <v>24</v>
      </c>
      <c r="C35" s="152">
        <v>16.2</v>
      </c>
      <c r="D35" s="152">
        <v>50.199999999999989</v>
      </c>
      <c r="E35" s="152">
        <v>40.000000000000007</v>
      </c>
      <c r="F35" s="152">
        <v>52.9</v>
      </c>
      <c r="G35" s="152">
        <v>58.699999999999996</v>
      </c>
      <c r="H35" s="152">
        <v>23.6</v>
      </c>
      <c r="I35" s="152">
        <v>10.600000000000001</v>
      </c>
      <c r="J35" s="152">
        <v>11.700000000000001</v>
      </c>
      <c r="K35" s="152">
        <v>26.900000000000006</v>
      </c>
      <c r="L35" s="152">
        <v>29.200000000000003</v>
      </c>
      <c r="M35" s="153">
        <f t="shared" si="4"/>
        <v>32.057142857142857</v>
      </c>
      <c r="N35" s="153">
        <f t="shared" si="5"/>
        <v>31.480000000000008</v>
      </c>
      <c r="R35" s="152"/>
      <c r="S35" s="152"/>
    </row>
    <row r="36" spans="1:19" x14ac:dyDescent="0.2">
      <c r="A36" s="151" t="s">
        <v>86</v>
      </c>
      <c r="B36" s="152">
        <v>2.7</v>
      </c>
      <c r="C36" s="152">
        <v>0</v>
      </c>
      <c r="D36" s="152">
        <v>0</v>
      </c>
      <c r="E36" s="152">
        <v>3.3</v>
      </c>
      <c r="F36" s="152">
        <v>4.6000000000000005</v>
      </c>
      <c r="G36" s="152">
        <v>8.9</v>
      </c>
      <c r="H36" s="152">
        <v>4.4000000000000004</v>
      </c>
      <c r="I36" s="152">
        <v>0</v>
      </c>
      <c r="J36" s="152">
        <v>10.3</v>
      </c>
      <c r="K36" s="152">
        <v>0</v>
      </c>
      <c r="L36" s="152">
        <v>9.4</v>
      </c>
      <c r="M36" s="153">
        <f t="shared" si="4"/>
        <v>4.5000000000000009</v>
      </c>
      <c r="N36" s="153">
        <f t="shared" si="5"/>
        <v>3.4200000000000004</v>
      </c>
      <c r="R36" s="152"/>
      <c r="S36" s="152"/>
    </row>
    <row r="37" spans="1:19" x14ac:dyDescent="0.2">
      <c r="A37" s="151" t="s">
        <v>87</v>
      </c>
      <c r="B37" s="152">
        <v>0</v>
      </c>
      <c r="C37" s="152">
        <v>0</v>
      </c>
      <c r="D37" s="152">
        <v>0</v>
      </c>
      <c r="E37" s="152">
        <v>0</v>
      </c>
      <c r="F37" s="152">
        <v>0</v>
      </c>
      <c r="G37" s="152">
        <v>0</v>
      </c>
      <c r="H37" s="152">
        <v>0</v>
      </c>
      <c r="I37" s="152">
        <v>0</v>
      </c>
      <c r="J37" s="152">
        <v>0</v>
      </c>
      <c r="K37" s="152">
        <v>0.4</v>
      </c>
      <c r="L37" s="152">
        <v>0</v>
      </c>
      <c r="M37" s="153">
        <f t="shared" si="4"/>
        <v>5.7142857142857148E-2</v>
      </c>
      <c r="N37" s="153">
        <f t="shared" si="5"/>
        <v>0.04</v>
      </c>
      <c r="R37" s="152"/>
      <c r="S37" s="152"/>
    </row>
    <row r="38" spans="1:19" x14ac:dyDescent="0.2">
      <c r="A38" s="151" t="s">
        <v>88</v>
      </c>
      <c r="B38" s="152">
        <v>0</v>
      </c>
      <c r="C38" s="152">
        <v>0</v>
      </c>
      <c r="D38" s="152">
        <v>0</v>
      </c>
      <c r="E38" s="152">
        <v>0</v>
      </c>
      <c r="F38" s="152">
        <v>0</v>
      </c>
      <c r="G38" s="152">
        <v>0</v>
      </c>
      <c r="H38" s="152">
        <v>0</v>
      </c>
      <c r="I38" s="152">
        <v>0</v>
      </c>
      <c r="J38" s="152">
        <v>0</v>
      </c>
      <c r="K38" s="152">
        <v>0</v>
      </c>
      <c r="L38" s="152">
        <v>0</v>
      </c>
      <c r="M38" s="153">
        <f t="shared" si="4"/>
        <v>0</v>
      </c>
      <c r="N38" s="153">
        <f t="shared" si="5"/>
        <v>0</v>
      </c>
      <c r="R38" s="152"/>
      <c r="S38" s="152"/>
    </row>
    <row r="39" spans="1:19" x14ac:dyDescent="0.2">
      <c r="A39" s="151" t="s">
        <v>7</v>
      </c>
      <c r="B39" s="152">
        <f t="shared" ref="B39:L39" si="6">SUM(B27:B38)</f>
        <v>253.6</v>
      </c>
      <c r="C39" s="152">
        <f t="shared" si="6"/>
        <v>188.4</v>
      </c>
      <c r="D39" s="152">
        <f t="shared" si="6"/>
        <v>236.89999999999998</v>
      </c>
      <c r="E39" s="152">
        <f t="shared" si="6"/>
        <v>346.2</v>
      </c>
      <c r="F39" s="152">
        <f t="shared" si="6"/>
        <v>246.00000000000003</v>
      </c>
      <c r="G39" s="152">
        <f t="shared" si="6"/>
        <v>349.2</v>
      </c>
      <c r="H39" s="152">
        <f t="shared" si="6"/>
        <v>254.1</v>
      </c>
      <c r="I39" s="152">
        <f t="shared" si="6"/>
        <v>328.09999999999991</v>
      </c>
      <c r="J39" s="152">
        <f t="shared" si="6"/>
        <v>319.3</v>
      </c>
      <c r="K39" s="152">
        <f t="shared" si="6"/>
        <v>248</v>
      </c>
      <c r="L39" s="152">
        <f t="shared" si="6"/>
        <v>197.6</v>
      </c>
    </row>
    <row r="41" spans="1:19" x14ac:dyDescent="0.2">
      <c r="A41" s="151"/>
    </row>
    <row r="42" spans="1:19" x14ac:dyDescent="0.2">
      <c r="A42" s="151"/>
    </row>
    <row r="43" spans="1:19" x14ac:dyDescent="0.2">
      <c r="A43" s="147"/>
    </row>
  </sheetData>
  <pageMargins left="0.5" right="0.5" top="0.75" bottom="0.75" header="0.5" footer="0.5"/>
  <pageSetup paperSize="5" scale="10" orientation="landscape" r:id="rId1"/>
  <headerFooter alignWithMargins="0">
    <oddFooter>&amp;L&amp;8&amp;D
&amp;Z&amp;F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38d8a70-55d5-4828-a1cb-39c7a4ea1aa6">
      <Terms xmlns="http://schemas.microsoft.com/office/infopath/2007/PartnerControls"/>
    </lcf76f155ced4ddcb4097134ff3c332f>
    <TaxCatchAll xmlns="afebf44e-3847-4d5f-9a78-07f3492fbf0b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B16D136C44BEE41AC588AB04EEF8BC9" ma:contentTypeVersion="17" ma:contentTypeDescription="Create a new document." ma:contentTypeScope="" ma:versionID="570b4c3bd3cd8a8b8159e1eae1d11db0">
  <xsd:schema xmlns:xsd="http://www.w3.org/2001/XMLSchema" xmlns:xs="http://www.w3.org/2001/XMLSchema" xmlns:p="http://schemas.microsoft.com/office/2006/metadata/properties" xmlns:ns2="838d8a70-55d5-4828-a1cb-39c7a4ea1aa6" xmlns:ns3="afebf44e-3847-4d5f-9a78-07f3492fbf0b" targetNamespace="http://schemas.microsoft.com/office/2006/metadata/properties" ma:root="true" ma:fieldsID="cd6a08f9b189b62d1816eaad0d3ccfca" ns2:_="" ns3:_="">
    <xsd:import namespace="838d8a70-55d5-4828-a1cb-39c7a4ea1aa6"/>
    <xsd:import namespace="afebf44e-3847-4d5f-9a78-07f3492fbf0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8d8a70-55d5-4828-a1cb-39c7a4ea1aa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25b30678-c39d-4978-b88d-bf256d84e78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febf44e-3847-4d5f-9a78-07f3492fbf0b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c5356211-8b1d-41ce-b4d5-45acda0bbce1}" ma:internalName="TaxCatchAll" ma:showField="CatchAllData" ma:web="afebf44e-3847-4d5f-9a78-07f3492fbf0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CB312C9-DDB8-4480-B29B-3C829F7593B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B5926EC-6E72-428A-995F-813DD7AB274E}">
  <ds:schemaRefs>
    <ds:schemaRef ds:uri="http://purl.org/dc/terms/"/>
    <ds:schemaRef ds:uri="http://schemas.microsoft.com/office/2006/metadata/properties"/>
    <ds:schemaRef ds:uri="838d8a70-55d5-4828-a1cb-39c7a4ea1aa6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afebf44e-3847-4d5f-9a78-07f3492fbf0b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8EF6EC31-AC87-44E0-8C96-B9051C884F6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38d8a70-55d5-4828-a1cb-39c7a4ea1aa6"/>
    <ds:schemaRef ds:uri="afebf44e-3847-4d5f-9a78-07f3492fbf0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9</vt:i4>
      </vt:variant>
    </vt:vector>
  </HeadingPairs>
  <TitlesOfParts>
    <vt:vector size="18" baseType="lpstr">
      <vt:lpstr>Inputs</vt:lpstr>
      <vt:lpstr>Load Forecast Summary</vt:lpstr>
      <vt:lpstr>Power Purchased Model</vt:lpstr>
      <vt:lpstr>Power Purchased Model-WN</vt:lpstr>
      <vt:lpstr>Power Purchased Model WN-OLD</vt:lpstr>
      <vt:lpstr>Rate Class Energy Model</vt:lpstr>
      <vt:lpstr>Rate Class Customer Model</vt:lpstr>
      <vt:lpstr>Rate Class Load Model</vt:lpstr>
      <vt:lpstr>Weather Analysis</vt:lpstr>
      <vt:lpstr>'Load Forecast Summary'!Print_Area</vt:lpstr>
      <vt:lpstr>'Power Purchased Model'!Print_Area</vt:lpstr>
      <vt:lpstr>'Power Purchased Model WN-OLD'!Print_Area</vt:lpstr>
      <vt:lpstr>'Power Purchased Model-WN'!Print_Area</vt:lpstr>
      <vt:lpstr>'Rate Class Customer Model'!Print_Area</vt:lpstr>
      <vt:lpstr>'Rate Class Load Model'!Print_Area</vt:lpstr>
      <vt:lpstr>'Power Purchased Model'!Print_Titles</vt:lpstr>
      <vt:lpstr>'Power Purchased Model WN-OLD'!Print_Titles</vt:lpstr>
      <vt:lpstr>'Power Purchased Model-WN'!Print_Titles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_</dc:title>
  <dc:creator/>
  <cp:lastModifiedBy/>
  <cp:lastPrinted>2014-03-06T15:42:29Z</cp:lastPrinted>
  <dcterms:created xsi:type="dcterms:W3CDTF">2014-03-06T15:42:29Z</dcterms:created>
  <dcterms:modified xsi:type="dcterms:W3CDTF">2024-08-26T06:12:25Z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0x0101005B16D136C44BEE41AC588AB04EEF8BC9</vt:lpwstr>
  </property>
</Properties>
</file>