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3040" windowHeight="8784" tabRatio="855" activeTab="1"/>
  </bookViews>
  <sheets>
    <sheet name="Inputs" sheetId="73" r:id="rId1"/>
    <sheet name="Load Forecast Summary" sheetId="11" r:id="rId2"/>
    <sheet name="Power Purchased Model" sheetId="72" r:id="rId3"/>
    <sheet name="Power Purchased Model WN" sheetId="78" r:id="rId4"/>
    <sheet name="Rate Class Energy Model" sheetId="9" r:id="rId5"/>
    <sheet name="Rate Class Customer Model" sheetId="17" r:id="rId6"/>
    <sheet name="Rate Class Load Model" sheetId="18" r:id="rId7"/>
    <sheet name="Weather Analysis" sheetId="76" r:id="rId8"/>
  </sheets>
  <definedNames>
    <definedName name="__CAP1000" localSheetId="2">#REF!</definedName>
    <definedName name="__CAP1000" localSheetId="3">#REF!</definedName>
    <definedName name="__CAP1000" localSheetId="7">#REF!</definedName>
    <definedName name="__CAP1000">#REF!</definedName>
    <definedName name="__OP1000" localSheetId="2">#REF!</definedName>
    <definedName name="__OP1000" localSheetId="3">#REF!</definedName>
    <definedName name="__OP1000">#REF!</definedName>
    <definedName name="_110" localSheetId="2">#REF!</definedName>
    <definedName name="_110" localSheetId="3">#REF!</definedName>
    <definedName name="_110">#REF!</definedName>
    <definedName name="_110INPT" localSheetId="2">#REF!</definedName>
    <definedName name="_110INPT" localSheetId="3">#REF!</definedName>
    <definedName name="_110INPT">#REF!</definedName>
    <definedName name="_115" localSheetId="2">#REF!</definedName>
    <definedName name="_115" localSheetId="3">#REF!</definedName>
    <definedName name="_115">#REF!</definedName>
    <definedName name="_115INPT" localSheetId="2">#REF!</definedName>
    <definedName name="_115INPT" localSheetId="3">#REF!</definedName>
    <definedName name="_115INPT">#REF!</definedName>
    <definedName name="_120" localSheetId="2">#REF!</definedName>
    <definedName name="_120" localSheetId="3">#REF!</definedName>
    <definedName name="_120">#REF!</definedName>
    <definedName name="_140" localSheetId="2">#REF!</definedName>
    <definedName name="_140" localSheetId="3">#REF!</definedName>
    <definedName name="_140">#REF!</definedName>
    <definedName name="_140INPT" localSheetId="2">#REF!</definedName>
    <definedName name="_140INPT" localSheetId="3">#REF!</definedName>
    <definedName name="_140INPT">#REF!</definedName>
    <definedName name="_CAP1000" localSheetId="2">#REF!</definedName>
    <definedName name="_CAP1000" localSheetId="3">#REF!</definedName>
    <definedName name="_CAP1000">#REF!</definedName>
    <definedName name="_Fill" localSheetId="7" hidden="1">#REF!</definedName>
    <definedName name="_Fill" hidden="1">#REF!</definedName>
    <definedName name="_OP1000" localSheetId="2">#REF!</definedName>
    <definedName name="_OP1000" localSheetId="3">#REF!</definedName>
    <definedName name="_OP1000" localSheetId="7">#REF!</definedName>
    <definedName name="_OP1000">#REF!</definedName>
    <definedName name="_Order1" hidden="1">255</definedName>
    <definedName name="_Order2" hidden="1">0</definedName>
    <definedName name="_Sort" localSheetId="7" hidden="1">#REF!</definedName>
    <definedName name="_Sort" hidden="1">#REF!</definedName>
    <definedName name="ALL" localSheetId="2">#REF!</definedName>
    <definedName name="ALL" localSheetId="3">#REF!</definedName>
    <definedName name="ALL" localSheetId="7">#REF!</definedName>
    <definedName name="ALL">#REF!</definedName>
    <definedName name="ApprovedYr" localSheetId="7">#REF!</definedName>
    <definedName name="ApprovedYr">#REF!</definedName>
    <definedName name="CAfile" localSheetId="7">#REF!</definedName>
    <definedName name="CAfile">#REF!</definedName>
    <definedName name="CAPCOSTS" localSheetId="2">#REF!</definedName>
    <definedName name="CAPCOSTS" localSheetId="3">#REF!</definedName>
    <definedName name="CAPCOSTS" localSheetId="7">#REF!</definedName>
    <definedName name="CAPCOSTS">#REF!</definedName>
    <definedName name="CAPITAL" localSheetId="2">#REF!</definedName>
    <definedName name="CAPITAL" localSheetId="3">#REF!</definedName>
    <definedName name="CAPITAL">#REF!</definedName>
    <definedName name="CapitalExpListing" localSheetId="2">#REF!</definedName>
    <definedName name="CapitalExpListing" localSheetId="3">#REF!</definedName>
    <definedName name="CapitalExpListing">#REF!</definedName>
    <definedName name="CArevReq" localSheetId="7">#REF!</definedName>
    <definedName name="CArevReq">#REF!</definedName>
    <definedName name="CASENUMBER">#REF!</definedName>
    <definedName name="CASHFLOW" localSheetId="2">#REF!</definedName>
    <definedName name="CASHFLOW" localSheetId="3">#REF!</definedName>
    <definedName name="CASHFLOW" localSheetId="7">#REF!</definedName>
    <definedName name="CASHFLOW">#REF!</definedName>
    <definedName name="cc" localSheetId="2">#REF!</definedName>
    <definedName name="cc" localSheetId="3">#REF!</definedName>
    <definedName name="cc">#REF!</definedName>
    <definedName name="ClassRange1" localSheetId="7">#REF!</definedName>
    <definedName name="ClassRange1">#REF!</definedName>
    <definedName name="ClassRange2" localSheetId="7">#REF!</definedName>
    <definedName name="ClassRange2">#REF!</definedName>
    <definedName name="contactf" localSheetId="2">#REF!</definedName>
    <definedName name="contactf" localSheetId="3">#REF!</definedName>
    <definedName name="contactf" localSheetId="7">#REF!</definedName>
    <definedName name="contactf">#REF!</definedName>
    <definedName name="_xlnm.Criteria" localSheetId="2">#REF!</definedName>
    <definedName name="_xlnm.Criteria" localSheetId="3">#REF!</definedName>
    <definedName name="_xlnm.Criteria">#REF!</definedName>
    <definedName name="CRLF" localSheetId="7">#REF!</definedName>
    <definedName name="CRLF">#REF!</definedName>
    <definedName name="_xlnm.Database" localSheetId="2">#REF!</definedName>
    <definedName name="_xlnm.Database" localSheetId="3">#REF!</definedName>
    <definedName name="_xlnm.Database" localSheetId="7">#REF!</definedName>
    <definedName name="_xlnm.Database">#REF!</definedName>
    <definedName name="DaysInPreviousYear" localSheetId="7">#REF!</definedName>
    <definedName name="DaysInPreviousYear">#REF!</definedName>
    <definedName name="DaysInYear" localSheetId="7">#REF!</definedName>
    <definedName name="DaysInYear">#REF!</definedName>
    <definedName name="DEBTREPAY" localSheetId="2">#REF!</definedName>
    <definedName name="DEBTREPAY" localSheetId="3">#REF!</definedName>
    <definedName name="DEBTREPAY" localSheetId="7">#REF!</definedName>
    <definedName name="DEBTREPAY">#REF!</definedName>
    <definedName name="DeptDiv" localSheetId="2">#REF!</definedName>
    <definedName name="DeptDiv" localSheetId="3">#REF!</definedName>
    <definedName name="DeptDiv">#REF!</definedName>
    <definedName name="EBNUMBER">#REF!</definedName>
    <definedName name="ExpenseAccountListing" localSheetId="2">#REF!</definedName>
    <definedName name="ExpenseAccountListing" localSheetId="3">#REF!</definedName>
    <definedName name="ExpenseAccountListing" localSheetId="7">#REF!</definedName>
    <definedName name="ExpenseAccountListing">#REF!</definedName>
    <definedName name="_xlnm.Extract" localSheetId="2">#REF!</definedName>
    <definedName name="_xlnm.Extract" localSheetId="3">#REF!</definedName>
    <definedName name="_xlnm.Extract">#REF!</definedName>
    <definedName name="FakeBlank" localSheetId="7">#REF!</definedName>
    <definedName name="FakeBlank">#REF!</definedName>
    <definedName name="FolderPath" localSheetId="7">#REF!</definedName>
    <definedName name="FolderPath">#REF!</definedName>
    <definedName name="histdate" localSheetId="7">#REF!</definedName>
    <definedName name="histdate">#REF!</definedName>
    <definedName name="Incr2000" localSheetId="2">#REF!</definedName>
    <definedName name="Incr2000" localSheetId="3">#REF!</definedName>
    <definedName name="Incr2000" localSheetId="7">#REF!</definedName>
    <definedName name="Incr2000">#REF!</definedName>
    <definedName name="INTERIM" localSheetId="2">#REF!</definedName>
    <definedName name="INTERIM" localSheetId="3">#REF!</definedName>
    <definedName name="INTERIM">#REF!</definedName>
    <definedName name="LIMIT" localSheetId="2">#REF!</definedName>
    <definedName name="LIMIT" localSheetId="3">#REF!</definedName>
    <definedName name="LIMIT">#REF!</definedName>
    <definedName name="man_beg_bud" localSheetId="2">#REF!</definedName>
    <definedName name="man_beg_bud" localSheetId="3">#REF!</definedName>
    <definedName name="man_beg_bud" localSheetId="7">#REF!</definedName>
    <definedName name="man_beg_bud">#REF!</definedName>
    <definedName name="man_end_bud" localSheetId="2">#REF!</definedName>
    <definedName name="man_end_bud" localSheetId="3">#REF!</definedName>
    <definedName name="man_end_bud">#REF!</definedName>
    <definedName name="man12ACT" localSheetId="2">#REF!</definedName>
    <definedName name="man12ACT" localSheetId="3">#REF!</definedName>
    <definedName name="man12ACT">#REF!</definedName>
    <definedName name="MANBUD" localSheetId="2">#REF!</definedName>
    <definedName name="MANBUD" localSheetId="3">#REF!</definedName>
    <definedName name="MANBUD">#REF!</definedName>
    <definedName name="manCYACT" localSheetId="2">#REF!</definedName>
    <definedName name="manCYACT" localSheetId="3">#REF!</definedName>
    <definedName name="manCYACT">#REF!</definedName>
    <definedName name="manCYBUD" localSheetId="2">#REF!</definedName>
    <definedName name="manCYBUD" localSheetId="3">#REF!</definedName>
    <definedName name="manCYBUD">#REF!</definedName>
    <definedName name="manCYF" localSheetId="2">#REF!</definedName>
    <definedName name="manCYF" localSheetId="3">#REF!</definedName>
    <definedName name="manCYF">#REF!</definedName>
    <definedName name="MANEND" localSheetId="2">#REF!</definedName>
    <definedName name="MANEND" localSheetId="3">#REF!</definedName>
    <definedName name="MANEND">#REF!</definedName>
    <definedName name="manNYbud" localSheetId="2">#REF!</definedName>
    <definedName name="manNYbud" localSheetId="3">#REF!</definedName>
    <definedName name="manNYbud">#REF!</definedName>
    <definedName name="manpower_costs" localSheetId="2">#REF!</definedName>
    <definedName name="manpower_costs" localSheetId="3">#REF!</definedName>
    <definedName name="manpower_costs">#REF!</definedName>
    <definedName name="manPYACT" localSheetId="2">#REF!</definedName>
    <definedName name="manPYACT" localSheetId="3">#REF!</definedName>
    <definedName name="manPYACT">#REF!</definedName>
    <definedName name="MANSTART" localSheetId="2">#REF!</definedName>
    <definedName name="MANSTART" localSheetId="3">#REF!</definedName>
    <definedName name="MANSTART">#REF!</definedName>
    <definedName name="mat_beg_bud" localSheetId="2">#REF!</definedName>
    <definedName name="mat_beg_bud" localSheetId="3">#REF!</definedName>
    <definedName name="mat_beg_bud">#REF!</definedName>
    <definedName name="mat_end_bud" localSheetId="2">#REF!</definedName>
    <definedName name="mat_end_bud" localSheetId="3">#REF!</definedName>
    <definedName name="mat_end_bud">#REF!</definedName>
    <definedName name="mat12ACT" localSheetId="2">#REF!</definedName>
    <definedName name="mat12ACT" localSheetId="3">#REF!</definedName>
    <definedName name="mat12ACT">#REF!</definedName>
    <definedName name="MATBUD" localSheetId="2">#REF!</definedName>
    <definedName name="MATBUD" localSheetId="3">#REF!</definedName>
    <definedName name="MATBUD">#REF!</definedName>
    <definedName name="matCYACT" localSheetId="2">#REF!</definedName>
    <definedName name="matCYACT" localSheetId="3">#REF!</definedName>
    <definedName name="matCYACT">#REF!</definedName>
    <definedName name="matCYBUD" localSheetId="2">#REF!</definedName>
    <definedName name="matCYBUD" localSheetId="3">#REF!</definedName>
    <definedName name="matCYBUD">#REF!</definedName>
    <definedName name="matCYF" localSheetId="2">#REF!</definedName>
    <definedName name="matCYF" localSheetId="3">#REF!</definedName>
    <definedName name="matCYF">#REF!</definedName>
    <definedName name="MATEND" localSheetId="2">#REF!</definedName>
    <definedName name="MATEND" localSheetId="3">#REF!</definedName>
    <definedName name="MATEND">#REF!</definedName>
    <definedName name="material_costs" localSheetId="2">#REF!</definedName>
    <definedName name="material_costs" localSheetId="3">#REF!</definedName>
    <definedName name="material_costs">#REF!</definedName>
    <definedName name="matNYbud" localSheetId="2">#REF!</definedName>
    <definedName name="matNYbud" localSheetId="3">#REF!</definedName>
    <definedName name="matNYbud">#REF!</definedName>
    <definedName name="matPYACT" localSheetId="2">#REF!</definedName>
    <definedName name="matPYACT" localSheetId="3">#REF!</definedName>
    <definedName name="matPYACT">#REF!</definedName>
    <definedName name="MATSTART" localSheetId="2">#REF!</definedName>
    <definedName name="MATSTART" localSheetId="3">#REF!</definedName>
    <definedName name="MATSTART">#REF!</definedName>
    <definedName name="mea" localSheetId="2">#REF!</definedName>
    <definedName name="mea" localSheetId="3">#REF!</definedName>
    <definedName name="mea">#REF!</definedName>
    <definedName name="MEABAL" localSheetId="2">#REF!</definedName>
    <definedName name="MEABAL" localSheetId="3">#REF!</definedName>
    <definedName name="MEABAL">#REF!</definedName>
    <definedName name="MEACASH" localSheetId="2">#REF!</definedName>
    <definedName name="MEACASH" localSheetId="3">#REF!</definedName>
    <definedName name="MEACASH">#REF!</definedName>
    <definedName name="MEAEQITY" localSheetId="2">#REF!</definedName>
    <definedName name="MEAEQITY" localSheetId="3">#REF!</definedName>
    <definedName name="MEAEQITY">#REF!</definedName>
    <definedName name="MEAOP" localSheetId="2">#REF!</definedName>
    <definedName name="MEAOP" localSheetId="3">#REF!</definedName>
    <definedName name="MEAOP">#REF!</definedName>
    <definedName name="MofF" localSheetId="2">#REF!</definedName>
    <definedName name="MofF" localSheetId="3">#REF!</definedName>
    <definedName name="MofF">#REF!</definedName>
    <definedName name="NewRevReq" localSheetId="7">#REF!</definedName>
    <definedName name="NewRevReq">#REF!</definedName>
    <definedName name="NOTES" localSheetId="2">#REF!</definedName>
    <definedName name="NOTES" localSheetId="3">#REF!</definedName>
    <definedName name="NOTES" localSheetId="7">#REF!</definedName>
    <definedName name="NOTES">#REF!</definedName>
    <definedName name="OPERATING" localSheetId="2">#REF!</definedName>
    <definedName name="OPERATING" localSheetId="3">#REF!</definedName>
    <definedName name="OPERATING">#REF!</definedName>
    <definedName name="oth_beg_bud" localSheetId="2">#REF!</definedName>
    <definedName name="oth_beg_bud" localSheetId="3">#REF!</definedName>
    <definedName name="oth_beg_bud">#REF!</definedName>
    <definedName name="oth_end_bud" localSheetId="2">#REF!</definedName>
    <definedName name="oth_end_bud" localSheetId="3">#REF!</definedName>
    <definedName name="oth_end_bud">#REF!</definedName>
    <definedName name="oth12ACT" localSheetId="2">#REF!</definedName>
    <definedName name="oth12ACT" localSheetId="3">#REF!</definedName>
    <definedName name="oth12ACT">#REF!</definedName>
    <definedName name="othCYACT" localSheetId="2">#REF!</definedName>
    <definedName name="othCYACT" localSheetId="3">#REF!</definedName>
    <definedName name="othCYACT">#REF!</definedName>
    <definedName name="othCYBUD" localSheetId="2">#REF!</definedName>
    <definedName name="othCYBUD" localSheetId="3">#REF!</definedName>
    <definedName name="othCYBUD">#REF!</definedName>
    <definedName name="othCYF" localSheetId="2">#REF!</definedName>
    <definedName name="othCYF" localSheetId="3">#REF!</definedName>
    <definedName name="othCYF">#REF!</definedName>
    <definedName name="OTHEND" localSheetId="2">#REF!</definedName>
    <definedName name="OTHEND" localSheetId="3">#REF!</definedName>
    <definedName name="OTHEND">#REF!</definedName>
    <definedName name="other_costs" localSheetId="2">#REF!</definedName>
    <definedName name="other_costs" localSheetId="3">#REF!</definedName>
    <definedName name="other_costs">#REF!</definedName>
    <definedName name="OTHERBUD" localSheetId="2">#REF!</definedName>
    <definedName name="OTHERBUD" localSheetId="3">#REF!</definedName>
    <definedName name="OTHERBUD">#REF!</definedName>
    <definedName name="othNYbud" localSheetId="2">#REF!</definedName>
    <definedName name="othNYbud" localSheetId="3">#REF!</definedName>
    <definedName name="othNYbud">#REF!</definedName>
    <definedName name="othPYACT" localSheetId="2">#REF!</definedName>
    <definedName name="othPYACT" localSheetId="3">#REF!</definedName>
    <definedName name="othPYACT">#REF!</definedName>
    <definedName name="OTHSTART" localSheetId="2">#REF!</definedName>
    <definedName name="OTHSTART" localSheetId="3">#REF!</definedName>
    <definedName name="OTHSTART">#REF!</definedName>
    <definedName name="PAGE11" localSheetId="2">#REF!</definedName>
    <definedName name="PAGE11" localSheetId="3">#REF!</definedName>
    <definedName name="PAGE11" localSheetId="7">#REF!</definedName>
    <definedName name="PAGE11">#REF!</definedName>
    <definedName name="PAGE2" localSheetId="7">#REF!</definedName>
    <definedName name="PAGE2">#REF!</definedName>
    <definedName name="PAGE3" localSheetId="2">#REF!</definedName>
    <definedName name="PAGE3" localSheetId="3">#REF!</definedName>
    <definedName name="PAGE3" localSheetId="7">#REF!</definedName>
    <definedName name="PAGE3">#REF!</definedName>
    <definedName name="PAGE4" localSheetId="2">#REF!</definedName>
    <definedName name="PAGE4" localSheetId="3">#REF!</definedName>
    <definedName name="PAGE4" localSheetId="7">#REF!</definedName>
    <definedName name="PAGE4">#REF!</definedName>
    <definedName name="PAGE7" localSheetId="2">#REF!</definedName>
    <definedName name="PAGE7" localSheetId="3">#REF!</definedName>
    <definedName name="PAGE7" localSheetId="7">#REF!</definedName>
    <definedName name="PAGE7">#REF!</definedName>
    <definedName name="PAGE9" localSheetId="2">#REF!</definedName>
    <definedName name="PAGE9" localSheetId="3">#REF!</definedName>
    <definedName name="PAGE9" localSheetId="7">#REF!</definedName>
    <definedName name="PAGE9">#REF!</definedName>
    <definedName name="PageOne" localSheetId="2">#REF!</definedName>
    <definedName name="PageOne" localSheetId="3">#REF!</definedName>
    <definedName name="PageOne">#REF!</definedName>
    <definedName name="PR" localSheetId="2">#REF!</definedName>
    <definedName name="PR" localSheetId="3">#REF!</definedName>
    <definedName name="PR">#REF!</definedName>
    <definedName name="_xlnm.Print_Area" localSheetId="1">'Load Forecast Summary'!$A$3:$J$53</definedName>
    <definedName name="_xlnm.Print_Area" localSheetId="2">'Power Purchased Model'!$A$1:$P$129</definedName>
    <definedName name="_xlnm.Print_Area" localSheetId="3">'Power Purchased Model WN'!$A$1:$P$129</definedName>
    <definedName name="_xlnm.Print_Area" localSheetId="5">'Rate Class Customer Model'!$A$1:$M$38</definedName>
    <definedName name="_xlnm.Print_Area" localSheetId="4">'Rate Class Energy Model'!#REF!</definedName>
    <definedName name="_xlnm.Print_Area" localSheetId="6">'Rate Class Load Model'!$A$1:$J$23</definedName>
    <definedName name="Print_Area_MI" localSheetId="2">#REF!</definedName>
    <definedName name="Print_Area_MI" localSheetId="3">#REF!</definedName>
    <definedName name="Print_Area_MI" localSheetId="7">#REF!</definedName>
    <definedName name="Print_Area_MI">#REF!</definedName>
    <definedName name="print_end" localSheetId="2">#REF!</definedName>
    <definedName name="print_end" localSheetId="3">#REF!</definedName>
    <definedName name="print_end">#REF!</definedName>
    <definedName name="_xlnm.Print_Titles" localSheetId="2">'Power Purchased Model'!$A:$P,'Power Purchased Model'!$1:$2</definedName>
    <definedName name="_xlnm.Print_Titles" localSheetId="3">'Power Purchased Model WN'!$A:$P,'Power Purchased Model WN'!$1:$2</definedName>
    <definedName name="PRIOR" localSheetId="2">#REF!</definedName>
    <definedName name="PRIOR" localSheetId="3">#REF!</definedName>
    <definedName name="PRIOR" localSheetId="7">#REF!</definedName>
    <definedName name="PRIOR">#REF!</definedName>
    <definedName name="Ratebase" localSheetId="7">#REF!</definedName>
    <definedName name="Ratebase">#REF!</definedName>
    <definedName name="RebaseYear">#REF!</definedName>
    <definedName name="RevReqLookupKey" localSheetId="7">#REF!</definedName>
    <definedName name="RevReqLookupKey">#REF!</definedName>
    <definedName name="RevReqRange" localSheetId="7">#REF!</definedName>
    <definedName name="RevReqRange">#REF!</definedName>
    <definedName name="RVCASHPR" localSheetId="2">#REF!</definedName>
    <definedName name="RVCASHPR" localSheetId="3">#REF!</definedName>
    <definedName name="RVCASHPR" localSheetId="7">#REF!</definedName>
    <definedName name="RVCASHPR">#REF!</definedName>
    <definedName name="SALBENF" localSheetId="2">#REF!</definedName>
    <definedName name="SALBENF" localSheetId="3">#REF!</definedName>
    <definedName name="SALBENF">#REF!</definedName>
    <definedName name="salreg" localSheetId="2">#REF!</definedName>
    <definedName name="salreg" localSheetId="3">#REF!</definedName>
    <definedName name="salreg">#REF!</definedName>
    <definedName name="SALREGF" localSheetId="2">#REF!</definedName>
    <definedName name="SALREGF" localSheetId="3">#REF!</definedName>
    <definedName name="SALREGF">#REF!</definedName>
    <definedName name="SOURCEAPP" localSheetId="2">#REF!</definedName>
    <definedName name="SOURCEAPP" localSheetId="3">#REF!</definedName>
    <definedName name="SOURCEAPP">#REF!</definedName>
    <definedName name="STATS1" localSheetId="2">#REF!</definedName>
    <definedName name="STATS1" localSheetId="3">#REF!</definedName>
    <definedName name="STATS1">#REF!</definedName>
    <definedName name="STATS2" localSheetId="2">#REF!</definedName>
    <definedName name="STATS2" localSheetId="3">#REF!</definedName>
    <definedName name="STATS2">#REF!</definedName>
    <definedName name="Surtax" localSheetId="2">#REF!</definedName>
    <definedName name="Surtax" localSheetId="3">#REF!</definedName>
    <definedName name="Surtax">#REF!</definedName>
    <definedName name="TEMPA" localSheetId="2">#REF!</definedName>
    <definedName name="TEMPA" localSheetId="3">#REF!</definedName>
    <definedName name="TEMPA">#REF!</definedName>
    <definedName name="TEST">#REF!</definedName>
    <definedName name="Test_Year">#REF!</definedName>
    <definedName name="TestYr" localSheetId="7">#REF!</definedName>
    <definedName name="TestYr">#REF!</definedName>
    <definedName name="TestYrPL" localSheetId="7">#REF!</definedName>
    <definedName name="TestYrPL">#REF!</definedName>
    <definedName name="total_dept" localSheetId="2">#REF!</definedName>
    <definedName name="total_dept" localSheetId="3">#REF!</definedName>
    <definedName name="total_dept" localSheetId="7">#REF!</definedName>
    <definedName name="total_dept">#REF!</definedName>
    <definedName name="total_manpower" localSheetId="2">#REF!</definedName>
    <definedName name="total_manpower" localSheetId="3">#REF!</definedName>
    <definedName name="total_manpower">#REF!</definedName>
    <definedName name="total_material" localSheetId="2">#REF!</definedName>
    <definedName name="total_material" localSheetId="3">#REF!</definedName>
    <definedName name="total_material">#REF!</definedName>
    <definedName name="total_other" localSheetId="2">#REF!</definedName>
    <definedName name="total_other" localSheetId="3">#REF!</definedName>
    <definedName name="total_other">#REF!</definedName>
    <definedName name="total_transportation" localSheetId="2">#REF!</definedName>
    <definedName name="total_transportation" localSheetId="3">#REF!</definedName>
    <definedName name="total_transportation">#REF!</definedName>
    <definedName name="TOTCAPADDITIONS" localSheetId="2">#REF!</definedName>
    <definedName name="TOTCAPADDITIONS" localSheetId="3">#REF!</definedName>
    <definedName name="TOTCAPADDITIONS">#REF!</definedName>
    <definedName name="TRANBUD" localSheetId="2">#REF!</definedName>
    <definedName name="TRANBUD" localSheetId="3">#REF!</definedName>
    <definedName name="TRANBUD">#REF!</definedName>
    <definedName name="TRANEND" localSheetId="2">#REF!</definedName>
    <definedName name="TRANEND" localSheetId="3">#REF!</definedName>
    <definedName name="TRANEND">#REF!</definedName>
    <definedName name="TRANSCAP" localSheetId="2">#REF!</definedName>
    <definedName name="TRANSCAP" localSheetId="3">#REF!</definedName>
    <definedName name="TRANSCAP">#REF!</definedName>
    <definedName name="TRANSFER" localSheetId="2">#REF!</definedName>
    <definedName name="TRANSFER" localSheetId="3">#REF!</definedName>
    <definedName name="TRANSFER">#REF!</definedName>
    <definedName name="transportation_costs" localSheetId="2">#REF!</definedName>
    <definedName name="transportation_costs" localSheetId="3">#REF!</definedName>
    <definedName name="transportation_costs">#REF!</definedName>
    <definedName name="TRANSTART" localSheetId="2">#REF!</definedName>
    <definedName name="TRANSTART" localSheetId="3">#REF!</definedName>
    <definedName name="TRANSTART">#REF!</definedName>
    <definedName name="trn_beg_bud" localSheetId="2">#REF!</definedName>
    <definedName name="trn_beg_bud" localSheetId="3">#REF!</definedName>
    <definedName name="trn_beg_bud">#REF!</definedName>
    <definedName name="trn_end_bud" localSheetId="2">#REF!</definedName>
    <definedName name="trn_end_bud" localSheetId="3">#REF!</definedName>
    <definedName name="trn_end_bud">#REF!</definedName>
    <definedName name="trn12ACT" localSheetId="2">#REF!</definedName>
    <definedName name="trn12ACT" localSheetId="3">#REF!</definedName>
    <definedName name="trn12ACT">#REF!</definedName>
    <definedName name="trnCYACT" localSheetId="2">#REF!</definedName>
    <definedName name="trnCYACT" localSheetId="3">#REF!</definedName>
    <definedName name="trnCYACT">#REF!</definedName>
    <definedName name="trnCYBUD" localSheetId="2">#REF!</definedName>
    <definedName name="trnCYBUD" localSheetId="3">#REF!</definedName>
    <definedName name="trnCYBUD">#REF!</definedName>
    <definedName name="trnCYF" localSheetId="2">#REF!</definedName>
    <definedName name="trnCYF" localSheetId="3">#REF!</definedName>
    <definedName name="trnCYF">#REF!</definedName>
    <definedName name="trnNYbud" localSheetId="2">#REF!</definedName>
    <definedName name="trnNYbud" localSheetId="3">#REF!</definedName>
    <definedName name="trnNYbud">#REF!</definedName>
    <definedName name="trnPYACT" localSheetId="2">#REF!</definedName>
    <definedName name="trnPYACT" localSheetId="3">#REF!</definedName>
    <definedName name="trnPYACT">#REF!</definedName>
    <definedName name="Utility" localSheetId="7">#REF!</definedName>
    <definedName name="Utility">#REF!</definedName>
    <definedName name="utitliy1" localSheetId="7">#REF!</definedName>
    <definedName name="utitliy1">#REF!</definedName>
    <definedName name="Variable1">#REF!</definedName>
    <definedName name="WAGBENF" localSheetId="2">#REF!</definedName>
    <definedName name="WAGBENF" localSheetId="3">#REF!</definedName>
    <definedName name="WAGBENF" localSheetId="7">#REF!</definedName>
    <definedName name="WAGBENF">#REF!</definedName>
    <definedName name="wagdob" localSheetId="2">#REF!</definedName>
    <definedName name="wagdob" localSheetId="3">#REF!</definedName>
    <definedName name="wagdob">#REF!</definedName>
    <definedName name="wagdobf" localSheetId="2">#REF!</definedName>
    <definedName name="wagdobf" localSheetId="3">#REF!</definedName>
    <definedName name="wagdobf">#REF!</definedName>
    <definedName name="wagreg" localSheetId="2">#REF!</definedName>
    <definedName name="wagreg" localSheetId="3">#REF!</definedName>
    <definedName name="wagreg">#REF!</definedName>
    <definedName name="wagregf" localSheetId="2">#REF!</definedName>
    <definedName name="wagregf" localSheetId="3">#REF!</definedName>
    <definedName name="wagreg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9" l="1"/>
  <c r="C14" i="9"/>
  <c r="G15" i="9"/>
  <c r="G14" i="9"/>
  <c r="F13" i="9"/>
  <c r="L15" i="17"/>
  <c r="P124" i="72"/>
  <c r="G3" i="72"/>
  <c r="H38" i="11" l="1"/>
  <c r="G38" i="11"/>
  <c r="F38" i="11"/>
  <c r="E38" i="11"/>
  <c r="D38" i="11"/>
  <c r="C38" i="11"/>
  <c r="B38" i="11"/>
  <c r="H42" i="11"/>
  <c r="G42" i="11"/>
  <c r="F42" i="11"/>
  <c r="E42" i="11"/>
  <c r="D42" i="11"/>
  <c r="C42" i="11"/>
  <c r="B42" i="11"/>
  <c r="Q116" i="72" l="1"/>
  <c r="K31" i="9"/>
  <c r="L31" i="9" s="1"/>
  <c r="F122" i="78"/>
  <c r="P122" i="78" s="1"/>
  <c r="E122" i="78"/>
  <c r="O122" i="78" s="1"/>
  <c r="F121" i="78"/>
  <c r="P121" i="78" s="1"/>
  <c r="E121" i="78"/>
  <c r="O121" i="78" s="1"/>
  <c r="F120" i="78"/>
  <c r="P120" i="78" s="1"/>
  <c r="E120" i="78"/>
  <c r="O120" i="78" s="1"/>
  <c r="O119" i="78"/>
  <c r="F119" i="78"/>
  <c r="P119" i="78" s="1"/>
  <c r="E119" i="78"/>
  <c r="P118" i="78"/>
  <c r="F118" i="78"/>
  <c r="E118" i="78"/>
  <c r="O118" i="78" s="1"/>
  <c r="F117" i="78"/>
  <c r="P117" i="78" s="1"/>
  <c r="E117" i="78"/>
  <c r="O117" i="78" s="1"/>
  <c r="F116" i="78"/>
  <c r="P116" i="78" s="1"/>
  <c r="E116" i="78"/>
  <c r="O116" i="78" s="1"/>
  <c r="L86" i="78"/>
  <c r="C86" i="78"/>
  <c r="B86" i="78"/>
  <c r="D86" i="78" s="1"/>
  <c r="G86" i="78" s="1"/>
  <c r="L85" i="78"/>
  <c r="C85" i="78"/>
  <c r="B85" i="78"/>
  <c r="D85" i="78" s="1"/>
  <c r="G85" i="78" s="1"/>
  <c r="L84" i="78"/>
  <c r="D84" i="78"/>
  <c r="G84" i="78" s="1"/>
  <c r="C84" i="78"/>
  <c r="B84" i="78"/>
  <c r="L83" i="78"/>
  <c r="C83" i="78"/>
  <c r="B83" i="78"/>
  <c r="D83" i="78" s="1"/>
  <c r="G83" i="78" s="1"/>
  <c r="L82" i="78"/>
  <c r="C82" i="78"/>
  <c r="B82" i="78"/>
  <c r="L81" i="78"/>
  <c r="C81" i="78"/>
  <c r="B81" i="78"/>
  <c r="L80" i="78"/>
  <c r="D80" i="78"/>
  <c r="G80" i="78" s="1"/>
  <c r="C80" i="78"/>
  <c r="B80" i="78"/>
  <c r="L79" i="78"/>
  <c r="C79" i="78"/>
  <c r="B79" i="78"/>
  <c r="D79" i="78" s="1"/>
  <c r="G79" i="78" s="1"/>
  <c r="L78" i="78"/>
  <c r="C78" i="78"/>
  <c r="B78" i="78"/>
  <c r="D78" i="78" s="1"/>
  <c r="G78" i="78" s="1"/>
  <c r="L77" i="78"/>
  <c r="C77" i="78"/>
  <c r="B77" i="78"/>
  <c r="D77" i="78" s="1"/>
  <c r="G77" i="78" s="1"/>
  <c r="L76" i="78"/>
  <c r="C76" i="78"/>
  <c r="B76" i="78"/>
  <c r="D76" i="78" s="1"/>
  <c r="G76" i="78" s="1"/>
  <c r="L75" i="78"/>
  <c r="C75" i="78"/>
  <c r="B75" i="78"/>
  <c r="L74" i="78"/>
  <c r="D74" i="78"/>
  <c r="G74" i="78" s="1"/>
  <c r="C74" i="78"/>
  <c r="B74" i="78"/>
  <c r="L73" i="78"/>
  <c r="C73" i="78"/>
  <c r="B73" i="78"/>
  <c r="L72" i="78"/>
  <c r="C72" i="78"/>
  <c r="D72" i="78" s="1"/>
  <c r="G72" i="78" s="1"/>
  <c r="B72" i="78"/>
  <c r="L71" i="78"/>
  <c r="D71" i="78"/>
  <c r="G71" i="78" s="1"/>
  <c r="C71" i="78"/>
  <c r="B71" i="78"/>
  <c r="L70" i="78"/>
  <c r="C70" i="78"/>
  <c r="B70" i="78"/>
  <c r="D70" i="78" s="1"/>
  <c r="G70" i="78" s="1"/>
  <c r="L69" i="78"/>
  <c r="C69" i="78"/>
  <c r="B69" i="78"/>
  <c r="D69" i="78" s="1"/>
  <c r="G69" i="78" s="1"/>
  <c r="L68" i="78"/>
  <c r="D68" i="78"/>
  <c r="G68" i="78" s="1"/>
  <c r="C68" i="78"/>
  <c r="B68" i="78"/>
  <c r="L67" i="78"/>
  <c r="C67" i="78"/>
  <c r="B67" i="78"/>
  <c r="D67" i="78" s="1"/>
  <c r="G67" i="78" s="1"/>
  <c r="L66" i="78"/>
  <c r="D66" i="78"/>
  <c r="G66" i="78" s="1"/>
  <c r="C66" i="78"/>
  <c r="B66" i="78"/>
  <c r="L65" i="78"/>
  <c r="D65" i="78"/>
  <c r="G65" i="78" s="1"/>
  <c r="C65" i="78"/>
  <c r="B65" i="78"/>
  <c r="L64" i="78"/>
  <c r="C64" i="78"/>
  <c r="B64" i="78"/>
  <c r="L63" i="78"/>
  <c r="C63" i="78"/>
  <c r="B63" i="78"/>
  <c r="L62" i="78"/>
  <c r="C62" i="78"/>
  <c r="B62" i="78"/>
  <c r="D62" i="78" s="1"/>
  <c r="G62" i="78" s="1"/>
  <c r="L61" i="78"/>
  <c r="C61" i="78"/>
  <c r="B61" i="78"/>
  <c r="D61" i="78" s="1"/>
  <c r="G61" i="78" s="1"/>
  <c r="L60" i="78"/>
  <c r="D60" i="78"/>
  <c r="G60" i="78" s="1"/>
  <c r="C60" i="78"/>
  <c r="B60" i="78"/>
  <c r="L59" i="78"/>
  <c r="D59" i="78"/>
  <c r="G59" i="78" s="1"/>
  <c r="C59" i="78"/>
  <c r="B59" i="78"/>
  <c r="L58" i="78"/>
  <c r="C58" i="78"/>
  <c r="B58" i="78"/>
  <c r="L57" i="78"/>
  <c r="C57" i="78"/>
  <c r="B57" i="78"/>
  <c r="L56" i="78"/>
  <c r="C56" i="78"/>
  <c r="B56" i="78"/>
  <c r="D56" i="78" s="1"/>
  <c r="G56" i="78" s="1"/>
  <c r="L55" i="78"/>
  <c r="C55" i="78"/>
  <c r="B55" i="78"/>
  <c r="L54" i="78"/>
  <c r="C54" i="78"/>
  <c r="B54" i="78"/>
  <c r="D54" i="78" s="1"/>
  <c r="G54" i="78" s="1"/>
  <c r="L53" i="78"/>
  <c r="C53" i="78"/>
  <c r="B53" i="78"/>
  <c r="D53" i="78" s="1"/>
  <c r="G53" i="78" s="1"/>
  <c r="L52" i="78"/>
  <c r="C52" i="78"/>
  <c r="B52" i="78"/>
  <c r="D52" i="78" s="1"/>
  <c r="G52" i="78" s="1"/>
  <c r="L51" i="78"/>
  <c r="C51" i="78"/>
  <c r="B51" i="78"/>
  <c r="L50" i="78"/>
  <c r="C50" i="78"/>
  <c r="D50" i="78" s="1"/>
  <c r="G50" i="78" s="1"/>
  <c r="B50" i="78"/>
  <c r="L49" i="78"/>
  <c r="C49" i="78"/>
  <c r="B49" i="78"/>
  <c r="D49" i="78" s="1"/>
  <c r="G49" i="78" s="1"/>
  <c r="L48" i="78"/>
  <c r="D48" i="78"/>
  <c r="G48" i="78" s="1"/>
  <c r="C48" i="78"/>
  <c r="B48" i="78"/>
  <c r="L47" i="78"/>
  <c r="C47" i="78"/>
  <c r="B47" i="78"/>
  <c r="D47" i="78" s="1"/>
  <c r="G47" i="78" s="1"/>
  <c r="L46" i="78"/>
  <c r="C46" i="78"/>
  <c r="B46" i="78"/>
  <c r="L45" i="78"/>
  <c r="C45" i="78"/>
  <c r="B45" i="78"/>
  <c r="D45" i="78" s="1"/>
  <c r="G45" i="78" s="1"/>
  <c r="L44" i="78"/>
  <c r="D44" i="78"/>
  <c r="G44" i="78" s="1"/>
  <c r="C44" i="78"/>
  <c r="B44" i="78"/>
  <c r="L43" i="78"/>
  <c r="C43" i="78"/>
  <c r="B43" i="78"/>
  <c r="L42" i="78"/>
  <c r="C42" i="78"/>
  <c r="D42" i="78" s="1"/>
  <c r="G42" i="78" s="1"/>
  <c r="B42" i="78"/>
  <c r="L41" i="78"/>
  <c r="C41" i="78"/>
  <c r="D41" i="78" s="1"/>
  <c r="G41" i="78" s="1"/>
  <c r="B41" i="78"/>
  <c r="L40" i="78"/>
  <c r="C40" i="78"/>
  <c r="B40" i="78"/>
  <c r="D40" i="78" s="1"/>
  <c r="G40" i="78" s="1"/>
  <c r="L39" i="78"/>
  <c r="C39" i="78"/>
  <c r="B39" i="78"/>
  <c r="L38" i="78"/>
  <c r="D38" i="78"/>
  <c r="G38" i="78" s="1"/>
  <c r="C38" i="78"/>
  <c r="B38" i="78"/>
  <c r="L37" i="78"/>
  <c r="C37" i="78"/>
  <c r="B37" i="78"/>
  <c r="L36" i="78"/>
  <c r="D36" i="78"/>
  <c r="G36" i="78" s="1"/>
  <c r="C36" i="78"/>
  <c r="B36" i="78"/>
  <c r="L35" i="78"/>
  <c r="C35" i="78"/>
  <c r="B35" i="78"/>
  <c r="L34" i="78"/>
  <c r="C34" i="78"/>
  <c r="B34" i="78"/>
  <c r="D34" i="78" s="1"/>
  <c r="G34" i="78" s="1"/>
  <c r="L33" i="78"/>
  <c r="C33" i="78"/>
  <c r="B33" i="78"/>
  <c r="D33" i="78" s="1"/>
  <c r="G33" i="78" s="1"/>
  <c r="L32" i="78"/>
  <c r="D32" i="78"/>
  <c r="G32" i="78" s="1"/>
  <c r="C32" i="78"/>
  <c r="B32" i="78"/>
  <c r="L31" i="78"/>
  <c r="C31" i="78"/>
  <c r="B31" i="78"/>
  <c r="L30" i="78"/>
  <c r="C30" i="78"/>
  <c r="B30" i="78"/>
  <c r="D30" i="78" s="1"/>
  <c r="G30" i="78" s="1"/>
  <c r="L29" i="78"/>
  <c r="C29" i="78"/>
  <c r="B29" i="78"/>
  <c r="D29" i="78" s="1"/>
  <c r="G29" i="78" s="1"/>
  <c r="L28" i="78"/>
  <c r="C28" i="78"/>
  <c r="B28" i="78"/>
  <c r="L27" i="78"/>
  <c r="C27" i="78"/>
  <c r="B27" i="78"/>
  <c r="D27" i="78" s="1"/>
  <c r="G27" i="78" s="1"/>
  <c r="L26" i="78"/>
  <c r="C26" i="78"/>
  <c r="B26" i="78"/>
  <c r="D26" i="78" s="1"/>
  <c r="G26" i="78" s="1"/>
  <c r="L25" i="78"/>
  <c r="C25" i="78"/>
  <c r="B25" i="78"/>
  <c r="L24" i="78"/>
  <c r="C24" i="78"/>
  <c r="B24" i="78"/>
  <c r="L23" i="78"/>
  <c r="C23" i="78"/>
  <c r="B23" i="78"/>
  <c r="D23" i="78" s="1"/>
  <c r="G23" i="78" s="1"/>
  <c r="L22" i="78"/>
  <c r="C22" i="78"/>
  <c r="B22" i="78"/>
  <c r="L21" i="78"/>
  <c r="C21" i="78"/>
  <c r="B21" i="78"/>
  <c r="D21" i="78" s="1"/>
  <c r="G21" i="78" s="1"/>
  <c r="L20" i="78"/>
  <c r="C20" i="78"/>
  <c r="B20" i="78"/>
  <c r="D20" i="78" s="1"/>
  <c r="G20" i="78" s="1"/>
  <c r="L19" i="78"/>
  <c r="C19" i="78"/>
  <c r="B19" i="78"/>
  <c r="L18" i="78"/>
  <c r="G18" i="78"/>
  <c r="C18" i="78"/>
  <c r="B18" i="78"/>
  <c r="D18" i="78" s="1"/>
  <c r="L17" i="78"/>
  <c r="C17" i="78"/>
  <c r="B17" i="78"/>
  <c r="L16" i="78"/>
  <c r="C16" i="78"/>
  <c r="D16" i="78" s="1"/>
  <c r="G16" i="78" s="1"/>
  <c r="B16" i="78"/>
  <c r="L15" i="78"/>
  <c r="C15" i="78"/>
  <c r="B15" i="78"/>
  <c r="L14" i="78"/>
  <c r="C14" i="78"/>
  <c r="B14" i="78"/>
  <c r="D14" i="78" s="1"/>
  <c r="G14" i="78" s="1"/>
  <c r="L13" i="78"/>
  <c r="C13" i="78"/>
  <c r="B13" i="78"/>
  <c r="D13" i="78" s="1"/>
  <c r="G13" i="78" s="1"/>
  <c r="L12" i="78"/>
  <c r="C12" i="78"/>
  <c r="B12" i="78"/>
  <c r="D12" i="78" s="1"/>
  <c r="G12" i="78" s="1"/>
  <c r="L11" i="78"/>
  <c r="C11" i="78"/>
  <c r="B11" i="78"/>
  <c r="D11" i="78" s="1"/>
  <c r="G11" i="78" s="1"/>
  <c r="L10" i="78"/>
  <c r="C10" i="78"/>
  <c r="B10" i="78"/>
  <c r="D10" i="78" s="1"/>
  <c r="G10" i="78" s="1"/>
  <c r="L9" i="78"/>
  <c r="C9" i="78"/>
  <c r="B9" i="78"/>
  <c r="D9" i="78" s="1"/>
  <c r="G9" i="78" s="1"/>
  <c r="L8" i="78"/>
  <c r="C8" i="78"/>
  <c r="B8" i="78"/>
  <c r="L7" i="78"/>
  <c r="C7" i="78"/>
  <c r="D7" i="78" s="1"/>
  <c r="G7" i="78" s="1"/>
  <c r="B7" i="78"/>
  <c r="L6" i="78"/>
  <c r="C6" i="78"/>
  <c r="B6" i="78"/>
  <c r="L5" i="78"/>
  <c r="C5" i="78"/>
  <c r="B5" i="78"/>
  <c r="D5" i="78" s="1"/>
  <c r="G5" i="78" s="1"/>
  <c r="L4" i="78"/>
  <c r="C4" i="78"/>
  <c r="B4" i="78"/>
  <c r="D4" i="78" s="1"/>
  <c r="G4" i="78" s="1"/>
  <c r="L3" i="78"/>
  <c r="C3" i="78"/>
  <c r="D3" i="78" s="1"/>
  <c r="B3" i="78"/>
  <c r="D25" i="78" l="1"/>
  <c r="G25" i="78" s="1"/>
  <c r="D37" i="78"/>
  <c r="G37" i="78" s="1"/>
  <c r="D58" i="78"/>
  <c r="G58" i="78" s="1"/>
  <c r="D81" i="78"/>
  <c r="G81" i="78" s="1"/>
  <c r="D8" i="78"/>
  <c r="G8" i="78" s="1"/>
  <c r="B117" i="78"/>
  <c r="D17" i="78"/>
  <c r="G17" i="78" s="1"/>
  <c r="D19" i="78"/>
  <c r="G19" i="78" s="1"/>
  <c r="D24" i="78"/>
  <c r="G24" i="78" s="1"/>
  <c r="D43" i="78"/>
  <c r="G43" i="78" s="1"/>
  <c r="D82" i="78"/>
  <c r="G82" i="78" s="1"/>
  <c r="D6" i="78"/>
  <c r="G6" i="78" s="1"/>
  <c r="D57" i="78"/>
  <c r="G57" i="78" s="1"/>
  <c r="D64" i="78"/>
  <c r="G64" i="78" s="1"/>
  <c r="D73" i="78"/>
  <c r="G73" i="78" s="1"/>
  <c r="D35" i="78"/>
  <c r="G35" i="78" s="1"/>
  <c r="D46" i="78"/>
  <c r="G46" i="78" s="1"/>
  <c r="D55" i="78"/>
  <c r="G55" i="78" s="1"/>
  <c r="D22" i="78"/>
  <c r="G22" i="78" s="1"/>
  <c r="F126" i="78"/>
  <c r="D116" i="78"/>
  <c r="G3" i="78"/>
  <c r="G116" i="78" s="1"/>
  <c r="B116" i="78"/>
  <c r="B126" i="78" s="1"/>
  <c r="D28" i="78"/>
  <c r="G28" i="78" s="1"/>
  <c r="B120" i="78"/>
  <c r="D51" i="78"/>
  <c r="B119" i="78"/>
  <c r="D39" i="78"/>
  <c r="D63" i="78"/>
  <c r="B121" i="78"/>
  <c r="D15" i="78"/>
  <c r="B118" i="78"/>
  <c r="B122" i="78"/>
  <c r="D75" i="78"/>
  <c r="D118" i="78"/>
  <c r="D31" i="78"/>
  <c r="G31" i="78" s="1"/>
  <c r="E126" i="78"/>
  <c r="P123" i="78"/>
  <c r="P124" i="78" s="1"/>
  <c r="G118" i="78" l="1"/>
  <c r="D119" i="78"/>
  <c r="G39" i="78"/>
  <c r="D120" i="78"/>
  <c r="G51" i="78"/>
  <c r="G63" i="78"/>
  <c r="D121" i="78"/>
  <c r="D122" i="78"/>
  <c r="G75" i="78"/>
  <c r="D117" i="78"/>
  <c r="G15" i="78"/>
  <c r="I78" i="72"/>
  <c r="I84" i="72"/>
  <c r="I69" i="72"/>
  <c r="H70" i="72"/>
  <c r="I54" i="72"/>
  <c r="I60" i="72"/>
  <c r="I42" i="72"/>
  <c r="I48" i="72"/>
  <c r="I30" i="72"/>
  <c r="I36" i="72"/>
  <c r="I21" i="72"/>
  <c r="I9" i="72"/>
  <c r="H22" i="72"/>
  <c r="H9" i="72"/>
  <c r="N33" i="76"/>
  <c r="N19" i="76"/>
  <c r="M19" i="76"/>
  <c r="I86" i="72"/>
  <c r="I85" i="72"/>
  <c r="I83" i="72"/>
  <c r="I82" i="72"/>
  <c r="I81" i="72"/>
  <c r="I80" i="72"/>
  <c r="I79" i="72"/>
  <c r="I77" i="72"/>
  <c r="I76" i="72"/>
  <c r="I75" i="72"/>
  <c r="H86" i="72"/>
  <c r="H85" i="72"/>
  <c r="H84" i="72"/>
  <c r="H83" i="72"/>
  <c r="H82" i="72"/>
  <c r="H81" i="72"/>
  <c r="H80" i="72"/>
  <c r="H79" i="72"/>
  <c r="H78" i="72"/>
  <c r="H77" i="72"/>
  <c r="H76" i="72"/>
  <c r="H75" i="72"/>
  <c r="I74" i="72"/>
  <c r="I73" i="72"/>
  <c r="I72" i="72"/>
  <c r="I71" i="72"/>
  <c r="I70" i="72"/>
  <c r="I68" i="72"/>
  <c r="I67" i="72"/>
  <c r="I66" i="72"/>
  <c r="I65" i="72"/>
  <c r="I64" i="72"/>
  <c r="I63" i="72"/>
  <c r="H74" i="72"/>
  <c r="H73" i="72"/>
  <c r="H72" i="72"/>
  <c r="H71" i="72"/>
  <c r="H69" i="72"/>
  <c r="H68" i="72"/>
  <c r="H67" i="72"/>
  <c r="H66" i="72"/>
  <c r="H65" i="72"/>
  <c r="H64" i="72"/>
  <c r="H63" i="72"/>
  <c r="I62" i="72"/>
  <c r="I61" i="72"/>
  <c r="I59" i="72"/>
  <c r="I58" i="72"/>
  <c r="I57" i="72"/>
  <c r="I56" i="72"/>
  <c r="I55" i="72"/>
  <c r="I53" i="72"/>
  <c r="I52" i="72"/>
  <c r="I51" i="72"/>
  <c r="H62" i="72"/>
  <c r="H61" i="72"/>
  <c r="H60" i="72"/>
  <c r="H59" i="72"/>
  <c r="H58" i="72"/>
  <c r="H57" i="72"/>
  <c r="H56" i="72"/>
  <c r="H55" i="72"/>
  <c r="H54" i="72"/>
  <c r="H53" i="72"/>
  <c r="H52" i="72"/>
  <c r="H51" i="72"/>
  <c r="I50" i="72"/>
  <c r="I49" i="72"/>
  <c r="I47" i="72"/>
  <c r="I46" i="72"/>
  <c r="I45" i="72"/>
  <c r="I44" i="72"/>
  <c r="I43" i="72"/>
  <c r="I41" i="72"/>
  <c r="I40" i="72"/>
  <c r="I39" i="72"/>
  <c r="H50" i="72"/>
  <c r="H49" i="72"/>
  <c r="H48" i="72"/>
  <c r="H47" i="72"/>
  <c r="H46" i="72"/>
  <c r="H45" i="72"/>
  <c r="H44" i="72"/>
  <c r="H43" i="72"/>
  <c r="H42" i="72"/>
  <c r="H41" i="72"/>
  <c r="H40" i="72"/>
  <c r="H39" i="72"/>
  <c r="I38" i="72"/>
  <c r="I37" i="72"/>
  <c r="I35" i="72"/>
  <c r="I34" i="72"/>
  <c r="I33" i="72"/>
  <c r="I32" i="72"/>
  <c r="I31" i="72"/>
  <c r="I29" i="72"/>
  <c r="I28" i="72"/>
  <c r="I27" i="72"/>
  <c r="H38" i="72"/>
  <c r="H37" i="72"/>
  <c r="H36" i="72"/>
  <c r="H35" i="72"/>
  <c r="H34" i="72"/>
  <c r="H33" i="72"/>
  <c r="H32" i="72"/>
  <c r="H31" i="72"/>
  <c r="H30" i="72"/>
  <c r="H29" i="72"/>
  <c r="H28" i="72"/>
  <c r="H27" i="72"/>
  <c r="I26" i="72"/>
  <c r="I25" i="72"/>
  <c r="I24" i="72"/>
  <c r="I23" i="72"/>
  <c r="I22" i="72"/>
  <c r="I20" i="72"/>
  <c r="I19" i="72"/>
  <c r="I18" i="72"/>
  <c r="I17" i="72"/>
  <c r="I16" i="72"/>
  <c r="I15" i="72"/>
  <c r="H26" i="72"/>
  <c r="H25" i="72"/>
  <c r="H24" i="72"/>
  <c r="H23" i="72"/>
  <c r="H21" i="72"/>
  <c r="H20" i="72"/>
  <c r="H19" i="72"/>
  <c r="H18" i="72"/>
  <c r="H17" i="72"/>
  <c r="H16" i="72"/>
  <c r="H15" i="72"/>
  <c r="M38" i="76"/>
  <c r="M37" i="76"/>
  <c r="I12" i="72"/>
  <c r="I96" i="72" s="1"/>
  <c r="I11" i="72"/>
  <c r="M34" i="76"/>
  <c r="M33" i="76"/>
  <c r="M32" i="76"/>
  <c r="M31" i="76"/>
  <c r="I6" i="72"/>
  <c r="I5" i="72"/>
  <c r="I4" i="72"/>
  <c r="I3" i="72"/>
  <c r="H14" i="72"/>
  <c r="H13" i="72"/>
  <c r="H12" i="72"/>
  <c r="H11" i="72"/>
  <c r="H95" i="72" s="1"/>
  <c r="M15" i="76"/>
  <c r="M14" i="76"/>
  <c r="M13" i="76"/>
  <c r="M12" i="76"/>
  <c r="M11" i="76"/>
  <c r="M10" i="76"/>
  <c r="M9" i="76"/>
  <c r="H3" i="72"/>
  <c r="N28" i="76"/>
  <c r="N14" i="76"/>
  <c r="L5" i="76"/>
  <c r="K5" i="76"/>
  <c r="J5" i="76"/>
  <c r="I5" i="76"/>
  <c r="H5" i="76"/>
  <c r="G5" i="76"/>
  <c r="F5" i="76"/>
  <c r="E5" i="76"/>
  <c r="D5" i="76"/>
  <c r="C5" i="76"/>
  <c r="N38" i="76"/>
  <c r="N37" i="76"/>
  <c r="N36" i="76"/>
  <c r="N35" i="76"/>
  <c r="N34" i="76"/>
  <c r="N32" i="76"/>
  <c r="N31" i="76"/>
  <c r="N30" i="76"/>
  <c r="N29" i="76"/>
  <c r="N27" i="76"/>
  <c r="N8" i="76"/>
  <c r="N15" i="76"/>
  <c r="N16" i="76"/>
  <c r="N17" i="76"/>
  <c r="N18" i="76"/>
  <c r="N13" i="76"/>
  <c r="N12" i="76"/>
  <c r="N11" i="76"/>
  <c r="N10" i="76"/>
  <c r="N9" i="76"/>
  <c r="B5" i="76"/>
  <c r="F122" i="72"/>
  <c r="F121" i="72"/>
  <c r="P121" i="72" s="1"/>
  <c r="F120" i="72"/>
  <c r="P120" i="72" s="1"/>
  <c r="F119" i="72"/>
  <c r="P119" i="72" s="1"/>
  <c r="F118" i="72"/>
  <c r="P118" i="72" s="1"/>
  <c r="F117" i="72"/>
  <c r="P117" i="72" s="1"/>
  <c r="F116" i="72"/>
  <c r="P116" i="72" s="1"/>
  <c r="E122" i="72"/>
  <c r="O122" i="72" s="1"/>
  <c r="E121" i="72"/>
  <c r="O121" i="72" s="1"/>
  <c r="E120" i="72"/>
  <c r="O120" i="72" s="1"/>
  <c r="E119" i="72"/>
  <c r="E118" i="72"/>
  <c r="O118" i="72" s="1"/>
  <c r="E117" i="72"/>
  <c r="O117" i="72" s="1"/>
  <c r="E116" i="72"/>
  <c r="O116" i="72" s="1"/>
  <c r="I89" i="72" l="1"/>
  <c r="D126" i="78"/>
  <c r="I90" i="72"/>
  <c r="H97" i="72"/>
  <c r="H98" i="72"/>
  <c r="H107" i="72"/>
  <c r="H11" i="78"/>
  <c r="H96" i="72"/>
  <c r="I87" i="72"/>
  <c r="I95" i="72"/>
  <c r="H87" i="72"/>
  <c r="H3" i="78" s="1"/>
  <c r="I88" i="72"/>
  <c r="I108" i="72"/>
  <c r="I12" i="78"/>
  <c r="G117" i="78"/>
  <c r="G121" i="78"/>
  <c r="G120" i="78"/>
  <c r="G119" i="78"/>
  <c r="G122" i="78"/>
  <c r="H93" i="72"/>
  <c r="M8" i="76"/>
  <c r="M27" i="76"/>
  <c r="H10" i="72"/>
  <c r="H94" i="72" s="1"/>
  <c r="I10" i="72"/>
  <c r="I94" i="72" s="1"/>
  <c r="M18" i="76"/>
  <c r="M29" i="76"/>
  <c r="H8" i="72"/>
  <c r="H92" i="72" s="1"/>
  <c r="I8" i="72"/>
  <c r="I92" i="72" s="1"/>
  <c r="I93" i="72"/>
  <c r="M17" i="76"/>
  <c r="M30" i="76"/>
  <c r="H7" i="72"/>
  <c r="H91" i="72" s="1"/>
  <c r="I7" i="72"/>
  <c r="I91" i="72" s="1"/>
  <c r="M28" i="76"/>
  <c r="M16" i="76"/>
  <c r="H6" i="72"/>
  <c r="H90" i="72" s="1"/>
  <c r="H5" i="72"/>
  <c r="H89" i="72" s="1"/>
  <c r="H4" i="72"/>
  <c r="H88" i="72" s="1"/>
  <c r="M35" i="76"/>
  <c r="I14" i="72"/>
  <c r="I98" i="72" s="1"/>
  <c r="M36" i="76"/>
  <c r="I13" i="72"/>
  <c r="I97" i="72" s="1"/>
  <c r="P122" i="72"/>
  <c r="E126" i="72"/>
  <c r="O119" i="72"/>
  <c r="I20" i="76"/>
  <c r="J20" i="76"/>
  <c r="J39" i="76"/>
  <c r="H39" i="76"/>
  <c r="L20" i="76"/>
  <c r="L39" i="76"/>
  <c r="D39" i="76"/>
  <c r="E39" i="76"/>
  <c r="K39" i="76"/>
  <c r="D20" i="76"/>
  <c r="E20" i="76"/>
  <c r="F39" i="76"/>
  <c r="K20" i="76"/>
  <c r="F20" i="76"/>
  <c r="G39" i="76"/>
  <c r="G20" i="76"/>
  <c r="I39" i="76"/>
  <c r="H20" i="76"/>
  <c r="C39" i="76"/>
  <c r="C20" i="76"/>
  <c r="B39" i="76"/>
  <c r="B20" i="76"/>
  <c r="F126" i="72"/>
  <c r="Z150" i="73"/>
  <c r="W150" i="73"/>
  <c r="Q150" i="73"/>
  <c r="N150" i="73"/>
  <c r="K150" i="73"/>
  <c r="I110" i="72" l="1"/>
  <c r="I14" i="78"/>
  <c r="H103" i="72"/>
  <c r="H7" i="78"/>
  <c r="I106" i="72"/>
  <c r="I10" i="78"/>
  <c r="I100" i="72"/>
  <c r="I4" i="78"/>
  <c r="H110" i="72"/>
  <c r="H14" i="78"/>
  <c r="H106" i="72"/>
  <c r="H10" i="78"/>
  <c r="H100" i="72"/>
  <c r="H4" i="78"/>
  <c r="H99" i="72"/>
  <c r="I102" i="72"/>
  <c r="I6" i="78"/>
  <c r="I103" i="72"/>
  <c r="I7" i="78"/>
  <c r="H15" i="78"/>
  <c r="N3" i="78"/>
  <c r="I107" i="72"/>
  <c r="I11" i="78"/>
  <c r="H109" i="72"/>
  <c r="H13" i="78"/>
  <c r="H101" i="72"/>
  <c r="H5" i="78"/>
  <c r="H102" i="72"/>
  <c r="H6" i="78"/>
  <c r="I104" i="72"/>
  <c r="I8" i="78"/>
  <c r="H105" i="72"/>
  <c r="H9" i="78"/>
  <c r="I99" i="72"/>
  <c r="I3" i="78"/>
  <c r="I101" i="72"/>
  <c r="I5" i="78"/>
  <c r="I105" i="72"/>
  <c r="I9" i="78"/>
  <c r="H104" i="72"/>
  <c r="H8" i="78"/>
  <c r="H108" i="72"/>
  <c r="H12" i="78"/>
  <c r="P123" i="72"/>
  <c r="I109" i="72"/>
  <c r="I13" i="78"/>
  <c r="I96" i="78"/>
  <c r="I108" i="78" s="1"/>
  <c r="I24" i="78"/>
  <c r="I36" i="78" s="1"/>
  <c r="I48" i="78" s="1"/>
  <c r="I60" i="78" s="1"/>
  <c r="I72" i="78" s="1"/>
  <c r="I84" i="78" s="1"/>
  <c r="H23" i="78"/>
  <c r="N11" i="78"/>
  <c r="G126" i="78"/>
  <c r="I22" i="78" l="1"/>
  <c r="I34" i="78" s="1"/>
  <c r="I46" i="78" s="1"/>
  <c r="I58" i="78" s="1"/>
  <c r="I70" i="78" s="1"/>
  <c r="I82" i="78" s="1"/>
  <c r="H27" i="78"/>
  <c r="I15" i="78"/>
  <c r="I27" i="78" s="1"/>
  <c r="I39" i="78" s="1"/>
  <c r="I51" i="78" s="1"/>
  <c r="I63" i="78" s="1"/>
  <c r="I75" i="78" s="1"/>
  <c r="H24" i="78"/>
  <c r="N12" i="78"/>
  <c r="H17" i="78"/>
  <c r="N5" i="78"/>
  <c r="H22" i="78"/>
  <c r="N10" i="78"/>
  <c r="I19" i="78"/>
  <c r="I31" i="78" s="1"/>
  <c r="I43" i="78" s="1"/>
  <c r="I55" i="78" s="1"/>
  <c r="I67" i="78" s="1"/>
  <c r="I79" i="78" s="1"/>
  <c r="H20" i="78"/>
  <c r="N8" i="78"/>
  <c r="H25" i="78"/>
  <c r="N13" i="78"/>
  <c r="H26" i="78"/>
  <c r="N14" i="78"/>
  <c r="I26" i="78"/>
  <c r="I38" i="78" s="1"/>
  <c r="I50" i="78" s="1"/>
  <c r="I62" i="78" s="1"/>
  <c r="I74" i="78" s="1"/>
  <c r="I86" i="78" s="1"/>
  <c r="I98" i="78"/>
  <c r="I110" i="78" s="1"/>
  <c r="I17" i="78"/>
  <c r="I29" i="78" s="1"/>
  <c r="I41" i="78" s="1"/>
  <c r="I53" i="78" s="1"/>
  <c r="I65" i="78" s="1"/>
  <c r="I77" i="78" s="1"/>
  <c r="H16" i="78"/>
  <c r="N4" i="78"/>
  <c r="N116" i="78" s="1"/>
  <c r="Q116" i="78" s="1"/>
  <c r="R116" i="72" s="1"/>
  <c r="H19" i="78"/>
  <c r="N7" i="78"/>
  <c r="H35" i="78"/>
  <c r="H21" i="78"/>
  <c r="N9" i="78"/>
  <c r="I18" i="78"/>
  <c r="I30" i="78" s="1"/>
  <c r="I42" i="78" s="1"/>
  <c r="I54" i="78" s="1"/>
  <c r="I66" i="78" s="1"/>
  <c r="I78" i="78" s="1"/>
  <c r="I90" i="78"/>
  <c r="I102" i="78" s="1"/>
  <c r="I25" i="78"/>
  <c r="I37" i="78" s="1"/>
  <c r="I49" i="78" s="1"/>
  <c r="I61" i="78" s="1"/>
  <c r="I73" i="78" s="1"/>
  <c r="I85" i="78" s="1"/>
  <c r="H18" i="78"/>
  <c r="N6" i="78"/>
  <c r="I21" i="78"/>
  <c r="I33" i="78" s="1"/>
  <c r="I45" i="78" s="1"/>
  <c r="I57" i="78" s="1"/>
  <c r="I69" i="78" s="1"/>
  <c r="I81" i="78" s="1"/>
  <c r="I20" i="78"/>
  <c r="I32" i="78" s="1"/>
  <c r="I44" i="78" s="1"/>
  <c r="I56" i="78" s="1"/>
  <c r="I68" i="78" s="1"/>
  <c r="I80" i="78" s="1"/>
  <c r="I95" i="78"/>
  <c r="I107" i="78" s="1"/>
  <c r="I23" i="78"/>
  <c r="I35" i="78" s="1"/>
  <c r="I47" i="78" s="1"/>
  <c r="I59" i="78" s="1"/>
  <c r="I71" i="78" s="1"/>
  <c r="I83" i="78" s="1"/>
  <c r="I16" i="78"/>
  <c r="I28" i="78" s="1"/>
  <c r="I40" i="78" s="1"/>
  <c r="I52" i="78" s="1"/>
  <c r="I64" i="78" s="1"/>
  <c r="I76" i="78" s="1"/>
  <c r="I88" i="78"/>
  <c r="I100" i="78" s="1"/>
  <c r="Y150" i="73"/>
  <c r="V150" i="73"/>
  <c r="S150" i="73"/>
  <c r="P150" i="73"/>
  <c r="M150" i="73"/>
  <c r="J150" i="73"/>
  <c r="H150" i="73"/>
  <c r="O2" i="9"/>
  <c r="F1" i="18" s="1"/>
  <c r="N2" i="9"/>
  <c r="E1" i="18" s="1"/>
  <c r="M2" i="9"/>
  <c r="L2" i="9"/>
  <c r="K2" i="9"/>
  <c r="J2" i="9"/>
  <c r="I2" i="9"/>
  <c r="H2" i="9"/>
  <c r="H30" i="78" l="1"/>
  <c r="N18" i="78"/>
  <c r="N23" i="78"/>
  <c r="F2" i="17"/>
  <c r="D1" i="18" s="1"/>
  <c r="A31" i="11"/>
  <c r="H34" i="78"/>
  <c r="H46" i="78" s="1"/>
  <c r="H58" i="78" s="1"/>
  <c r="H70" i="78" s="1"/>
  <c r="H82" i="78" s="1"/>
  <c r="N22" i="78"/>
  <c r="E2" i="17"/>
  <c r="C1" i="18" s="1"/>
  <c r="A26" i="11"/>
  <c r="I97" i="78"/>
  <c r="I109" i="78" s="1"/>
  <c r="H47" i="78"/>
  <c r="H59" i="78" s="1"/>
  <c r="H71" i="78" s="1"/>
  <c r="H83" i="78" s="1"/>
  <c r="H95" i="78"/>
  <c r="H107" i="78" s="1"/>
  <c r="I89" i="78"/>
  <c r="I101" i="78" s="1"/>
  <c r="H37" i="78"/>
  <c r="N25" i="78"/>
  <c r="H94" i="78"/>
  <c r="H106" i="78" s="1"/>
  <c r="I87" i="78"/>
  <c r="I99" i="78" s="1"/>
  <c r="N15" i="78"/>
  <c r="H29" i="78"/>
  <c r="N17" i="78"/>
  <c r="H39" i="78"/>
  <c r="H51" i="78" s="1"/>
  <c r="H63" i="78" s="1"/>
  <c r="H75" i="78" s="1"/>
  <c r="N27" i="78"/>
  <c r="I92" i="78"/>
  <c r="I104" i="78" s="1"/>
  <c r="H31" i="78"/>
  <c r="N19" i="78"/>
  <c r="I93" i="78"/>
  <c r="I105" i="78" s="1"/>
  <c r="H87" i="78"/>
  <c r="H99" i="78" s="1"/>
  <c r="H32" i="78"/>
  <c r="N20" i="78"/>
  <c r="I94" i="78"/>
  <c r="I106" i="78" s="1"/>
  <c r="H33" i="78"/>
  <c r="N21" i="78"/>
  <c r="H28" i="78"/>
  <c r="N16" i="78"/>
  <c r="H38" i="78"/>
  <c r="N26" i="78"/>
  <c r="I91" i="78"/>
  <c r="I103" i="78" s="1"/>
  <c r="H36" i="78"/>
  <c r="H48" i="78" s="1"/>
  <c r="H60" i="78" s="1"/>
  <c r="H72" i="78" s="1"/>
  <c r="H84" i="78" s="1"/>
  <c r="N24" i="78"/>
  <c r="N33" i="78"/>
  <c r="T146" i="73"/>
  <c r="C3" i="72"/>
  <c r="C4" i="72"/>
  <c r="C5" i="72"/>
  <c r="C6" i="72"/>
  <c r="C7" i="72"/>
  <c r="C8" i="72"/>
  <c r="C9" i="72"/>
  <c r="C10" i="72"/>
  <c r="C11" i="72"/>
  <c r="C12" i="72"/>
  <c r="C13" i="72"/>
  <c r="C14" i="72"/>
  <c r="C15" i="72"/>
  <c r="C16" i="72"/>
  <c r="C17" i="72"/>
  <c r="C18" i="72"/>
  <c r="C19" i="72"/>
  <c r="C20" i="72"/>
  <c r="C21" i="72"/>
  <c r="C22" i="72"/>
  <c r="C23" i="72"/>
  <c r="C24" i="72"/>
  <c r="C25" i="72"/>
  <c r="C26" i="72"/>
  <c r="C27" i="72"/>
  <c r="C28" i="72"/>
  <c r="C29" i="72"/>
  <c r="C30" i="72"/>
  <c r="C31" i="72"/>
  <c r="C32" i="72"/>
  <c r="C33" i="72"/>
  <c r="C34" i="72"/>
  <c r="C35" i="72"/>
  <c r="C36" i="72"/>
  <c r="C37" i="72"/>
  <c r="C38" i="72"/>
  <c r="C39" i="72"/>
  <c r="C40" i="72"/>
  <c r="C41" i="72"/>
  <c r="C42" i="72"/>
  <c r="C43" i="72"/>
  <c r="C44" i="72"/>
  <c r="C45" i="72"/>
  <c r="C46" i="72"/>
  <c r="C47" i="72"/>
  <c r="C48" i="72"/>
  <c r="C49" i="72"/>
  <c r="C50" i="72"/>
  <c r="C51" i="72"/>
  <c r="C52" i="72"/>
  <c r="C53" i="72"/>
  <c r="C54" i="72"/>
  <c r="C55" i="72"/>
  <c r="C56" i="72"/>
  <c r="C57" i="72"/>
  <c r="C58" i="72"/>
  <c r="C59" i="72"/>
  <c r="C60" i="72"/>
  <c r="C61" i="72"/>
  <c r="C62" i="72"/>
  <c r="C63" i="72"/>
  <c r="C64" i="72"/>
  <c r="C65" i="72"/>
  <c r="C66" i="72"/>
  <c r="C67" i="72"/>
  <c r="C68" i="72"/>
  <c r="C69" i="72"/>
  <c r="C70" i="72"/>
  <c r="C71" i="72"/>
  <c r="C72" i="72"/>
  <c r="C73" i="72"/>
  <c r="C74" i="72"/>
  <c r="C75" i="72"/>
  <c r="C76" i="72"/>
  <c r="C77" i="72"/>
  <c r="C78" i="72"/>
  <c r="C79" i="72"/>
  <c r="C80" i="72"/>
  <c r="C81" i="72"/>
  <c r="C82" i="72"/>
  <c r="C83" i="72"/>
  <c r="C84" i="72"/>
  <c r="C85" i="72"/>
  <c r="C86" i="72"/>
  <c r="Y21" i="73"/>
  <c r="V21" i="73"/>
  <c r="S21" i="73"/>
  <c r="H40" i="78" l="1"/>
  <c r="H52" i="78" s="1"/>
  <c r="H64" i="78" s="1"/>
  <c r="H76" i="78" s="1"/>
  <c r="N28" i="78"/>
  <c r="N117" i="78"/>
  <c r="Q117" i="78" s="1"/>
  <c r="R117" i="72" s="1"/>
  <c r="H42" i="78"/>
  <c r="H54" i="78" s="1"/>
  <c r="H66" i="78" s="1"/>
  <c r="H78" i="78" s="1"/>
  <c r="N30" i="78"/>
  <c r="H90" i="78"/>
  <c r="H102" i="78" s="1"/>
  <c r="H41" i="78"/>
  <c r="H53" i="78" s="1"/>
  <c r="H65" i="78" s="1"/>
  <c r="H77" i="78" s="1"/>
  <c r="N29" i="78"/>
  <c r="H45" i="78"/>
  <c r="H57" i="78" s="1"/>
  <c r="H69" i="78" s="1"/>
  <c r="H81" i="78" s="1"/>
  <c r="H93" i="78"/>
  <c r="H105" i="78" s="1"/>
  <c r="H43" i="78"/>
  <c r="H55" i="78" s="1"/>
  <c r="H67" i="78" s="1"/>
  <c r="H79" i="78" s="1"/>
  <c r="N31" i="78"/>
  <c r="H96" i="78"/>
  <c r="H108" i="78" s="1"/>
  <c r="H88" i="78"/>
  <c r="H100" i="78" s="1"/>
  <c r="H44" i="78"/>
  <c r="H56" i="78" s="1"/>
  <c r="H68" i="78" s="1"/>
  <c r="H80" i="78" s="1"/>
  <c r="N32" i="78"/>
  <c r="H49" i="78"/>
  <c r="H61" i="78" s="1"/>
  <c r="H73" i="78" s="1"/>
  <c r="H85" i="78" s="1"/>
  <c r="H91" i="78"/>
  <c r="H103" i="78" s="1"/>
  <c r="H50" i="78"/>
  <c r="H62" i="78" s="1"/>
  <c r="H74" i="78" s="1"/>
  <c r="H86" i="78" s="1"/>
  <c r="N34" i="78"/>
  <c r="AC52" i="73"/>
  <c r="AC40" i="73"/>
  <c r="AC28" i="73"/>
  <c r="F150" i="73"/>
  <c r="I5" i="9"/>
  <c r="L9" i="9"/>
  <c r="L6" i="9"/>
  <c r="L3" i="9"/>
  <c r="AC55" i="73"/>
  <c r="AC43" i="73"/>
  <c r="AC31" i="73"/>
  <c r="J8" i="9"/>
  <c r="K9" i="9"/>
  <c r="K8" i="9"/>
  <c r="K6" i="9"/>
  <c r="K5" i="9"/>
  <c r="K4" i="9"/>
  <c r="K3" i="9"/>
  <c r="K7" i="9"/>
  <c r="AC53" i="73"/>
  <c r="AC41" i="73"/>
  <c r="AC29" i="73"/>
  <c r="J5" i="9"/>
  <c r="J4" i="9"/>
  <c r="J7" i="9"/>
  <c r="J6" i="9"/>
  <c r="J3" i="9"/>
  <c r="AC50" i="73"/>
  <c r="AC38" i="73"/>
  <c r="AC26" i="73"/>
  <c r="T148" i="73"/>
  <c r="I9" i="9"/>
  <c r="I8" i="9"/>
  <c r="I3" i="9"/>
  <c r="H8" i="9"/>
  <c r="H6" i="9"/>
  <c r="H4" i="9"/>
  <c r="H3" i="9"/>
  <c r="AC49" i="73"/>
  <c r="AC37" i="73"/>
  <c r="AC25" i="73"/>
  <c r="I4" i="9"/>
  <c r="H9" i="9"/>
  <c r="H7" i="9"/>
  <c r="H5" i="9"/>
  <c r="AC58" i="73"/>
  <c r="AC46" i="73"/>
  <c r="AC34" i="73"/>
  <c r="I7" i="9"/>
  <c r="L7" i="9"/>
  <c r="L5" i="9"/>
  <c r="J9" i="9"/>
  <c r="J18" i="9" s="1"/>
  <c r="J19" i="9" s="1"/>
  <c r="I6" i="9"/>
  <c r="L8" i="9"/>
  <c r="L4" i="9"/>
  <c r="AC56" i="73"/>
  <c r="AC44" i="73"/>
  <c r="AC32" i="73"/>
  <c r="E14" i="73"/>
  <c r="E17" i="17" s="1"/>
  <c r="E13" i="73"/>
  <c r="E16" i="17" s="1"/>
  <c r="E12" i="73"/>
  <c r="E15" i="17" s="1"/>
  <c r="E11" i="73"/>
  <c r="E14" i="17" s="1"/>
  <c r="E10" i="73"/>
  <c r="E13" i="17" s="1"/>
  <c r="E9" i="73"/>
  <c r="E12" i="17" s="1"/>
  <c r="E8" i="73"/>
  <c r="E11" i="17" s="1"/>
  <c r="B27" i="11" s="1"/>
  <c r="E7" i="73"/>
  <c r="E6" i="73"/>
  <c r="AC80" i="73"/>
  <c r="L23" i="72"/>
  <c r="N23" i="72" s="1"/>
  <c r="L84" i="72"/>
  <c r="N84" i="72" s="1"/>
  <c r="AC141" i="73"/>
  <c r="AC129" i="73"/>
  <c r="L72" i="72"/>
  <c r="N72" i="72" s="1"/>
  <c r="L60" i="72"/>
  <c r="N60" i="72" s="1"/>
  <c r="AC117" i="73"/>
  <c r="AC105" i="73"/>
  <c r="L48" i="72"/>
  <c r="N48" i="72" s="1"/>
  <c r="AC93" i="73"/>
  <c r="L36" i="72"/>
  <c r="N36" i="72" s="1"/>
  <c r="L24" i="72"/>
  <c r="N24" i="72" s="1"/>
  <c r="AC81" i="73"/>
  <c r="L12" i="72"/>
  <c r="N12" i="72" s="1"/>
  <c r="AC69" i="73"/>
  <c r="AC57" i="73"/>
  <c r="AC45" i="73"/>
  <c r="AC33" i="73"/>
  <c r="L82" i="72"/>
  <c r="N82" i="72" s="1"/>
  <c r="AC139" i="73"/>
  <c r="L70" i="72"/>
  <c r="N70" i="72" s="1"/>
  <c r="AC127" i="73"/>
  <c r="L58" i="72"/>
  <c r="N58" i="72" s="1"/>
  <c r="AC115" i="73"/>
  <c r="L46" i="72"/>
  <c r="N46" i="72" s="1"/>
  <c r="AC103" i="73"/>
  <c r="AC91" i="73"/>
  <c r="L34" i="72"/>
  <c r="N34" i="72" s="1"/>
  <c r="L22" i="72"/>
  <c r="N22" i="72" s="1"/>
  <c r="AC79" i="73"/>
  <c r="L10" i="72"/>
  <c r="N10" i="72" s="1"/>
  <c r="AC67" i="73"/>
  <c r="AC138" i="73"/>
  <c r="L81" i="72"/>
  <c r="N81" i="72" s="1"/>
  <c r="AC126" i="73"/>
  <c r="L69" i="72"/>
  <c r="N69" i="72" s="1"/>
  <c r="AC114" i="73"/>
  <c r="L57" i="72"/>
  <c r="N57" i="72" s="1"/>
  <c r="AC102" i="73"/>
  <c r="L45" i="72"/>
  <c r="N45" i="72" s="1"/>
  <c r="AC90" i="73"/>
  <c r="L33" i="72"/>
  <c r="N33" i="72" s="1"/>
  <c r="AC78" i="73"/>
  <c r="L21" i="72"/>
  <c r="N21" i="72" s="1"/>
  <c r="AC66" i="73"/>
  <c r="L9" i="72"/>
  <c r="N9" i="72" s="1"/>
  <c r="AC54" i="73"/>
  <c r="AC42" i="73"/>
  <c r="AC30" i="73"/>
  <c r="L35" i="72"/>
  <c r="N35" i="72" s="1"/>
  <c r="AC92" i="73"/>
  <c r="AC137" i="73"/>
  <c r="L80" i="72"/>
  <c r="N80" i="72" s="1"/>
  <c r="AC125" i="73"/>
  <c r="L68" i="72"/>
  <c r="N68" i="72" s="1"/>
  <c r="AC113" i="73"/>
  <c r="L56" i="72"/>
  <c r="N56" i="72" s="1"/>
  <c r="AC101" i="73"/>
  <c r="L44" i="72"/>
  <c r="N44" i="72" s="1"/>
  <c r="AC89" i="73"/>
  <c r="L32" i="72"/>
  <c r="N32" i="72" s="1"/>
  <c r="AC77" i="73"/>
  <c r="L20" i="72"/>
  <c r="N20" i="72" s="1"/>
  <c r="AC65" i="73"/>
  <c r="L8" i="72"/>
  <c r="N8" i="72" s="1"/>
  <c r="D14" i="73"/>
  <c r="D17" i="17" s="1"/>
  <c r="D13" i="73"/>
  <c r="D16" i="17" s="1"/>
  <c r="D28" i="17" s="1"/>
  <c r="D12" i="73"/>
  <c r="D15" i="17" s="1"/>
  <c r="D11" i="73"/>
  <c r="D14" i="17" s="1"/>
  <c r="D10" i="73"/>
  <c r="D13" i="17" s="1"/>
  <c r="D25" i="17" s="1"/>
  <c r="D9" i="73"/>
  <c r="D12" i="17" s="1"/>
  <c r="D8" i="73"/>
  <c r="D11" i="17" s="1"/>
  <c r="D7" i="73"/>
  <c r="D6" i="73"/>
  <c r="AC140" i="73"/>
  <c r="L83" i="72"/>
  <c r="N83" i="72" s="1"/>
  <c r="L11" i="72"/>
  <c r="N11" i="72" s="1"/>
  <c r="AC68" i="73"/>
  <c r="AC136" i="73"/>
  <c r="L79" i="72"/>
  <c r="N79" i="72" s="1"/>
  <c r="AC124" i="73"/>
  <c r="L67" i="72"/>
  <c r="N67" i="72" s="1"/>
  <c r="AC112" i="73"/>
  <c r="L55" i="72"/>
  <c r="N55" i="72" s="1"/>
  <c r="AC100" i="73"/>
  <c r="L43" i="72"/>
  <c r="N43" i="72" s="1"/>
  <c r="AC88" i="73"/>
  <c r="L31" i="72"/>
  <c r="N31" i="72" s="1"/>
  <c r="AC76" i="73"/>
  <c r="L19" i="72"/>
  <c r="N19" i="72" s="1"/>
  <c r="AC64" i="73"/>
  <c r="L7" i="72"/>
  <c r="N7" i="72" s="1"/>
  <c r="AC135" i="73"/>
  <c r="L78" i="72"/>
  <c r="N78" i="72" s="1"/>
  <c r="AC123" i="73"/>
  <c r="L66" i="72"/>
  <c r="N66" i="72" s="1"/>
  <c r="AC111" i="73"/>
  <c r="L54" i="72"/>
  <c r="N54" i="72" s="1"/>
  <c r="AC99" i="73"/>
  <c r="L42" i="72"/>
  <c r="N42" i="72" s="1"/>
  <c r="AC87" i="73"/>
  <c r="L30" i="72"/>
  <c r="N30" i="72" s="1"/>
  <c r="AC75" i="73"/>
  <c r="L18" i="72"/>
  <c r="N18" i="72" s="1"/>
  <c r="AC63" i="73"/>
  <c r="L6" i="72"/>
  <c r="N6" i="72" s="1"/>
  <c r="AC51" i="73"/>
  <c r="AC39" i="73"/>
  <c r="AC27" i="73"/>
  <c r="AC134" i="73"/>
  <c r="L77" i="72"/>
  <c r="N77" i="72" s="1"/>
  <c r="AC122" i="73"/>
  <c r="L65" i="72"/>
  <c r="N65" i="72" s="1"/>
  <c r="AC110" i="73"/>
  <c r="L53" i="72"/>
  <c r="N53" i="72" s="1"/>
  <c r="AC98" i="73"/>
  <c r="L41" i="72"/>
  <c r="N41" i="72" s="1"/>
  <c r="AC86" i="73"/>
  <c r="L29" i="72"/>
  <c r="N29" i="72" s="1"/>
  <c r="AC74" i="73"/>
  <c r="L17" i="72"/>
  <c r="N17" i="72" s="1"/>
  <c r="AC62" i="73"/>
  <c r="L5" i="72"/>
  <c r="N5" i="72" s="1"/>
  <c r="L59" i="72"/>
  <c r="N59" i="72" s="1"/>
  <c r="AC116" i="73"/>
  <c r="L76" i="72"/>
  <c r="N76" i="72" s="1"/>
  <c r="AC133" i="73"/>
  <c r="AC121" i="73"/>
  <c r="L64" i="72"/>
  <c r="N64" i="72" s="1"/>
  <c r="AC109" i="73"/>
  <c r="L52" i="72"/>
  <c r="N52" i="72" s="1"/>
  <c r="AC97" i="73"/>
  <c r="L40" i="72"/>
  <c r="N40" i="72" s="1"/>
  <c r="AC85" i="73"/>
  <c r="L28" i="72"/>
  <c r="N28" i="72" s="1"/>
  <c r="AC73" i="73"/>
  <c r="L16" i="72"/>
  <c r="N16" i="72" s="1"/>
  <c r="AC61" i="73"/>
  <c r="L4" i="72"/>
  <c r="N4" i="72" s="1"/>
  <c r="AC132" i="73"/>
  <c r="L75" i="72"/>
  <c r="N75" i="72" s="1"/>
  <c r="AC120" i="73"/>
  <c r="L63" i="72"/>
  <c r="N63" i="72" s="1"/>
  <c r="AC108" i="73"/>
  <c r="L51" i="72"/>
  <c r="N51" i="72" s="1"/>
  <c r="AC96" i="73"/>
  <c r="L39" i="72"/>
  <c r="N39" i="72" s="1"/>
  <c r="AC84" i="73"/>
  <c r="L27" i="72"/>
  <c r="N27" i="72" s="1"/>
  <c r="AC72" i="73"/>
  <c r="L15" i="72"/>
  <c r="N15" i="72" s="1"/>
  <c r="AC60" i="73"/>
  <c r="L3" i="72"/>
  <c r="N3" i="72" s="1"/>
  <c r="AC48" i="73"/>
  <c r="AC36" i="73"/>
  <c r="L71" i="72"/>
  <c r="N71" i="72" s="1"/>
  <c r="AC128" i="73"/>
  <c r="L86" i="72"/>
  <c r="AC143" i="73"/>
  <c r="L74" i="72"/>
  <c r="N74" i="72" s="1"/>
  <c r="AC131" i="73"/>
  <c r="L62" i="72"/>
  <c r="N62" i="72" s="1"/>
  <c r="AC119" i="73"/>
  <c r="L50" i="72"/>
  <c r="N50" i="72" s="1"/>
  <c r="AC107" i="73"/>
  <c r="L38" i="72"/>
  <c r="N38" i="72" s="1"/>
  <c r="AC95" i="73"/>
  <c r="L26" i="72"/>
  <c r="N26" i="72" s="1"/>
  <c r="AC83" i="73"/>
  <c r="L14" i="72"/>
  <c r="N14" i="72" s="1"/>
  <c r="AC71" i="73"/>
  <c r="AC59" i="73"/>
  <c r="AC47" i="73"/>
  <c r="AC35" i="73"/>
  <c r="F14" i="73"/>
  <c r="F17" i="17" s="1"/>
  <c r="F13" i="73"/>
  <c r="F16" i="17" s="1"/>
  <c r="F12" i="73"/>
  <c r="F15" i="17" s="1"/>
  <c r="F11" i="73"/>
  <c r="F14" i="17" s="1"/>
  <c r="F10" i="73"/>
  <c r="F13" i="17" s="1"/>
  <c r="F9" i="73"/>
  <c r="F12" i="17" s="1"/>
  <c r="F8" i="73"/>
  <c r="F11" i="17" s="1"/>
  <c r="B32" i="11" s="1"/>
  <c r="F7" i="73"/>
  <c r="F6" i="73"/>
  <c r="AC104" i="73"/>
  <c r="L47" i="72"/>
  <c r="N47" i="72" s="1"/>
  <c r="AC142" i="73"/>
  <c r="L85" i="72"/>
  <c r="N85" i="72" s="1"/>
  <c r="AC130" i="73"/>
  <c r="L73" i="72"/>
  <c r="N73" i="72" s="1"/>
  <c r="L61" i="72"/>
  <c r="N61" i="72" s="1"/>
  <c r="AC118" i="73"/>
  <c r="AC106" i="73"/>
  <c r="L49" i="72"/>
  <c r="N49" i="72" s="1"/>
  <c r="AC94" i="73"/>
  <c r="L37" i="72"/>
  <c r="N37" i="72" s="1"/>
  <c r="AC82" i="73"/>
  <c r="L25" i="72"/>
  <c r="N25" i="72" s="1"/>
  <c r="AC70" i="73"/>
  <c r="L13" i="72"/>
  <c r="N13" i="72" s="1"/>
  <c r="AA146" i="73"/>
  <c r="AA148" i="73" s="1"/>
  <c r="Z146" i="73"/>
  <c r="Z148" i="73" s="1"/>
  <c r="Y146" i="73"/>
  <c r="Y148" i="73" s="1"/>
  <c r="W146" i="73"/>
  <c r="W148" i="73" s="1"/>
  <c r="U146" i="73"/>
  <c r="U148" i="73" s="1"/>
  <c r="S146" i="73"/>
  <c r="S148" i="73" s="1"/>
  <c r="K146" i="73"/>
  <c r="K148" i="73" s="1"/>
  <c r="N146" i="73"/>
  <c r="N148" i="73" s="1"/>
  <c r="Q146" i="73"/>
  <c r="Q148" i="73" s="1"/>
  <c r="E146" i="73"/>
  <c r="E148" i="73" s="1"/>
  <c r="M21" i="73"/>
  <c r="J21" i="73"/>
  <c r="G27" i="11" l="1"/>
  <c r="E28" i="17"/>
  <c r="H32" i="11"/>
  <c r="F29" i="17"/>
  <c r="D24" i="17"/>
  <c r="H27" i="11"/>
  <c r="E29" i="17"/>
  <c r="D33" i="11"/>
  <c r="F28" i="11"/>
  <c r="H98" i="78"/>
  <c r="H110" i="78" s="1"/>
  <c r="J20" i="9"/>
  <c r="B28" i="11"/>
  <c r="D26" i="17"/>
  <c r="C28" i="11"/>
  <c r="G32" i="11"/>
  <c r="F28" i="17"/>
  <c r="F24" i="17"/>
  <c r="C32" i="11"/>
  <c r="D27" i="17"/>
  <c r="C27" i="11"/>
  <c r="E24" i="17"/>
  <c r="D28" i="11"/>
  <c r="B33" i="11"/>
  <c r="F36" i="17"/>
  <c r="F34" i="17" s="1"/>
  <c r="F18" i="17" s="1"/>
  <c r="H97" i="78"/>
  <c r="H109" i="78" s="1"/>
  <c r="E28" i="11"/>
  <c r="E33" i="11"/>
  <c r="E36" i="17"/>
  <c r="E34" i="17" s="1"/>
  <c r="E18" i="17" s="1"/>
  <c r="D32" i="11"/>
  <c r="F25" i="17"/>
  <c r="C33" i="11"/>
  <c r="F26" i="17"/>
  <c r="E32" i="11"/>
  <c r="D29" i="17"/>
  <c r="E26" i="17"/>
  <c r="E27" i="11"/>
  <c r="G33" i="11"/>
  <c r="G28" i="11"/>
  <c r="H33" i="11"/>
  <c r="L18" i="9"/>
  <c r="L19" i="9" s="1"/>
  <c r="H89" i="78"/>
  <c r="H101" i="78" s="1"/>
  <c r="F33" i="11"/>
  <c r="D27" i="11"/>
  <c r="E25" i="17"/>
  <c r="F32" i="11"/>
  <c r="F27" i="17"/>
  <c r="F27" i="11"/>
  <c r="E27" i="17"/>
  <c r="H28" i="11"/>
  <c r="K18" i="9"/>
  <c r="K19" i="9" s="1"/>
  <c r="H92" i="78"/>
  <c r="H104" i="78" s="1"/>
  <c r="N35" i="78"/>
  <c r="O11" i="17"/>
  <c r="Q12" i="17" s="1"/>
  <c r="L87" i="78" s="1"/>
  <c r="N86" i="72"/>
  <c r="N116" i="72"/>
  <c r="P151" i="73"/>
  <c r="P152" i="73" s="1"/>
  <c r="F151" i="73"/>
  <c r="F152" i="73" s="1"/>
  <c r="J151" i="73"/>
  <c r="J152" i="73" s="1"/>
  <c r="M151" i="73"/>
  <c r="M152" i="73" s="1"/>
  <c r="H151" i="73"/>
  <c r="H152" i="73" s="1"/>
  <c r="D146" i="73"/>
  <c r="D148" i="73" s="1"/>
  <c r="F146" i="73"/>
  <c r="F148" i="73" s="1"/>
  <c r="H146" i="73"/>
  <c r="H148" i="73" s="1"/>
  <c r="V146" i="73"/>
  <c r="V148" i="73" s="1"/>
  <c r="P146" i="73"/>
  <c r="P148" i="73" s="1"/>
  <c r="J146" i="73"/>
  <c r="J148" i="73" s="1"/>
  <c r="M146" i="73"/>
  <c r="M148" i="73" s="1"/>
  <c r="AC24" i="73"/>
  <c r="AC146" i="73" s="1"/>
  <c r="G146" i="73"/>
  <c r="G148" i="73" s="1"/>
  <c r="F5" i="73"/>
  <c r="R146" i="73"/>
  <c r="R148" i="73" s="1"/>
  <c r="H5" i="73"/>
  <c r="X146" i="73"/>
  <c r="X148" i="73" s="1"/>
  <c r="E5" i="73"/>
  <c r="O146" i="73"/>
  <c r="O148" i="73" s="1"/>
  <c r="AC147" i="73"/>
  <c r="D5" i="73"/>
  <c r="L146" i="73"/>
  <c r="L148" i="73" s="1"/>
  <c r="C5" i="73"/>
  <c r="I146" i="73"/>
  <c r="I148" i="73" s="1"/>
  <c r="G14" i="73"/>
  <c r="G17" i="17" s="1"/>
  <c r="P21" i="73"/>
  <c r="H21" i="73"/>
  <c r="F21" i="73"/>
  <c r="F19" i="17" l="1"/>
  <c r="J32" i="11" s="1"/>
  <c r="I32" i="11"/>
  <c r="E19" i="17"/>
  <c r="J27" i="11" s="1"/>
  <c r="I27" i="11"/>
  <c r="C3" i="9"/>
  <c r="S116" i="72"/>
  <c r="L20" i="9"/>
  <c r="L25" i="9" s="1"/>
  <c r="L33" i="9" s="1"/>
  <c r="L24" i="9"/>
  <c r="L32" i="9" s="1"/>
  <c r="K24" i="9"/>
  <c r="K32" i="9" s="1"/>
  <c r="K20" i="9"/>
  <c r="K25" i="9" s="1"/>
  <c r="K33" i="9" s="1"/>
  <c r="K41" i="9" s="1"/>
  <c r="N36" i="78"/>
  <c r="L87" i="72"/>
  <c r="N87" i="72" s="1"/>
  <c r="Q13" i="17"/>
  <c r="L88" i="78" s="1"/>
  <c r="AC148" i="73"/>
  <c r="N37" i="78" l="1"/>
  <c r="Q14" i="17"/>
  <c r="L89" i="78" s="1"/>
  <c r="L88" i="72"/>
  <c r="N88" i="72" s="1"/>
  <c r="L89" i="72"/>
  <c r="N89" i="72" s="1"/>
  <c r="N38" i="78" l="1"/>
  <c r="Q15" i="17"/>
  <c r="L90" i="78" s="1"/>
  <c r="B3" i="72"/>
  <c r="D3" i="72" s="1"/>
  <c r="B4" i="72"/>
  <c r="D4" i="72" s="1"/>
  <c r="G4" i="72" s="1"/>
  <c r="B5" i="72"/>
  <c r="D5" i="72" s="1"/>
  <c r="G5" i="72" s="1"/>
  <c r="B6" i="72"/>
  <c r="D6" i="72" s="1"/>
  <c r="G6" i="72" s="1"/>
  <c r="B7" i="72"/>
  <c r="D7" i="72" s="1"/>
  <c r="G7" i="72" s="1"/>
  <c r="B8" i="72"/>
  <c r="D8" i="72" s="1"/>
  <c r="G8" i="72" s="1"/>
  <c r="B9" i="72"/>
  <c r="D9" i="72" s="1"/>
  <c r="G9" i="72" s="1"/>
  <c r="B10" i="72"/>
  <c r="D10" i="72" s="1"/>
  <c r="G10" i="72" s="1"/>
  <c r="B11" i="72"/>
  <c r="D11" i="72" s="1"/>
  <c r="G11" i="72" s="1"/>
  <c r="B12" i="72"/>
  <c r="D12" i="72" s="1"/>
  <c r="G12" i="72" s="1"/>
  <c r="B13" i="72"/>
  <c r="D13" i="72" s="1"/>
  <c r="G13" i="72" s="1"/>
  <c r="B14" i="72"/>
  <c r="D14" i="72" s="1"/>
  <c r="G14" i="72" s="1"/>
  <c r="B15" i="72"/>
  <c r="D15" i="72" s="1"/>
  <c r="B16" i="72"/>
  <c r="D16" i="72" s="1"/>
  <c r="G16" i="72" s="1"/>
  <c r="B17" i="72"/>
  <c r="D17" i="72" s="1"/>
  <c r="G17" i="72" s="1"/>
  <c r="B18" i="72"/>
  <c r="D18" i="72" s="1"/>
  <c r="G18" i="72" s="1"/>
  <c r="B19" i="72"/>
  <c r="D19" i="72" s="1"/>
  <c r="G19" i="72" s="1"/>
  <c r="B20" i="72"/>
  <c r="D20" i="72" s="1"/>
  <c r="G20" i="72" s="1"/>
  <c r="B21" i="72"/>
  <c r="D21" i="72" s="1"/>
  <c r="G21" i="72" s="1"/>
  <c r="B22" i="72"/>
  <c r="D22" i="72" s="1"/>
  <c r="G22" i="72" s="1"/>
  <c r="B23" i="72"/>
  <c r="D23" i="72" s="1"/>
  <c r="G23" i="72" s="1"/>
  <c r="B24" i="72"/>
  <c r="D24" i="72" s="1"/>
  <c r="G24" i="72" s="1"/>
  <c r="B25" i="72"/>
  <c r="D25" i="72" s="1"/>
  <c r="G25" i="72" s="1"/>
  <c r="B26" i="72"/>
  <c r="D26" i="72" s="1"/>
  <c r="G26" i="72" s="1"/>
  <c r="B27" i="72"/>
  <c r="D27" i="72" s="1"/>
  <c r="B28" i="72"/>
  <c r="D28" i="72" s="1"/>
  <c r="G28" i="72" s="1"/>
  <c r="B29" i="72"/>
  <c r="D29" i="72" s="1"/>
  <c r="G29" i="72" s="1"/>
  <c r="B30" i="72"/>
  <c r="D30" i="72" s="1"/>
  <c r="G30" i="72" s="1"/>
  <c r="B31" i="72"/>
  <c r="D31" i="72" s="1"/>
  <c r="G31" i="72" s="1"/>
  <c r="B32" i="72"/>
  <c r="D32" i="72" s="1"/>
  <c r="G32" i="72" s="1"/>
  <c r="B33" i="72"/>
  <c r="D33" i="72" s="1"/>
  <c r="G33" i="72" s="1"/>
  <c r="B34" i="72"/>
  <c r="D34" i="72" s="1"/>
  <c r="G34" i="72" s="1"/>
  <c r="B35" i="72"/>
  <c r="D35" i="72" s="1"/>
  <c r="G35" i="72" s="1"/>
  <c r="B36" i="72"/>
  <c r="D36" i="72" s="1"/>
  <c r="G36" i="72" s="1"/>
  <c r="B37" i="72"/>
  <c r="D37" i="72" s="1"/>
  <c r="G37" i="72" s="1"/>
  <c r="B38" i="72"/>
  <c r="D38" i="72" s="1"/>
  <c r="G38" i="72" s="1"/>
  <c r="B39" i="72"/>
  <c r="D39" i="72" s="1"/>
  <c r="B40" i="72"/>
  <c r="D40" i="72" s="1"/>
  <c r="G40" i="72" s="1"/>
  <c r="B41" i="72"/>
  <c r="D41" i="72" s="1"/>
  <c r="G41" i="72" s="1"/>
  <c r="B42" i="72"/>
  <c r="D42" i="72" s="1"/>
  <c r="G42" i="72" s="1"/>
  <c r="B43" i="72"/>
  <c r="D43" i="72" s="1"/>
  <c r="G43" i="72" s="1"/>
  <c r="B44" i="72"/>
  <c r="D44" i="72" s="1"/>
  <c r="G44" i="72" s="1"/>
  <c r="B45" i="72"/>
  <c r="D45" i="72" s="1"/>
  <c r="G45" i="72" s="1"/>
  <c r="B46" i="72"/>
  <c r="D46" i="72" s="1"/>
  <c r="G46" i="72" s="1"/>
  <c r="B47" i="72"/>
  <c r="D47" i="72" s="1"/>
  <c r="G47" i="72" s="1"/>
  <c r="B48" i="72"/>
  <c r="D48" i="72" s="1"/>
  <c r="G48" i="72" s="1"/>
  <c r="B49" i="72"/>
  <c r="D49" i="72" s="1"/>
  <c r="G49" i="72" s="1"/>
  <c r="B50" i="72"/>
  <c r="D50" i="72" s="1"/>
  <c r="G50" i="72" s="1"/>
  <c r="B51" i="72"/>
  <c r="D51" i="72" s="1"/>
  <c r="B52" i="72"/>
  <c r="D52" i="72" s="1"/>
  <c r="G52" i="72" s="1"/>
  <c r="B53" i="72"/>
  <c r="D53" i="72" s="1"/>
  <c r="G53" i="72" s="1"/>
  <c r="B54" i="72"/>
  <c r="D54" i="72" s="1"/>
  <c r="G54" i="72" s="1"/>
  <c r="B55" i="72"/>
  <c r="D55" i="72" s="1"/>
  <c r="G55" i="72" s="1"/>
  <c r="B56" i="72"/>
  <c r="D56" i="72" s="1"/>
  <c r="G56" i="72" s="1"/>
  <c r="B57" i="72"/>
  <c r="D57" i="72" s="1"/>
  <c r="G57" i="72" s="1"/>
  <c r="B58" i="72"/>
  <c r="D58" i="72" s="1"/>
  <c r="G58" i="72" s="1"/>
  <c r="B59" i="72"/>
  <c r="D59" i="72" s="1"/>
  <c r="G59" i="72" s="1"/>
  <c r="B60" i="72"/>
  <c r="D60" i="72" s="1"/>
  <c r="G60" i="72" s="1"/>
  <c r="B61" i="72"/>
  <c r="D61" i="72" s="1"/>
  <c r="G61" i="72" s="1"/>
  <c r="B62" i="72"/>
  <c r="D62" i="72" s="1"/>
  <c r="G62" i="72" s="1"/>
  <c r="B63" i="72"/>
  <c r="D63" i="72" s="1"/>
  <c r="B64" i="72"/>
  <c r="D64" i="72" s="1"/>
  <c r="G64" i="72" s="1"/>
  <c r="B65" i="72"/>
  <c r="D65" i="72" s="1"/>
  <c r="G65" i="72" s="1"/>
  <c r="B66" i="72"/>
  <c r="D66" i="72" s="1"/>
  <c r="G66" i="72" s="1"/>
  <c r="B67" i="72"/>
  <c r="D67" i="72" s="1"/>
  <c r="G67" i="72" s="1"/>
  <c r="B68" i="72"/>
  <c r="D68" i="72" s="1"/>
  <c r="G68" i="72" s="1"/>
  <c r="B69" i="72"/>
  <c r="D69" i="72" s="1"/>
  <c r="G69" i="72" s="1"/>
  <c r="B70" i="72"/>
  <c r="D70" i="72" s="1"/>
  <c r="G70" i="72" s="1"/>
  <c r="B71" i="72"/>
  <c r="D71" i="72" s="1"/>
  <c r="G71" i="72" s="1"/>
  <c r="B72" i="72"/>
  <c r="D72" i="72" s="1"/>
  <c r="G72" i="72" s="1"/>
  <c r="B73" i="72"/>
  <c r="D73" i="72" s="1"/>
  <c r="G73" i="72" s="1"/>
  <c r="B74" i="72"/>
  <c r="D74" i="72" s="1"/>
  <c r="G74" i="72" s="1"/>
  <c r="B75" i="72"/>
  <c r="D75" i="72" s="1"/>
  <c r="B76" i="72"/>
  <c r="D76" i="72" s="1"/>
  <c r="G76" i="72" s="1"/>
  <c r="B77" i="72"/>
  <c r="D77" i="72" s="1"/>
  <c r="G77" i="72" s="1"/>
  <c r="B78" i="72"/>
  <c r="D78" i="72" s="1"/>
  <c r="G78" i="72" s="1"/>
  <c r="B79" i="72"/>
  <c r="D79" i="72" s="1"/>
  <c r="G79" i="72" s="1"/>
  <c r="B80" i="72"/>
  <c r="D80" i="72" s="1"/>
  <c r="G80" i="72" s="1"/>
  <c r="B81" i="72"/>
  <c r="D81" i="72" s="1"/>
  <c r="G81" i="72" s="1"/>
  <c r="B82" i="72"/>
  <c r="D82" i="72" s="1"/>
  <c r="G82" i="72" s="1"/>
  <c r="B83" i="72"/>
  <c r="D83" i="72" s="1"/>
  <c r="G83" i="72" s="1"/>
  <c r="B84" i="72"/>
  <c r="D84" i="72" s="1"/>
  <c r="G84" i="72" s="1"/>
  <c r="B85" i="72"/>
  <c r="D85" i="72" s="1"/>
  <c r="G85" i="72" s="1"/>
  <c r="B86" i="72"/>
  <c r="D86" i="72" s="1"/>
  <c r="G86" i="72" s="1"/>
  <c r="H31" i="9"/>
  <c r="N39" i="78" l="1"/>
  <c r="N118" i="78"/>
  <c r="L90" i="72"/>
  <c r="N90" i="72" s="1"/>
  <c r="Q16" i="17"/>
  <c r="L91" i="78" s="1"/>
  <c r="G27" i="72"/>
  <c r="G118" i="72" s="1"/>
  <c r="D118" i="72"/>
  <c r="B5" i="9" s="1"/>
  <c r="G63" i="72"/>
  <c r="G121" i="72" s="1"/>
  <c r="D121" i="72"/>
  <c r="B8" i="9" s="1"/>
  <c r="G116" i="72"/>
  <c r="D116" i="72"/>
  <c r="B3" i="9" s="1"/>
  <c r="G39" i="72"/>
  <c r="G119" i="72" s="1"/>
  <c r="D119" i="72"/>
  <c r="G51" i="72"/>
  <c r="G120" i="72" s="1"/>
  <c r="D120" i="72"/>
  <c r="B7" i="9" s="1"/>
  <c r="G75" i="72"/>
  <c r="G122" i="72" s="1"/>
  <c r="D122" i="72"/>
  <c r="B9" i="9" s="1"/>
  <c r="G15" i="72"/>
  <c r="G117" i="72" s="1"/>
  <c r="D117" i="72"/>
  <c r="B4" i="9" s="1"/>
  <c r="Q17" i="17"/>
  <c r="L92" i="78" s="1"/>
  <c r="L91" i="72"/>
  <c r="N91" i="72" s="1"/>
  <c r="Q118" i="78" l="1"/>
  <c r="R118" i="72" s="1"/>
  <c r="N40" i="78"/>
  <c r="D126" i="72"/>
  <c r="B6" i="9"/>
  <c r="G126" i="72"/>
  <c r="Q18" i="17"/>
  <c r="L93" i="78" s="1"/>
  <c r="L92" i="72"/>
  <c r="N92" i="72" s="1"/>
  <c r="N41" i="78" l="1"/>
  <c r="Q19" i="17"/>
  <c r="L94" i="78" s="1"/>
  <c r="L93" i="72"/>
  <c r="N93" i="72" s="1"/>
  <c r="N42" i="78" l="1"/>
  <c r="Q20" i="17"/>
  <c r="L95" i="78" s="1"/>
  <c r="L94" i="72"/>
  <c r="N94" i="72" s="1"/>
  <c r="N43" i="78" l="1"/>
  <c r="Q21" i="17"/>
  <c r="L96" i="78" s="1"/>
  <c r="L95" i="72"/>
  <c r="N95" i="72" s="1"/>
  <c r="B116" i="72"/>
  <c r="B118" i="72"/>
  <c r="B120" i="72"/>
  <c r="B122" i="72"/>
  <c r="N44" i="78" l="1"/>
  <c r="Q22" i="17"/>
  <c r="L97" i="78" s="1"/>
  <c r="L96" i="72"/>
  <c r="N96" i="72" s="1"/>
  <c r="B119" i="72"/>
  <c r="B117" i="72"/>
  <c r="B121" i="72"/>
  <c r="N45" i="78" l="1"/>
  <c r="Q23" i="17"/>
  <c r="L98" i="78" s="1"/>
  <c r="L97" i="72"/>
  <c r="N97" i="72" s="1"/>
  <c r="O63" i="72"/>
  <c r="O64" i="72"/>
  <c r="O65" i="72"/>
  <c r="O66" i="72"/>
  <c r="O67" i="72"/>
  <c r="O68" i="72"/>
  <c r="O69" i="72"/>
  <c r="O70" i="72"/>
  <c r="O71" i="72"/>
  <c r="O72" i="72"/>
  <c r="O73" i="72"/>
  <c r="O74" i="72"/>
  <c r="O4" i="72"/>
  <c r="O5" i="72"/>
  <c r="O7" i="72"/>
  <c r="O8" i="72"/>
  <c r="O9" i="72"/>
  <c r="O10" i="72"/>
  <c r="O11" i="72"/>
  <c r="O12" i="72"/>
  <c r="O13" i="72"/>
  <c r="O15" i="72"/>
  <c r="O16" i="72"/>
  <c r="O17" i="72"/>
  <c r="O18" i="72"/>
  <c r="O20" i="72"/>
  <c r="O21" i="72"/>
  <c r="O23" i="72"/>
  <c r="O24" i="72"/>
  <c r="O25" i="72"/>
  <c r="O26" i="72"/>
  <c r="O27" i="72"/>
  <c r="O28" i="72"/>
  <c r="O29" i="72"/>
  <c r="O31" i="72"/>
  <c r="O32" i="72"/>
  <c r="O33" i="72"/>
  <c r="O34" i="72"/>
  <c r="O35" i="72"/>
  <c r="O36" i="72"/>
  <c r="O37" i="72"/>
  <c r="O39" i="72"/>
  <c r="O40" i="72"/>
  <c r="O41" i="72"/>
  <c r="O42" i="72"/>
  <c r="O43" i="72"/>
  <c r="O44" i="72"/>
  <c r="O45" i="72"/>
  <c r="O47" i="72"/>
  <c r="O48" i="72"/>
  <c r="O49" i="72"/>
  <c r="O50" i="72"/>
  <c r="O51" i="72"/>
  <c r="O52" i="72"/>
  <c r="O53" i="72"/>
  <c r="O55" i="72"/>
  <c r="O56" i="72"/>
  <c r="O57" i="72"/>
  <c r="O58" i="72"/>
  <c r="O59" i="72"/>
  <c r="O61" i="72"/>
  <c r="O76" i="72"/>
  <c r="O77" i="72"/>
  <c r="O78" i="72"/>
  <c r="O79" i="72"/>
  <c r="O81" i="72"/>
  <c r="O84" i="72"/>
  <c r="O85" i="72"/>
  <c r="O86" i="72"/>
  <c r="I14" i="73"/>
  <c r="I17" i="17" s="1"/>
  <c r="I29" i="17" s="1"/>
  <c r="H14" i="73"/>
  <c r="H17" i="17" s="1"/>
  <c r="C14" i="73"/>
  <c r="C17" i="17" s="1"/>
  <c r="B14" i="73"/>
  <c r="B17" i="17" s="1"/>
  <c r="I13" i="73"/>
  <c r="I16" i="17" s="1"/>
  <c r="H13" i="73"/>
  <c r="H16" i="17" s="1"/>
  <c r="H28" i="17" s="1"/>
  <c r="G13" i="73"/>
  <c r="G16" i="17" s="1"/>
  <c r="C13" i="73"/>
  <c r="C16" i="17" s="1"/>
  <c r="C28" i="17" s="1"/>
  <c r="B13" i="73"/>
  <c r="B16" i="17" s="1"/>
  <c r="I12" i="73"/>
  <c r="I15" i="17" s="1"/>
  <c r="I27" i="17" s="1"/>
  <c r="H12" i="73"/>
  <c r="H15" i="17" s="1"/>
  <c r="G12" i="73"/>
  <c r="G15" i="17" s="1"/>
  <c r="C12" i="73"/>
  <c r="C15" i="17" s="1"/>
  <c r="B12" i="73"/>
  <c r="B15" i="17" s="1"/>
  <c r="I11" i="73"/>
  <c r="I14" i="17" s="1"/>
  <c r="H11" i="73"/>
  <c r="H14" i="17" s="1"/>
  <c r="H26" i="17" s="1"/>
  <c r="G11" i="73"/>
  <c r="G14" i="17" s="1"/>
  <c r="C11" i="73"/>
  <c r="C14" i="17" s="1"/>
  <c r="C26" i="17" s="1"/>
  <c r="B11" i="73"/>
  <c r="B14" i="17" s="1"/>
  <c r="I10" i="73"/>
  <c r="I13" i="17" s="1"/>
  <c r="H10" i="73"/>
  <c r="H13" i="17" s="1"/>
  <c r="G10" i="73"/>
  <c r="G13" i="17" s="1"/>
  <c r="G25" i="17" s="1"/>
  <c r="C10" i="73"/>
  <c r="C13" i="17" s="1"/>
  <c r="B10" i="73"/>
  <c r="B13" i="17" s="1"/>
  <c r="L13" i="17" s="1"/>
  <c r="I9" i="73"/>
  <c r="I12" i="17" s="1"/>
  <c r="H9" i="73"/>
  <c r="H12" i="17" s="1"/>
  <c r="H24" i="17" s="1"/>
  <c r="G9" i="73"/>
  <c r="G12" i="17" s="1"/>
  <c r="C9" i="73"/>
  <c r="C12" i="17" s="1"/>
  <c r="B9" i="73"/>
  <c r="B12" i="17" s="1"/>
  <c r="L12" i="17" s="1"/>
  <c r="I8" i="73"/>
  <c r="I11" i="17" s="1"/>
  <c r="H8" i="73"/>
  <c r="H11" i="17" s="1"/>
  <c r="G8" i="73"/>
  <c r="G11" i="17" s="1"/>
  <c r="C8" i="73"/>
  <c r="C11" i="17" s="1"/>
  <c r="B8" i="73"/>
  <c r="B11" i="17" s="1"/>
  <c r="I7" i="73"/>
  <c r="H7" i="73"/>
  <c r="G7" i="73"/>
  <c r="C7" i="73"/>
  <c r="B7" i="73"/>
  <c r="I6" i="73"/>
  <c r="H6" i="73"/>
  <c r="G6" i="73"/>
  <c r="C6" i="73"/>
  <c r="B6" i="73"/>
  <c r="I5" i="73"/>
  <c r="G5" i="73"/>
  <c r="B5" i="73"/>
  <c r="C25" i="17" l="1"/>
  <c r="I26" i="17"/>
  <c r="G28" i="17"/>
  <c r="G29" i="17"/>
  <c r="H25" i="17"/>
  <c r="H36" i="17" s="1"/>
  <c r="C27" i="17"/>
  <c r="I28" i="17"/>
  <c r="I25" i="17"/>
  <c r="G27" i="17"/>
  <c r="L17" i="17"/>
  <c r="C24" i="17"/>
  <c r="G24" i="17"/>
  <c r="L14" i="17"/>
  <c r="H27" i="17"/>
  <c r="C29" i="17"/>
  <c r="H29" i="17"/>
  <c r="L11" i="17"/>
  <c r="I24" i="17"/>
  <c r="G26" i="17"/>
  <c r="L16" i="17"/>
  <c r="N46" i="78"/>
  <c r="R12" i="17"/>
  <c r="L99" i="78" s="1"/>
  <c r="L98" i="72"/>
  <c r="N98" i="72" s="1"/>
  <c r="Q24" i="17"/>
  <c r="R43" i="72"/>
  <c r="P43" i="72"/>
  <c r="S43" i="72"/>
  <c r="T43" i="72" s="1"/>
  <c r="R15" i="72"/>
  <c r="P15" i="72"/>
  <c r="R72" i="72"/>
  <c r="P72" i="72"/>
  <c r="S72" i="72"/>
  <c r="T72" i="72" s="1"/>
  <c r="R56" i="72"/>
  <c r="P56" i="72"/>
  <c r="S56" i="72"/>
  <c r="T56" i="72" s="1"/>
  <c r="P27" i="72"/>
  <c r="S27" i="72"/>
  <c r="T27" i="72" s="1"/>
  <c r="R27" i="72"/>
  <c r="R12" i="72"/>
  <c r="P12" i="72"/>
  <c r="S12" i="72"/>
  <c r="T12" i="72" s="1"/>
  <c r="R70" i="72"/>
  <c r="P70" i="72"/>
  <c r="S70" i="72"/>
  <c r="T70" i="72" s="1"/>
  <c r="S42" i="72"/>
  <c r="T42" i="72" s="1"/>
  <c r="R42" i="72"/>
  <c r="P42" i="72"/>
  <c r="S40" i="72"/>
  <c r="T40" i="72" s="1"/>
  <c r="R40" i="72"/>
  <c r="P40" i="72"/>
  <c r="R26" i="72"/>
  <c r="P26" i="72"/>
  <c r="S26" i="72"/>
  <c r="T26" i="72" s="1"/>
  <c r="R11" i="72"/>
  <c r="P11" i="72"/>
  <c r="S11" i="72"/>
  <c r="T11" i="72" s="1"/>
  <c r="R69" i="72"/>
  <c r="P69" i="72"/>
  <c r="S69" i="72"/>
  <c r="T69" i="72" s="1"/>
  <c r="S28" i="72"/>
  <c r="T28" i="72" s="1"/>
  <c r="R28" i="72"/>
  <c r="P28" i="72"/>
  <c r="R81" i="72"/>
  <c r="P81" i="72"/>
  <c r="R39" i="72"/>
  <c r="P39" i="72"/>
  <c r="R25" i="72"/>
  <c r="P25" i="72"/>
  <c r="S25" i="72"/>
  <c r="T25" i="72" s="1"/>
  <c r="R10" i="72"/>
  <c r="P10" i="72"/>
  <c r="S10" i="72"/>
  <c r="T10" i="72" s="1"/>
  <c r="R68" i="72"/>
  <c r="P68" i="72"/>
  <c r="S68" i="72"/>
  <c r="T68" i="72" s="1"/>
  <c r="R57" i="72"/>
  <c r="P57" i="72"/>
  <c r="S57" i="72"/>
  <c r="T57" i="72" s="1"/>
  <c r="R85" i="72"/>
  <c r="P85" i="72"/>
  <c r="S85" i="72"/>
  <c r="T85" i="72" s="1"/>
  <c r="R9" i="72"/>
  <c r="P9" i="72"/>
  <c r="S9" i="72"/>
  <c r="T9" i="72" s="1"/>
  <c r="R67" i="72"/>
  <c r="P67" i="72"/>
  <c r="S67" i="72"/>
  <c r="T67" i="72" s="1"/>
  <c r="R41" i="72"/>
  <c r="P41" i="72"/>
  <c r="S41" i="72"/>
  <c r="T41" i="72" s="1"/>
  <c r="R50" i="72"/>
  <c r="P50" i="72"/>
  <c r="S50" i="72"/>
  <c r="T50" i="72" s="1"/>
  <c r="R23" i="72"/>
  <c r="P23" i="72"/>
  <c r="R8" i="72"/>
  <c r="P8" i="72"/>
  <c r="S8" i="72"/>
  <c r="T8" i="72" s="1"/>
  <c r="S66" i="72"/>
  <c r="T66" i="72" s="1"/>
  <c r="R66" i="72"/>
  <c r="P66" i="72"/>
  <c r="R29" i="72"/>
  <c r="P29" i="72"/>
  <c r="S29" i="72"/>
  <c r="T29" i="72" s="1"/>
  <c r="R84" i="72"/>
  <c r="P84" i="72"/>
  <c r="R37" i="72"/>
  <c r="P37" i="72"/>
  <c r="S37" i="72"/>
  <c r="T37" i="72" s="1"/>
  <c r="R49" i="72"/>
  <c r="P49" i="72"/>
  <c r="S49" i="72"/>
  <c r="T49" i="72" s="1"/>
  <c r="R35" i="72"/>
  <c r="P35" i="72"/>
  <c r="S35" i="72"/>
  <c r="T35" i="72" s="1"/>
  <c r="R21" i="72"/>
  <c r="P21" i="72"/>
  <c r="S21" i="72"/>
  <c r="T21" i="72" s="1"/>
  <c r="R7" i="72"/>
  <c r="P7" i="72"/>
  <c r="P65" i="72"/>
  <c r="R65" i="72"/>
  <c r="S65" i="72"/>
  <c r="T65" i="72" s="1"/>
  <c r="R55" i="72"/>
  <c r="P55" i="72"/>
  <c r="R24" i="72"/>
  <c r="P24" i="72"/>
  <c r="S24" i="72"/>
  <c r="T24" i="72" s="1"/>
  <c r="R34" i="72"/>
  <c r="P34" i="72"/>
  <c r="S34" i="72"/>
  <c r="T34" i="72" s="1"/>
  <c r="R20" i="72"/>
  <c r="P20" i="72"/>
  <c r="R5" i="72"/>
  <c r="P5" i="72"/>
  <c r="S5" i="72"/>
  <c r="T5" i="72" s="1"/>
  <c r="R64" i="72"/>
  <c r="P64" i="72"/>
  <c r="S64" i="72"/>
  <c r="T64" i="72" s="1"/>
  <c r="R13" i="72"/>
  <c r="P13" i="72"/>
  <c r="S13" i="72"/>
  <c r="T13" i="72" s="1"/>
  <c r="R51" i="72"/>
  <c r="P51" i="72"/>
  <c r="S51" i="72"/>
  <c r="T51" i="72" s="1"/>
  <c r="P77" i="72"/>
  <c r="R77" i="72"/>
  <c r="S77" i="72"/>
  <c r="T77" i="72" s="1"/>
  <c r="R61" i="72"/>
  <c r="P61" i="72"/>
  <c r="R47" i="72"/>
  <c r="P47" i="72"/>
  <c r="R33" i="72"/>
  <c r="P33" i="72"/>
  <c r="S33" i="72"/>
  <c r="T33" i="72" s="1"/>
  <c r="S18" i="72"/>
  <c r="T18" i="72" s="1"/>
  <c r="R18" i="72"/>
  <c r="P18" i="72"/>
  <c r="R4" i="72"/>
  <c r="P4" i="72"/>
  <c r="Q4" i="72" s="1"/>
  <c r="R63" i="72"/>
  <c r="P63" i="72"/>
  <c r="R71" i="72"/>
  <c r="P71" i="72"/>
  <c r="S71" i="72"/>
  <c r="T71" i="72" s="1"/>
  <c r="S52" i="72"/>
  <c r="T52" i="72" s="1"/>
  <c r="R52" i="72"/>
  <c r="P52" i="72"/>
  <c r="R36" i="72"/>
  <c r="P36" i="72"/>
  <c r="S36" i="72"/>
  <c r="T36" i="72" s="1"/>
  <c r="R76" i="72"/>
  <c r="P76" i="72"/>
  <c r="R59" i="72"/>
  <c r="P59" i="72"/>
  <c r="S59" i="72"/>
  <c r="T59" i="72" s="1"/>
  <c r="R45" i="72"/>
  <c r="P45" i="72"/>
  <c r="S45" i="72"/>
  <c r="T45" i="72" s="1"/>
  <c r="R32" i="72"/>
  <c r="P32" i="72"/>
  <c r="S32" i="72"/>
  <c r="T32" i="72" s="1"/>
  <c r="R17" i="72"/>
  <c r="P17" i="72"/>
  <c r="S17" i="72"/>
  <c r="T17" i="72" s="1"/>
  <c r="R74" i="72"/>
  <c r="P74" i="72"/>
  <c r="S74" i="72"/>
  <c r="T74" i="72" s="1"/>
  <c r="S86" i="72"/>
  <c r="T86" i="72" s="1"/>
  <c r="R86" i="72"/>
  <c r="P86" i="72"/>
  <c r="P53" i="72"/>
  <c r="R53" i="72"/>
  <c r="S53" i="72"/>
  <c r="T53" i="72" s="1"/>
  <c r="R79" i="72"/>
  <c r="P79" i="72"/>
  <c r="S79" i="72"/>
  <c r="T79" i="72" s="1"/>
  <c r="S78" i="72"/>
  <c r="T78" i="72" s="1"/>
  <c r="R78" i="72"/>
  <c r="P78" i="72"/>
  <c r="R48" i="72"/>
  <c r="P48" i="72"/>
  <c r="S48" i="72"/>
  <c r="T48" i="72" s="1"/>
  <c r="R58" i="72"/>
  <c r="P58" i="72"/>
  <c r="S58" i="72"/>
  <c r="T58" i="72" s="1"/>
  <c r="R44" i="72"/>
  <c r="P44" i="72"/>
  <c r="S44" i="72"/>
  <c r="T44" i="72" s="1"/>
  <c r="R31" i="72"/>
  <c r="P31" i="72"/>
  <c r="S16" i="72"/>
  <c r="T16" i="72" s="1"/>
  <c r="R16" i="72"/>
  <c r="P16" i="72"/>
  <c r="R73" i="72"/>
  <c r="P73" i="72"/>
  <c r="S73" i="72"/>
  <c r="T73" i="72" s="1"/>
  <c r="O3" i="72"/>
  <c r="O19" i="72"/>
  <c r="S20" i="72" s="1"/>
  <c r="T20" i="72" s="1"/>
  <c r="O83" i="72"/>
  <c r="O75" i="72"/>
  <c r="O82" i="72"/>
  <c r="O62" i="72"/>
  <c r="S63" i="72" s="1"/>
  <c r="T63" i="72" s="1"/>
  <c r="O54" i="72"/>
  <c r="S55" i="72" s="1"/>
  <c r="T55" i="72" s="1"/>
  <c r="O38" i="72"/>
  <c r="S39" i="72" s="1"/>
  <c r="T39" i="72" s="1"/>
  <c r="O30" i="72"/>
  <c r="S31" i="72" s="1"/>
  <c r="T31" i="72" s="1"/>
  <c r="O22" i="72"/>
  <c r="S23" i="72" s="1"/>
  <c r="T23" i="72" s="1"/>
  <c r="O14" i="72"/>
  <c r="S15" i="72" s="1"/>
  <c r="T15" i="72" s="1"/>
  <c r="O6" i="72"/>
  <c r="O80" i="72"/>
  <c r="O60" i="72"/>
  <c r="G36" i="17" l="1"/>
  <c r="I36" i="17"/>
  <c r="N47" i="78"/>
  <c r="R13" i="17"/>
  <c r="L100" i="78" s="1"/>
  <c r="L99" i="72"/>
  <c r="N99" i="72" s="1"/>
  <c r="J12" i="17"/>
  <c r="J16" i="17"/>
  <c r="R82" i="72"/>
  <c r="P82" i="72"/>
  <c r="S82" i="72"/>
  <c r="T82" i="72" s="1"/>
  <c r="R60" i="72"/>
  <c r="P60" i="72"/>
  <c r="S60" i="72"/>
  <c r="T60" i="72" s="1"/>
  <c r="R75" i="72"/>
  <c r="P75" i="72"/>
  <c r="S75" i="72"/>
  <c r="T75" i="72" s="1"/>
  <c r="R80" i="72"/>
  <c r="P80" i="72"/>
  <c r="S80" i="72"/>
  <c r="T80" i="72" s="1"/>
  <c r="R83" i="72"/>
  <c r="P83" i="72"/>
  <c r="S83" i="72"/>
  <c r="T83" i="72" s="1"/>
  <c r="P3" i="72"/>
  <c r="Q3" i="72" s="1"/>
  <c r="R3" i="72"/>
  <c r="S6" i="72"/>
  <c r="T6" i="72" s="1"/>
  <c r="R6" i="72"/>
  <c r="P6" i="72"/>
  <c r="S76" i="72"/>
  <c r="T76" i="72" s="1"/>
  <c r="R19" i="72"/>
  <c r="P19" i="72"/>
  <c r="S19" i="72"/>
  <c r="T19" i="72" s="1"/>
  <c r="R14" i="72"/>
  <c r="P14" i="72"/>
  <c r="S14" i="72"/>
  <c r="T14" i="72" s="1"/>
  <c r="S4" i="72"/>
  <c r="T4" i="72" s="1"/>
  <c r="S61" i="72"/>
  <c r="T61" i="72" s="1"/>
  <c r="S84" i="72"/>
  <c r="T84" i="72" s="1"/>
  <c r="S54" i="72"/>
  <c r="T54" i="72" s="1"/>
  <c r="R54" i="72"/>
  <c r="P54" i="72"/>
  <c r="S81" i="72"/>
  <c r="T81" i="72" s="1"/>
  <c r="R22" i="72"/>
  <c r="P22" i="72"/>
  <c r="S22" i="72"/>
  <c r="T22" i="72" s="1"/>
  <c r="R62" i="72"/>
  <c r="P62" i="72"/>
  <c r="S62" i="72"/>
  <c r="T62" i="72" s="1"/>
  <c r="S7" i="72"/>
  <c r="T7" i="72" s="1"/>
  <c r="S30" i="72"/>
  <c r="T30" i="72" s="1"/>
  <c r="R30" i="72"/>
  <c r="P30" i="72"/>
  <c r="R38" i="72"/>
  <c r="P38" i="72"/>
  <c r="S38" i="72"/>
  <c r="T38" i="72" s="1"/>
  <c r="N119" i="72"/>
  <c r="Q119" i="72" s="1"/>
  <c r="C6" i="9" s="1"/>
  <c r="O46" i="72"/>
  <c r="J13" i="17"/>
  <c r="J17" i="17"/>
  <c r="J11" i="17"/>
  <c r="J15" i="17"/>
  <c r="J14" i="17"/>
  <c r="A7" i="18"/>
  <c r="A8" i="18"/>
  <c r="A9" i="18"/>
  <c r="A10" i="18"/>
  <c r="A29" i="9"/>
  <c r="A33" i="9" s="1"/>
  <c r="A37" i="9" s="1"/>
  <c r="A28" i="9"/>
  <c r="A32" i="9" s="1"/>
  <c r="A36" i="9" s="1"/>
  <c r="A2" i="18"/>
  <c r="A3" i="18"/>
  <c r="A4" i="18"/>
  <c r="A5" i="18"/>
  <c r="A6" i="18"/>
  <c r="D5" i="18" l="1"/>
  <c r="B5" i="18"/>
  <c r="C5" i="18"/>
  <c r="F5" i="18"/>
  <c r="F8" i="18"/>
  <c r="D8" i="18"/>
  <c r="C8" i="18"/>
  <c r="B8" i="18"/>
  <c r="B6" i="18"/>
  <c r="C6" i="18"/>
  <c r="F6" i="18"/>
  <c r="D6" i="18"/>
  <c r="D4" i="18"/>
  <c r="B4" i="18"/>
  <c r="F4" i="18"/>
  <c r="C4" i="18"/>
  <c r="C7" i="18"/>
  <c r="F7" i="18"/>
  <c r="D7" i="18"/>
  <c r="B7" i="18"/>
  <c r="D3" i="18"/>
  <c r="C3" i="18"/>
  <c r="F3" i="18"/>
  <c r="B3" i="18"/>
  <c r="F2" i="18"/>
  <c r="D2" i="18"/>
  <c r="B2" i="18"/>
  <c r="C2" i="18"/>
  <c r="N48" i="78"/>
  <c r="R87" i="72"/>
  <c r="W29" i="72" s="1"/>
  <c r="R14" i="17"/>
  <c r="L101" i="78" s="1"/>
  <c r="L100" i="72"/>
  <c r="N100" i="72" s="1"/>
  <c r="R46" i="72"/>
  <c r="P46" i="72"/>
  <c r="S46" i="72"/>
  <c r="T46" i="72" s="1"/>
  <c r="T87" i="72" s="1"/>
  <c r="W28" i="72" s="1"/>
  <c r="S47" i="72"/>
  <c r="T47" i="72" s="1"/>
  <c r="A19" i="18"/>
  <c r="A18" i="18"/>
  <c r="E6" i="18"/>
  <c r="E5" i="18"/>
  <c r="E4" i="18"/>
  <c r="E3" i="18"/>
  <c r="E8" i="18"/>
  <c r="E2" i="18"/>
  <c r="E7" i="18"/>
  <c r="A17" i="18"/>
  <c r="A16" i="18"/>
  <c r="A15" i="18"/>
  <c r="A14" i="18"/>
  <c r="A13" i="18"/>
  <c r="H29" i="11" l="1"/>
  <c r="C19" i="18"/>
  <c r="C34" i="11"/>
  <c r="D14" i="18"/>
  <c r="D34" i="11"/>
  <c r="D15" i="18"/>
  <c r="B29" i="11"/>
  <c r="N151" i="73"/>
  <c r="N152" i="73" s="1"/>
  <c r="C13" i="18"/>
  <c r="F34" i="11"/>
  <c r="D17" i="18"/>
  <c r="W31" i="72"/>
  <c r="K151" i="73"/>
  <c r="K152" i="73" s="1"/>
  <c r="G34" i="11"/>
  <c r="D18" i="18"/>
  <c r="E29" i="11"/>
  <c r="C16" i="18"/>
  <c r="C29" i="11"/>
  <c r="C14" i="18"/>
  <c r="Q151" i="73"/>
  <c r="Q152" i="73" s="1"/>
  <c r="B34" i="11"/>
  <c r="D13" i="18"/>
  <c r="F29" i="11"/>
  <c r="C17" i="18"/>
  <c r="D29" i="11"/>
  <c r="C15" i="18"/>
  <c r="H34" i="11"/>
  <c r="D19" i="18"/>
  <c r="Z151" i="73"/>
  <c r="Z152" i="73" s="1"/>
  <c r="G29" i="11"/>
  <c r="C18" i="18"/>
  <c r="E34" i="11"/>
  <c r="D16" i="18"/>
  <c r="N49" i="78"/>
  <c r="W151" i="73"/>
  <c r="W152" i="73" s="1"/>
  <c r="R15" i="17"/>
  <c r="L102" i="78" s="1"/>
  <c r="L101" i="72"/>
  <c r="N101" i="72" s="1"/>
  <c r="G8" i="18"/>
  <c r="G6" i="18"/>
  <c r="G2" i="18"/>
  <c r="G7" i="18"/>
  <c r="G3" i="18"/>
  <c r="G4" i="18"/>
  <c r="G5" i="18"/>
  <c r="C23" i="18" l="1"/>
  <c r="C21" i="18" s="1"/>
  <c r="D23" i="18"/>
  <c r="D21" i="18" s="1"/>
  <c r="N50" i="78"/>
  <c r="R16" i="17"/>
  <c r="L103" i="78" s="1"/>
  <c r="L102" i="72"/>
  <c r="N102" i="72" s="1"/>
  <c r="N119" i="78" l="1"/>
  <c r="N51" i="78"/>
  <c r="R17" i="17"/>
  <c r="L104" i="78" s="1"/>
  <c r="L103" i="72"/>
  <c r="N103" i="72" s="1"/>
  <c r="N52" i="78" l="1"/>
  <c r="Q119" i="78"/>
  <c r="R119" i="72" s="1"/>
  <c r="S119" i="72" s="1"/>
  <c r="R18" i="17"/>
  <c r="L105" i="78" s="1"/>
  <c r="L104" i="72"/>
  <c r="N104" i="72" s="1"/>
  <c r="N53" i="78" l="1"/>
  <c r="R19" i="17"/>
  <c r="L106" i="78" s="1"/>
  <c r="L105" i="72"/>
  <c r="N105" i="72" s="1"/>
  <c r="N54" i="78" l="1"/>
  <c r="R20" i="17"/>
  <c r="L107" i="78" s="1"/>
  <c r="L106" i="72"/>
  <c r="N106" i="72" s="1"/>
  <c r="H43" i="11"/>
  <c r="G57" i="11"/>
  <c r="G24" i="11"/>
  <c r="H48" i="11"/>
  <c r="G43" i="11"/>
  <c r="H24" i="11"/>
  <c r="H57" i="11"/>
  <c r="G48" i="11"/>
  <c r="G53" i="11" l="1"/>
  <c r="H53" i="11"/>
  <c r="N55" i="78"/>
  <c r="G70" i="11"/>
  <c r="H70" i="11"/>
  <c r="R21" i="17"/>
  <c r="L108" i="78" s="1"/>
  <c r="L107" i="72"/>
  <c r="N107" i="72" s="1"/>
  <c r="N56" i="78" l="1"/>
  <c r="R22" i="17"/>
  <c r="L109" i="78" s="1"/>
  <c r="L108" i="72"/>
  <c r="N108" i="72" s="1"/>
  <c r="G14" i="11"/>
  <c r="F14" i="11"/>
  <c r="E14" i="11"/>
  <c r="D14" i="11"/>
  <c r="C14" i="11"/>
  <c r="B14" i="11"/>
  <c r="N57" i="78" l="1"/>
  <c r="R23" i="17"/>
  <c r="L110" i="78" s="1"/>
  <c r="L109" i="72"/>
  <c r="N109" i="72" s="1"/>
  <c r="H14" i="11"/>
  <c r="N58" i="78" l="1"/>
  <c r="L110" i="72"/>
  <c r="N110" i="72" s="1"/>
  <c r="R24" i="17"/>
  <c r="B29" i="17"/>
  <c r="A23" i="17"/>
  <c r="A24" i="17"/>
  <c r="A25" i="17"/>
  <c r="A26" i="17"/>
  <c r="A27" i="17"/>
  <c r="A28" i="17"/>
  <c r="A29" i="17"/>
  <c r="N59" i="78" l="1"/>
  <c r="Q58" i="72"/>
  <c r="Q26" i="72"/>
  <c r="Q57" i="72"/>
  <c r="Q55" i="72"/>
  <c r="N60" i="78" l="1"/>
  <c r="Q25" i="72"/>
  <c r="Q7" i="72"/>
  <c r="Q49" i="72"/>
  <c r="Q23" i="72"/>
  <c r="Q80" i="72"/>
  <c r="Q17" i="72"/>
  <c r="Q73" i="72"/>
  <c r="Q33" i="72"/>
  <c r="Q71" i="72"/>
  <c r="Q81" i="72"/>
  <c r="Q65" i="72"/>
  <c r="Q16" i="72"/>
  <c r="Q32" i="72"/>
  <c r="Q48" i="72"/>
  <c r="Q64" i="72"/>
  <c r="Q74" i="72"/>
  <c r="Q29" i="72"/>
  <c r="Q78" i="72"/>
  <c r="Q5" i="72"/>
  <c r="Q47" i="72"/>
  <c r="Q54" i="72"/>
  <c r="Q45" i="72"/>
  <c r="Q12" i="72"/>
  <c r="Q28" i="72"/>
  <c r="Q76" i="72"/>
  <c r="Q8" i="72"/>
  <c r="Q72" i="72"/>
  <c r="Q69" i="72"/>
  <c r="Q20" i="72"/>
  <c r="Q84" i="72"/>
  <c r="Q67" i="72"/>
  <c r="Q82" i="72"/>
  <c r="Q30" i="72"/>
  <c r="Q85" i="72"/>
  <c r="Q11" i="72"/>
  <c r="Q39" i="72"/>
  <c r="Q6" i="72"/>
  <c r="Q70" i="72"/>
  <c r="Q66" i="72"/>
  <c r="Q24" i="72"/>
  <c r="Q46" i="72"/>
  <c r="Q21" i="72"/>
  <c r="Q36" i="72"/>
  <c r="Q61" i="72"/>
  <c r="Q44" i="72"/>
  <c r="Q19" i="72"/>
  <c r="Q83" i="72"/>
  <c r="Q9" i="72"/>
  <c r="Q40" i="72"/>
  <c r="Q79" i="72"/>
  <c r="Q43" i="72"/>
  <c r="Q22" i="72"/>
  <c r="Q86" i="72"/>
  <c r="Q13" i="72"/>
  <c r="Q18" i="72"/>
  <c r="Q37" i="72"/>
  <c r="Q52" i="72"/>
  <c r="Q59" i="72"/>
  <c r="Q38" i="72"/>
  <c r="Q77" i="72"/>
  <c r="Q35" i="72"/>
  <c r="Q41" i="72"/>
  <c r="Q31" i="72"/>
  <c r="Q62" i="72"/>
  <c r="Q51" i="72"/>
  <c r="Q60" i="72"/>
  <c r="Q34" i="72"/>
  <c r="Q50" i="72"/>
  <c r="Q56" i="72"/>
  <c r="Q14" i="72"/>
  <c r="Q53" i="72"/>
  <c r="Q68" i="72"/>
  <c r="Q10" i="72"/>
  <c r="Q42" i="72"/>
  <c r="N61" i="78" l="1"/>
  <c r="F4" i="11"/>
  <c r="B4" i="11"/>
  <c r="H4" i="11"/>
  <c r="E4" i="11"/>
  <c r="D4" i="11"/>
  <c r="G4" i="11"/>
  <c r="C4" i="11"/>
  <c r="B126" i="72"/>
  <c r="Q75" i="72"/>
  <c r="N122" i="72"/>
  <c r="Q122" i="72" s="1"/>
  <c r="C9" i="9" s="1"/>
  <c r="Q15" i="72"/>
  <c r="N117" i="72"/>
  <c r="Q117" i="72" s="1"/>
  <c r="S117" i="72" s="1"/>
  <c r="N118" i="72"/>
  <c r="Q118" i="72" s="1"/>
  <c r="Q27" i="72"/>
  <c r="N120" i="72"/>
  <c r="Q120" i="72" s="1"/>
  <c r="C7" i="9" s="1"/>
  <c r="Q63" i="72"/>
  <c r="N121" i="72"/>
  <c r="Q121" i="72" s="1"/>
  <c r="C8" i="9" s="1"/>
  <c r="C5" i="9" l="1"/>
  <c r="S118" i="72"/>
  <c r="N62" i="78"/>
  <c r="C4" i="9"/>
  <c r="Q126" i="72"/>
  <c r="Q127" i="72" s="1"/>
  <c r="Q87" i="72"/>
  <c r="W26" i="72" s="1"/>
  <c r="E5" i="11"/>
  <c r="G5" i="11"/>
  <c r="G6" i="11" s="1"/>
  <c r="N126" i="72"/>
  <c r="N127" i="72" s="1"/>
  <c r="H5" i="11"/>
  <c r="H6" i="11" s="1"/>
  <c r="B5" i="11"/>
  <c r="F5" i="11"/>
  <c r="D5" i="11"/>
  <c r="C5" i="11"/>
  <c r="N120" i="78" l="1"/>
  <c r="N63" i="78"/>
  <c r="E61" i="11"/>
  <c r="E62" i="11"/>
  <c r="E63" i="11"/>
  <c r="E64" i="11"/>
  <c r="E65" i="11"/>
  <c r="E66" i="11"/>
  <c r="B55" i="11"/>
  <c r="C55" i="11"/>
  <c r="D55" i="11"/>
  <c r="E55" i="11"/>
  <c r="F55" i="11"/>
  <c r="G55" i="11"/>
  <c r="Q120" i="78" l="1"/>
  <c r="R120" i="72" s="1"/>
  <c r="S120" i="72" s="1"/>
  <c r="N64" i="78"/>
  <c r="H55" i="11"/>
  <c r="B57" i="11"/>
  <c r="C57" i="11"/>
  <c r="D57" i="11"/>
  <c r="E57" i="11"/>
  <c r="F57" i="11"/>
  <c r="N65" i="78" l="1"/>
  <c r="A20" i="9"/>
  <c r="N66" i="78" l="1"/>
  <c r="H10" i="17"/>
  <c r="N67" i="78" l="1"/>
  <c r="B43" i="11"/>
  <c r="E43" i="11"/>
  <c r="C43" i="11"/>
  <c r="D43" i="11"/>
  <c r="N68" i="78" l="1"/>
  <c r="C2" i="17"/>
  <c r="D2" i="17"/>
  <c r="G2" i="17"/>
  <c r="H2" i="17"/>
  <c r="I2" i="17"/>
  <c r="N69" i="78" l="1"/>
  <c r="G37" i="11"/>
  <c r="N70" i="78" l="1"/>
  <c r="F37" i="11"/>
  <c r="C37" i="11"/>
  <c r="N71" i="78" l="1"/>
  <c r="E37" i="11"/>
  <c r="B37" i="11"/>
  <c r="D37" i="11"/>
  <c r="N72" i="78" l="1"/>
  <c r="C10" i="17"/>
  <c r="D10" i="17"/>
  <c r="B10" i="17"/>
  <c r="H9" i="17"/>
  <c r="G9" i="17"/>
  <c r="D9" i="17"/>
  <c r="C9" i="17"/>
  <c r="B9" i="17"/>
  <c r="H8" i="17"/>
  <c r="G8" i="17"/>
  <c r="D8" i="17"/>
  <c r="C8" i="17"/>
  <c r="B8" i="17"/>
  <c r="H7" i="17"/>
  <c r="G7" i="17"/>
  <c r="D7" i="17"/>
  <c r="C7" i="17"/>
  <c r="B7" i="17"/>
  <c r="G6" i="17"/>
  <c r="D6" i="17"/>
  <c r="C6" i="17"/>
  <c r="B6" i="17"/>
  <c r="H5" i="17"/>
  <c r="G5" i="17"/>
  <c r="D5" i="17"/>
  <c r="C5" i="17"/>
  <c r="B5" i="17"/>
  <c r="B1" i="18"/>
  <c r="B2" i="17"/>
  <c r="A45" i="11"/>
  <c r="A40" i="11"/>
  <c r="A36" i="11"/>
  <c r="A21" i="11"/>
  <c r="A17" i="11"/>
  <c r="A13" i="11"/>
  <c r="N73" i="78" l="1"/>
  <c r="B15" i="18"/>
  <c r="N5" i="9"/>
  <c r="E15" i="18" s="1"/>
  <c r="O5" i="9"/>
  <c r="D19" i="11"/>
  <c r="M5" i="9"/>
  <c r="N6" i="9"/>
  <c r="E16" i="18" s="1"/>
  <c r="O6" i="9"/>
  <c r="E19" i="11"/>
  <c r="M6" i="9"/>
  <c r="E15" i="11"/>
  <c r="M9" i="9"/>
  <c r="M18" i="9" s="1"/>
  <c r="M19" i="9" s="1"/>
  <c r="O9" i="9"/>
  <c r="N9" i="9"/>
  <c r="N18" i="9" s="1"/>
  <c r="N19" i="9" s="1"/>
  <c r="O3" i="9"/>
  <c r="F13" i="18" s="1"/>
  <c r="B19" i="11"/>
  <c r="M3" i="9"/>
  <c r="B15" i="11"/>
  <c r="N3" i="9"/>
  <c r="C23" i="11"/>
  <c r="O4" i="9"/>
  <c r="C19" i="11"/>
  <c r="M4" i="9"/>
  <c r="C15" i="11"/>
  <c r="N4" i="9"/>
  <c r="E14" i="18" s="1"/>
  <c r="N7" i="9"/>
  <c r="E17" i="18" s="1"/>
  <c r="B17" i="18"/>
  <c r="M7" i="9"/>
  <c r="O7" i="9"/>
  <c r="F19" i="11"/>
  <c r="M8" i="9"/>
  <c r="N8" i="9"/>
  <c r="E18" i="18" s="1"/>
  <c r="B18" i="18"/>
  <c r="O8" i="9"/>
  <c r="G19" i="11"/>
  <c r="G34" i="17"/>
  <c r="G18" i="17" s="1"/>
  <c r="G19" i="17" s="1"/>
  <c r="B13" i="18"/>
  <c r="A18" i="9"/>
  <c r="B16" i="18"/>
  <c r="I31" i="9"/>
  <c r="E46" i="11"/>
  <c r="C48" i="11"/>
  <c r="F22" i="11"/>
  <c r="D41" i="11"/>
  <c r="C41" i="11"/>
  <c r="B22" i="11"/>
  <c r="B41" i="11"/>
  <c r="F41" i="11"/>
  <c r="F18" i="11"/>
  <c r="E24" i="11"/>
  <c r="N20" i="9" l="1"/>
  <c r="O18" i="9"/>
  <c r="O19" i="9" s="1"/>
  <c r="F19" i="18"/>
  <c r="M20" i="9"/>
  <c r="M25" i="9" s="1"/>
  <c r="M33" i="9" s="1"/>
  <c r="M24" i="9"/>
  <c r="M32" i="9" s="1"/>
  <c r="D47" i="11"/>
  <c r="F15" i="18"/>
  <c r="C47" i="11"/>
  <c r="F14" i="18"/>
  <c r="G47" i="11"/>
  <c r="F18" i="18"/>
  <c r="E47" i="11"/>
  <c r="F16" i="18"/>
  <c r="F47" i="11"/>
  <c r="F17" i="18"/>
  <c r="N74" i="78"/>
  <c r="B47" i="11"/>
  <c r="Y151" i="73"/>
  <c r="Y152" i="73" s="1"/>
  <c r="S151" i="73"/>
  <c r="S152" i="73" s="1"/>
  <c r="E13" i="18"/>
  <c r="V151" i="73"/>
  <c r="V152" i="73" s="1"/>
  <c r="G9" i="9"/>
  <c r="G5" i="9"/>
  <c r="G6" i="9"/>
  <c r="B14" i="18"/>
  <c r="G7" i="9"/>
  <c r="G3" i="9"/>
  <c r="F3" i="9" s="1"/>
  <c r="G15" i="11"/>
  <c r="G8" i="9"/>
  <c r="G4" i="9"/>
  <c r="E19" i="18"/>
  <c r="G23" i="11"/>
  <c r="B19" i="18"/>
  <c r="D23" i="11"/>
  <c r="F23" i="11"/>
  <c r="B23" i="11"/>
  <c r="H23" i="11"/>
  <c r="H19" i="11"/>
  <c r="I18" i="9"/>
  <c r="I19" i="9" s="1"/>
  <c r="H47" i="11"/>
  <c r="F15" i="11"/>
  <c r="H15" i="11"/>
  <c r="E23" i="11"/>
  <c r="D15" i="11"/>
  <c r="H18" i="9"/>
  <c r="H19" i="9" s="1"/>
  <c r="H20" i="9" s="1"/>
  <c r="B24" i="17"/>
  <c r="H37" i="11"/>
  <c r="I37" i="11"/>
  <c r="G41" i="11"/>
  <c r="E48" i="11"/>
  <c r="E53" i="11" s="1"/>
  <c r="B48" i="11"/>
  <c r="C24" i="11"/>
  <c r="C53" i="11" s="1"/>
  <c r="D48" i="11"/>
  <c r="D24" i="11"/>
  <c r="D53" i="11" s="1"/>
  <c r="E22" i="11"/>
  <c r="B26" i="17"/>
  <c r="B24" i="11"/>
  <c r="C22" i="11"/>
  <c r="B18" i="11"/>
  <c r="B46" i="11"/>
  <c r="E18" i="11"/>
  <c r="D46" i="11"/>
  <c r="G46" i="11"/>
  <c r="C18" i="11"/>
  <c r="C46" i="11"/>
  <c r="F46" i="11"/>
  <c r="F51" i="11" s="1"/>
  <c r="B53" i="11" l="1"/>
  <c r="O20" i="9"/>
  <c r="B52" i="11"/>
  <c r="I20" i="9"/>
  <c r="N121" i="78"/>
  <c r="N75" i="78"/>
  <c r="B51" i="11"/>
  <c r="C52" i="11"/>
  <c r="E52" i="11"/>
  <c r="D52" i="11"/>
  <c r="H52" i="11"/>
  <c r="G52" i="11"/>
  <c r="C51" i="11"/>
  <c r="F52" i="11"/>
  <c r="D70" i="11"/>
  <c r="B70" i="11"/>
  <c r="F23" i="18"/>
  <c r="F21" i="18" s="1"/>
  <c r="E23" i="18"/>
  <c r="E21" i="18" s="1"/>
  <c r="B23" i="18"/>
  <c r="B21" i="18" s="1"/>
  <c r="I34" i="17"/>
  <c r="I18" i="17" s="1"/>
  <c r="I19" i="17" s="1"/>
  <c r="C56" i="11"/>
  <c r="C10" i="11"/>
  <c r="B10" i="11"/>
  <c r="B56" i="11"/>
  <c r="G10" i="11"/>
  <c r="G56" i="11"/>
  <c r="E56" i="11"/>
  <c r="E10" i="11"/>
  <c r="H56" i="11"/>
  <c r="H10" i="11"/>
  <c r="D10" i="11"/>
  <c r="D56" i="11"/>
  <c r="F56" i="11"/>
  <c r="F10" i="11"/>
  <c r="E70" i="11"/>
  <c r="F9" i="9"/>
  <c r="C36" i="17"/>
  <c r="C70" i="11"/>
  <c r="B28" i="17"/>
  <c r="B25" i="17"/>
  <c r="B27" i="17"/>
  <c r="F4" i="9"/>
  <c r="J37" i="11"/>
  <c r="D22" i="11"/>
  <c r="F5" i="9"/>
  <c r="F7" i="9"/>
  <c r="G22" i="11"/>
  <c r="F8" i="9"/>
  <c r="F6" i="9"/>
  <c r="E41" i="11"/>
  <c r="E51" i="11" s="1"/>
  <c r="G18" i="11"/>
  <c r="G51" i="11" s="1"/>
  <c r="H46" i="11"/>
  <c r="D18" i="11"/>
  <c r="O24" i="9" l="1"/>
  <c r="O32" i="9" s="1"/>
  <c r="O25" i="9"/>
  <c r="O33" i="9" s="1"/>
  <c r="Q121" i="78"/>
  <c r="R121" i="72" s="1"/>
  <c r="S121" i="72" s="1"/>
  <c r="N76" i="78"/>
  <c r="D51" i="11"/>
  <c r="D68" i="11" s="1"/>
  <c r="E69" i="11"/>
  <c r="C69" i="11"/>
  <c r="G68" i="11"/>
  <c r="G69" i="11"/>
  <c r="H69" i="11"/>
  <c r="D69" i="11"/>
  <c r="B36" i="17"/>
  <c r="C68" i="11"/>
  <c r="B69" i="11"/>
  <c r="F69" i="11"/>
  <c r="H34" i="17"/>
  <c r="H18" i="17" s="1"/>
  <c r="D36" i="17"/>
  <c r="E68" i="11"/>
  <c r="B68" i="11"/>
  <c r="J46" i="11"/>
  <c r="I46" i="11"/>
  <c r="H19" i="17" l="1"/>
  <c r="N25" i="9" s="1"/>
  <c r="N33" i="9" s="1"/>
  <c r="N24" i="9"/>
  <c r="N32" i="9" s="1"/>
  <c r="N77" i="78"/>
  <c r="D34" i="17"/>
  <c r="D18" i="17" s="1"/>
  <c r="C34" i="17"/>
  <c r="C18" i="17" s="1"/>
  <c r="B34" i="17"/>
  <c r="B18" i="17" s="1"/>
  <c r="B19" i="17" s="1"/>
  <c r="D19" i="17" l="1"/>
  <c r="J25" i="9" s="1"/>
  <c r="J33" i="9" s="1"/>
  <c r="J41" i="9" s="1"/>
  <c r="L41" i="9" s="1"/>
  <c r="J24" i="9"/>
  <c r="J32" i="9" s="1"/>
  <c r="C19" i="17"/>
  <c r="I25" i="9" s="1"/>
  <c r="I33" i="9" s="1"/>
  <c r="I24" i="9"/>
  <c r="I32" i="9" s="1"/>
  <c r="N78" i="78"/>
  <c r="H24" i="9"/>
  <c r="H32" i="9" s="1"/>
  <c r="I14" i="11"/>
  <c r="J22" i="11"/>
  <c r="I22" i="11"/>
  <c r="I18" i="11"/>
  <c r="H22" i="11"/>
  <c r="N79" i="78" l="1"/>
  <c r="L18" i="17"/>
  <c r="Q25" i="17" s="1"/>
  <c r="Q26" i="17" s="1"/>
  <c r="I41" i="11"/>
  <c r="I51" i="11" s="1"/>
  <c r="H41" i="11"/>
  <c r="H18" i="11"/>
  <c r="H51" i="11" s="1"/>
  <c r="N80" i="78" l="1"/>
  <c r="H68" i="11"/>
  <c r="L19" i="17"/>
  <c r="R25" i="17" s="1"/>
  <c r="R26" i="17" s="1"/>
  <c r="J18" i="17"/>
  <c r="I55" i="11" s="1"/>
  <c r="J14" i="11"/>
  <c r="F68" i="11"/>
  <c r="J18" i="11"/>
  <c r="H25" i="9"/>
  <c r="N81" i="78" l="1"/>
  <c r="J19" i="17"/>
  <c r="J55" i="11" s="1"/>
  <c r="I68" i="11"/>
  <c r="H33" i="9"/>
  <c r="J41" i="11"/>
  <c r="J51" i="11" s="1"/>
  <c r="G24" i="9"/>
  <c r="N82" i="78" l="1"/>
  <c r="J68" i="11"/>
  <c r="P32" i="9"/>
  <c r="G25" i="9"/>
  <c r="N83" i="78" l="1"/>
  <c r="P33" i="9"/>
  <c r="N84" i="78" l="1"/>
  <c r="F43" i="11"/>
  <c r="N85" i="78" l="1"/>
  <c r="F48" i="11"/>
  <c r="F24" i="11"/>
  <c r="F53" i="11" s="1"/>
  <c r="N86" i="78" l="1"/>
  <c r="F70" i="11"/>
  <c r="N122" i="78" l="1"/>
  <c r="N87" i="78"/>
  <c r="F59" i="11"/>
  <c r="F63" i="11" s="1"/>
  <c r="N88" i="78" l="1"/>
  <c r="Q122" i="78"/>
  <c r="N126" i="78"/>
  <c r="N127" i="78" s="1"/>
  <c r="W28" i="78"/>
  <c r="W29" i="78"/>
  <c r="W26" i="78"/>
  <c r="N123" i="72"/>
  <c r="Q123" i="72" s="1"/>
  <c r="C10" i="9" s="1"/>
  <c r="I59" i="11"/>
  <c r="I63" i="11" s="1"/>
  <c r="Q126" i="78" l="1"/>
  <c r="Q127" i="78" s="1"/>
  <c r="R122" i="72"/>
  <c r="S122" i="72" s="1"/>
  <c r="W31" i="78"/>
  <c r="N89" i="78"/>
  <c r="I5" i="11"/>
  <c r="G10" i="9"/>
  <c r="G28" i="9" s="1"/>
  <c r="J59" i="11"/>
  <c r="J63" i="11" s="1"/>
  <c r="N90" i="78" l="1"/>
  <c r="F61" i="11"/>
  <c r="F65" i="11" s="1"/>
  <c r="N91" i="78" l="1"/>
  <c r="F60" i="11"/>
  <c r="F64" i="11" s="1"/>
  <c r="I61" i="11"/>
  <c r="I65" i="11" s="1"/>
  <c r="N92" i="78" l="1"/>
  <c r="J61" i="11"/>
  <c r="J65" i="11" s="1"/>
  <c r="I60" i="11"/>
  <c r="I64" i="11" s="1"/>
  <c r="N93" i="78" l="1"/>
  <c r="J60" i="11"/>
  <c r="J64" i="11" s="1"/>
  <c r="N94" i="78" l="1"/>
  <c r="D8" i="9"/>
  <c r="E8" i="9" s="1"/>
  <c r="D3" i="9"/>
  <c r="E3" i="9" s="1"/>
  <c r="D6" i="11"/>
  <c r="D6" i="9"/>
  <c r="E6" i="9" s="1"/>
  <c r="F6" i="11"/>
  <c r="D5" i="9"/>
  <c r="E5" i="9" s="1"/>
  <c r="N95" i="78" l="1"/>
  <c r="E6" i="11"/>
  <c r="C6" i="11"/>
  <c r="D7" i="9"/>
  <c r="E7" i="9" s="1"/>
  <c r="D4" i="9"/>
  <c r="E4" i="9" s="1"/>
  <c r="D9" i="9"/>
  <c r="E9" i="9" s="1"/>
  <c r="B6" i="11"/>
  <c r="N96" i="78" l="1"/>
  <c r="N114" i="72"/>
  <c r="N124" i="72"/>
  <c r="Q124" i="72" s="1"/>
  <c r="C11" i="9" s="1"/>
  <c r="N97" i="78" l="1"/>
  <c r="N130" i="72"/>
  <c r="N131" i="72" s="1"/>
  <c r="J5" i="11"/>
  <c r="G32" i="9"/>
  <c r="I10" i="11"/>
  <c r="N98" i="78" l="1"/>
  <c r="N123" i="78" s="1"/>
  <c r="Q123" i="78" s="1"/>
  <c r="R123" i="72" s="1"/>
  <c r="S123" i="72" s="1"/>
  <c r="H36" i="9"/>
  <c r="H28" i="9" s="1"/>
  <c r="M36" i="9"/>
  <c r="M28" i="9" s="1"/>
  <c r="N36" i="9"/>
  <c r="N28" i="9" s="1"/>
  <c r="O36" i="9"/>
  <c r="O28" i="9" s="1"/>
  <c r="J36" i="9"/>
  <c r="J28" i="9" s="1"/>
  <c r="I36" i="9"/>
  <c r="I28" i="9" s="1"/>
  <c r="K36" i="9"/>
  <c r="K28" i="9" s="1"/>
  <c r="L36" i="9"/>
  <c r="L28" i="9" s="1"/>
  <c r="G11" i="9"/>
  <c r="G29" i="9" s="1"/>
  <c r="G33" i="9" s="1"/>
  <c r="F9" i="18" l="1"/>
  <c r="I38" i="11"/>
  <c r="I19" i="11"/>
  <c r="E9" i="18"/>
  <c r="I15" i="11"/>
  <c r="N99" i="78"/>
  <c r="I42" i="11"/>
  <c r="D9" i="18"/>
  <c r="I34" i="11" s="1"/>
  <c r="I33" i="11"/>
  <c r="I47" i="11"/>
  <c r="C9" i="18"/>
  <c r="I29" i="11" s="1"/>
  <c r="I28" i="11"/>
  <c r="K37" i="9"/>
  <c r="K29" i="9" s="1"/>
  <c r="L37" i="9"/>
  <c r="L29" i="9" s="1"/>
  <c r="N37" i="9"/>
  <c r="N29" i="9" s="1"/>
  <c r="O37" i="9"/>
  <c r="O29" i="9" s="1"/>
  <c r="M37" i="9"/>
  <c r="M29" i="9" s="1"/>
  <c r="I37" i="9"/>
  <c r="I29" i="9" s="1"/>
  <c r="J37" i="9"/>
  <c r="J29" i="9" s="1"/>
  <c r="J10" i="11"/>
  <c r="H37" i="9"/>
  <c r="H29" i="9" s="1"/>
  <c r="P28" i="9"/>
  <c r="I56" i="11" s="1"/>
  <c r="G36" i="9"/>
  <c r="I23" i="11"/>
  <c r="B9" i="18"/>
  <c r="I48" i="11"/>
  <c r="I43" i="11"/>
  <c r="F10" i="18" l="1"/>
  <c r="K40" i="9"/>
  <c r="J19" i="11"/>
  <c r="E10" i="18"/>
  <c r="J43" i="11" s="1"/>
  <c r="J23" i="11"/>
  <c r="J40" i="9"/>
  <c r="L40" i="9" s="1"/>
  <c r="L42" i="9" s="1"/>
  <c r="N100" i="78"/>
  <c r="I52" i="11"/>
  <c r="C10" i="18"/>
  <c r="J29" i="11" s="1"/>
  <c r="J28" i="11"/>
  <c r="J42" i="11"/>
  <c r="D10" i="18"/>
  <c r="J34" i="11" s="1"/>
  <c r="J33" i="11"/>
  <c r="J47" i="11"/>
  <c r="G37" i="9"/>
  <c r="B10" i="18"/>
  <c r="J24" i="11" s="1"/>
  <c r="J48" i="11"/>
  <c r="P29" i="9"/>
  <c r="J56" i="11" s="1"/>
  <c r="J38" i="11"/>
  <c r="J15" i="11"/>
  <c r="I24" i="11"/>
  <c r="G9" i="18"/>
  <c r="I57" i="11" s="1"/>
  <c r="Q28" i="9"/>
  <c r="R28" i="9" s="1"/>
  <c r="I53" i="11" l="1"/>
  <c r="N101" i="78"/>
  <c r="J52" i="11"/>
  <c r="J69" i="11" s="1"/>
  <c r="J53" i="11"/>
  <c r="G10" i="18"/>
  <c r="J57" i="11" s="1"/>
  <c r="Q29" i="9"/>
  <c r="R29" i="9" s="1"/>
  <c r="E59" i="11"/>
  <c r="I69" i="11"/>
  <c r="I70" i="11"/>
  <c r="N102" i="78" l="1"/>
  <c r="J70" i="11"/>
  <c r="E60" i="11"/>
  <c r="N103" i="78" l="1"/>
  <c r="N104" i="78" l="1"/>
  <c r="N105" i="78" l="1"/>
  <c r="N106" i="78" l="1"/>
  <c r="N107" i="78" l="1"/>
  <c r="N108" i="78" l="1"/>
  <c r="N110" i="78" l="1"/>
  <c r="N109" i="78"/>
  <c r="N114" i="78" l="1"/>
  <c r="N124" i="78"/>
  <c r="Q124" i="78" l="1"/>
  <c r="R124" i="72" s="1"/>
  <c r="S124" i="72" s="1"/>
  <c r="N130" i="78"/>
  <c r="N131" i="78" s="1"/>
</calcChain>
</file>

<file path=xl/sharedStrings.xml><?xml version="1.0" encoding="utf-8"?>
<sst xmlns="http://schemas.openxmlformats.org/spreadsheetml/2006/main" count="401" uniqueCount="143">
  <si>
    <t>Loss Factor</t>
  </si>
  <si>
    <t>Total Billed</t>
  </si>
  <si>
    <t>Heating Degree Days</t>
  </si>
  <si>
    <t>Cooling Degree Days</t>
  </si>
  <si>
    <t>Purchases</t>
  </si>
  <si>
    <t>Modeled Purchases</t>
  </si>
  <si>
    <t>% Difference</t>
  </si>
  <si>
    <t>Total</t>
  </si>
  <si>
    <t xml:space="preserve">Predicted Purchases </t>
  </si>
  <si>
    <t>Average</t>
  </si>
  <si>
    <t xml:space="preserve">Geomean </t>
  </si>
  <si>
    <t>Usage Per Customer</t>
  </si>
  <si>
    <t>Check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</si>
  <si>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</si>
  <si>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</si>
  <si>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</si>
  <si>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</si>
  <si>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</si>
  <si>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</si>
  <si>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</si>
  <si>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</si>
  <si>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</si>
  <si>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</si>
  <si>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</si>
  <si>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</si>
  <si>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</si>
  <si>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</si>
  <si>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</si>
  <si>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</si>
  <si>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</si>
  <si>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</si>
  <si>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</si>
  <si>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</si>
  <si>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</si>
  <si>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</si>
  <si>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</si>
  <si>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</si>
  <si>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</si>
  <si>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</si>
  <si>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</si>
  <si>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</si>
  <si>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</si>
  <si>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</si>
  <si>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</si>
  <si>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</si>
  <si>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</si>
  <si>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</si>
  <si>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</si>
  <si>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</si>
  <si>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</si>
  <si>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</si>
  <si>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</si>
  <si>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May</t>
  </si>
  <si>
    <t>kWh</t>
  </si>
  <si>
    <t>kW</t>
  </si>
  <si>
    <t xml:space="preserve">2016 Actual </t>
  </si>
  <si>
    <t xml:space="preserve">2017 Actual </t>
  </si>
  <si>
    <t>Average Number of Customer/Connections</t>
  </si>
  <si>
    <t xml:space="preserve">2018 Actual </t>
  </si>
  <si>
    <t xml:space="preserve">2019 Actual </t>
  </si>
  <si>
    <t xml:space="preserve">Total Billed </t>
  </si>
  <si>
    <t>Input data</t>
  </si>
  <si>
    <t>Residential</t>
  </si>
  <si>
    <t>Year</t>
  </si>
  <si>
    <t>2020 Actual</t>
  </si>
  <si>
    <t>2021 Actual</t>
  </si>
  <si>
    <t>2022 Actual</t>
  </si>
  <si>
    <t>2023 Bridge</t>
  </si>
  <si>
    <t>2024 Test</t>
  </si>
  <si>
    <t>Date</t>
  </si>
  <si>
    <t>General Service &lt; 50 kW</t>
  </si>
  <si>
    <t xml:space="preserve">Street Lighting </t>
  </si>
  <si>
    <t>Consumption</t>
  </si>
  <si>
    <t>Wholesale</t>
  </si>
  <si>
    <t>Retail Consumption</t>
  </si>
  <si>
    <t>Wholesale Purchases</t>
  </si>
  <si>
    <t>Number of Customer/ Connection</t>
  </si>
  <si>
    <t>Customer/ Connection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</si>
  <si>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</si>
  <si>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</si>
  <si>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</si>
  <si>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</si>
  <si>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</si>
  <si>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</si>
  <si>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</si>
  <si>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</si>
  <si>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</si>
  <si>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</si>
  <si>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</si>
  <si>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Geomean Monthly Escalation</t>
  </si>
  <si>
    <t>Days in Month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</si>
  <si>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</si>
  <si>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</si>
  <si>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</si>
  <si>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</si>
  <si>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</si>
  <si>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</si>
  <si>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</si>
  <si>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</si>
  <si>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</si>
  <si>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</si>
  <si>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</si>
  <si>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Average Customer / Connection Count</t>
  </si>
  <si>
    <t>Month</t>
  </si>
  <si>
    <t>Number of Customers</t>
  </si>
  <si>
    <t>Total Customers</t>
  </si>
  <si>
    <t>Weather Normal</t>
  </si>
  <si>
    <t>Embedded Generation</t>
  </si>
  <si>
    <t>General Service 50 to 499 kW</t>
  </si>
  <si>
    <t>General Service 500 to 1499 kW</t>
  </si>
  <si>
    <t>General Service 1500-4999 kW</t>
  </si>
  <si>
    <t>Unmetered Scattered Load</t>
  </si>
  <si>
    <t>Sentinel Lighting</t>
  </si>
  <si>
    <t>Power Purchases</t>
  </si>
  <si>
    <t>Covid Flag</t>
  </si>
  <si>
    <t>Shut Down Adjustment</t>
  </si>
  <si>
    <t>Reduced Load Adjustment</t>
  </si>
  <si>
    <t>Adjusted Power Purchases</t>
  </si>
  <si>
    <t>Residual (kWh)</t>
  </si>
  <si>
    <t xml:space="preserve">% Residual </t>
  </si>
  <si>
    <t>% Residual (Abs)</t>
  </si>
  <si>
    <t>Residual Squared</t>
  </si>
  <si>
    <t>Difference of Residuals</t>
  </si>
  <si>
    <t>Difference of Residuals Squared</t>
  </si>
  <si>
    <t>7-year average</t>
  </si>
  <si>
    <t>2022 Dec</t>
  </si>
  <si>
    <t>Checks - must be zero</t>
  </si>
  <si>
    <t>Last 7 years</t>
  </si>
  <si>
    <t>Customers</t>
  </si>
  <si>
    <t>Summary of Degree Day Information</t>
  </si>
  <si>
    <t>Summary of All Heating Degree Days</t>
  </si>
  <si>
    <t>10 Year Avg</t>
  </si>
  <si>
    <t>Summary of All Cooling Degree Days</t>
  </si>
  <si>
    <t>7 Year Avg</t>
  </si>
  <si>
    <t>Shut Downs</t>
  </si>
  <si>
    <t>Reduced Load</t>
  </si>
  <si>
    <t>Mean Absolute Percentage Error (MAPE)</t>
  </si>
  <si>
    <t>Sum of Squared Difference of Residuals</t>
  </si>
  <si>
    <t>Sum of Squared Residuals</t>
  </si>
  <si>
    <t>Durbin-Watson Calculation</t>
  </si>
  <si>
    <t>Weather Actual</t>
  </si>
  <si>
    <t>Weather Normal Adjustment Factor</t>
  </si>
  <si>
    <t>THI Weather Normal Load Forecast for 2024 Rate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</si>
</sst>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%"/>
    <numFmt numFmtId="168" formatCode="#,##0;\(#,##0\)"/>
    <numFmt numFmtId="169" formatCode="0.0000"/>
    <numFmt numFmtId="170" formatCode="#,##0.0000"/>
    <numFmt numFmtId="171" formatCode="0.0000%"/>
    <numFmt numFmtId="172" formatCode="_(* #,##0_);_(* \(#,##0\);_(* &quot;-&quot;??_);_(@_)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&quot;£ &quot;#,##0.00;[Red]\-&quot;£ &quot;#,##0.00"/>
    <numFmt numFmtId="179" formatCode="_-* #,##0.00_-;\-* #,##0.00_-;_-* \-??_-;_-@_-"/>
    <numFmt numFmtId="180" formatCode="#,##0.000"/>
  </numFmts>
  <fonts count="8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Times New Roman"/>
      <family val="1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"/>
    </font>
    <font>
      <b/>
      <sz val="12"/>
      <color rgb="FFFFC000"/>
      <name val="Arial"/>
      <family val="2"/>
    </font>
    <font>
      <sz val="10"/>
      <name val="Mangal"/>
      <family val="2"/>
      <charset val="1"/>
    </font>
    <font>
      <u/>
      <sz val="10"/>
      <color indexed="12"/>
      <name val="Times New Roman"/>
      <family val="1"/>
    </font>
    <font>
      <sz val="10"/>
      <color theme="0" tint="-0.14999847407452621"/>
      <name val="Arial"/>
      <family val="2"/>
    </font>
    <font>
      <b/>
      <sz val="12"/>
      <color theme="0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4" tint="-0.249977111117893"/>
      </right>
      <top/>
      <bottom style="thin">
        <color indexed="64"/>
      </bottom>
      <diagonal/>
    </border>
    <border>
      <left style="medium">
        <color theme="4" tint="-0.249977111117893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532">
    <xf numFmtId="0" fontId="0" fillId="0" borderId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5" borderId="1" applyNumberFormat="0" applyProtection="0">
      <alignment horizontal="left" vertical="center"/>
    </xf>
    <xf numFmtId="0" fontId="7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7" fillId="0" borderId="0"/>
    <xf numFmtId="174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5" fontId="7" fillId="0" borderId="0"/>
    <xf numFmtId="176" fontId="7" fillId="0" borderId="0"/>
    <xf numFmtId="175" fontId="7" fillId="0" borderId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31" fillId="16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13" borderId="0" applyNumberFormat="0" applyBorder="0" applyAlignment="0" applyProtection="0"/>
    <xf numFmtId="0" fontId="31" fillId="17" borderId="0" applyNumberFormat="0" applyBorder="0" applyAlignment="0" applyProtection="0"/>
    <xf numFmtId="0" fontId="31" fillId="21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33" borderId="0" applyNumberFormat="0" applyBorder="0" applyAlignment="0" applyProtection="0"/>
    <xf numFmtId="0" fontId="22" fillId="7" borderId="0" applyNumberFormat="0" applyBorder="0" applyAlignment="0" applyProtection="0"/>
    <xf numFmtId="0" fontId="26" fillId="10" borderId="10" applyNumberFormat="0" applyAlignment="0" applyProtection="0"/>
    <xf numFmtId="0" fontId="28" fillId="11" borderId="13" applyNumberFormat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1" fillId="6" borderId="0" applyNumberFormat="0" applyBorder="0" applyAlignment="0" applyProtection="0"/>
    <xf numFmtId="38" fontId="13" fillId="37" borderId="0" applyNumberFormat="0" applyBorder="0" applyAlignment="0" applyProtection="0"/>
    <xf numFmtId="38" fontId="13" fillId="37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10" fontId="13" fillId="38" borderId="1" applyNumberFormat="0" applyBorder="0" applyAlignment="0" applyProtection="0"/>
    <xf numFmtId="10" fontId="13" fillId="38" borderId="1" applyNumberFormat="0" applyBorder="0" applyAlignment="0" applyProtection="0"/>
    <xf numFmtId="0" fontId="24" fillId="9" borderId="10" applyNumberFormat="0" applyAlignment="0" applyProtection="0"/>
    <xf numFmtId="0" fontId="27" fillId="0" borderId="12" applyNumberFormat="0" applyFill="0" applyAlignment="0" applyProtection="0"/>
    <xf numFmtId="177" fontId="7" fillId="0" borderId="0"/>
    <xf numFmtId="172" fontId="7" fillId="0" borderId="0"/>
    <xf numFmtId="177" fontId="7" fillId="0" borderId="0"/>
    <xf numFmtId="177" fontId="7" fillId="0" borderId="0"/>
    <xf numFmtId="177" fontId="7" fillId="0" borderId="0"/>
    <xf numFmtId="177" fontId="7" fillId="0" borderId="0"/>
    <xf numFmtId="0" fontId="23" fillId="8" borderId="0" applyNumberFormat="0" applyBorder="0" applyAlignment="0" applyProtection="0"/>
    <xf numFmtId="178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12" borderId="14" applyNumberFormat="0" applyFont="0" applyAlignment="0" applyProtection="0"/>
    <xf numFmtId="0" fontId="25" fillId="10" borderId="11" applyNumberFormat="0" applyAlignment="0" applyProtection="0"/>
    <xf numFmtId="10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2" fillId="0" borderId="0" applyNumberFormat="0" applyBorder="0" applyAlignment="0"/>
    <xf numFmtId="0" fontId="33" fillId="0" borderId="0" applyNumberFormat="0" applyBorder="0" applyAlignment="0"/>
    <xf numFmtId="0" fontId="34" fillId="0" borderId="0" applyNumberFormat="0" applyBorder="0" applyAlignment="0"/>
    <xf numFmtId="0" fontId="35" fillId="0" borderId="16">
      <alignment horizontal="center" vertical="center"/>
    </xf>
    <xf numFmtId="0" fontId="17" fillId="0" borderId="0" applyNumberFormat="0" applyFill="0" applyBorder="0" applyAlignment="0" applyProtection="0"/>
    <xf numFmtId="0" fontId="16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6" fillId="0" borderId="0"/>
    <xf numFmtId="166" fontId="36" fillId="0" borderId="0" applyFont="0" applyFill="0" applyBorder="0" applyAlignment="0" applyProtection="0"/>
    <xf numFmtId="0" fontId="36" fillId="0" borderId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3" fillId="10" borderId="10" applyNumberFormat="0" applyAlignment="0" applyProtection="0"/>
    <xf numFmtId="0" fontId="43" fillId="10" borderId="10" applyNumberFormat="0" applyAlignment="0" applyProtection="0"/>
    <xf numFmtId="0" fontId="43" fillId="10" borderId="10" applyNumberFormat="0" applyAlignment="0" applyProtection="0"/>
    <xf numFmtId="0" fontId="43" fillId="10" borderId="10" applyNumberFormat="0" applyAlignment="0" applyProtection="0"/>
    <xf numFmtId="0" fontId="43" fillId="10" borderId="10" applyNumberFormat="0" applyAlignment="0" applyProtection="0"/>
    <xf numFmtId="0" fontId="43" fillId="10" borderId="10" applyNumberFormat="0" applyAlignment="0" applyProtection="0"/>
    <xf numFmtId="0" fontId="43" fillId="10" borderId="10" applyNumberFormat="0" applyAlignment="0" applyProtection="0"/>
    <xf numFmtId="0" fontId="43" fillId="10" borderId="10" applyNumberFormat="0" applyAlignment="0" applyProtection="0"/>
    <xf numFmtId="0" fontId="43" fillId="10" borderId="10" applyNumberFormat="0" applyAlignment="0" applyProtection="0"/>
    <xf numFmtId="0" fontId="43" fillId="10" borderId="10" applyNumberFormat="0" applyAlignment="0" applyProtection="0"/>
    <xf numFmtId="0" fontId="43" fillId="10" borderId="10" applyNumberFormat="0" applyAlignment="0" applyProtection="0"/>
    <xf numFmtId="0" fontId="43" fillId="10" borderId="10" applyNumberFormat="0" applyAlignment="0" applyProtection="0"/>
    <xf numFmtId="0" fontId="43" fillId="10" borderId="10" applyNumberFormat="0" applyAlignment="0" applyProtection="0"/>
    <xf numFmtId="0" fontId="43" fillId="10" borderId="10" applyNumberFormat="0" applyAlignment="0" applyProtection="0"/>
    <xf numFmtId="0" fontId="44" fillId="11" borderId="13" applyNumberFormat="0" applyAlignment="0" applyProtection="0"/>
    <xf numFmtId="0" fontId="44" fillId="11" borderId="13" applyNumberFormat="0" applyAlignment="0" applyProtection="0"/>
    <xf numFmtId="0" fontId="44" fillId="11" borderId="13" applyNumberFormat="0" applyAlignment="0" applyProtection="0"/>
    <xf numFmtId="0" fontId="44" fillId="11" borderId="13" applyNumberFormat="0" applyAlignment="0" applyProtection="0"/>
    <xf numFmtId="0" fontId="44" fillId="11" borderId="13" applyNumberFormat="0" applyAlignment="0" applyProtection="0"/>
    <xf numFmtId="0" fontId="44" fillId="11" borderId="13" applyNumberFormat="0" applyAlignment="0" applyProtection="0"/>
    <xf numFmtId="0" fontId="44" fillId="11" borderId="13" applyNumberFormat="0" applyAlignment="0" applyProtection="0"/>
    <xf numFmtId="0" fontId="44" fillId="11" borderId="13" applyNumberFormat="0" applyAlignment="0" applyProtection="0"/>
    <xf numFmtId="0" fontId="44" fillId="11" borderId="13" applyNumberFormat="0" applyAlignment="0" applyProtection="0"/>
    <xf numFmtId="0" fontId="44" fillId="11" borderId="13" applyNumberFormat="0" applyAlignment="0" applyProtection="0"/>
    <xf numFmtId="0" fontId="44" fillId="11" borderId="13" applyNumberFormat="0" applyAlignment="0" applyProtection="0"/>
    <xf numFmtId="0" fontId="44" fillId="11" borderId="13" applyNumberFormat="0" applyAlignment="0" applyProtection="0"/>
    <xf numFmtId="0" fontId="44" fillId="11" borderId="13" applyNumberFormat="0" applyAlignment="0" applyProtection="0"/>
    <xf numFmtId="0" fontId="44" fillId="11" borderId="13" applyNumberFormat="0" applyAlignment="0" applyProtection="0"/>
    <xf numFmtId="43" fontId="36" fillId="0" borderId="0" applyFont="0" applyFill="0" applyBorder="0" applyAlignment="0" applyProtection="0"/>
    <xf numFmtId="166" fontId="4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9" borderId="10" applyNumberFormat="0" applyAlignment="0" applyProtection="0"/>
    <xf numFmtId="0" fontId="50" fillId="9" borderId="10" applyNumberFormat="0" applyAlignment="0" applyProtection="0"/>
    <xf numFmtId="0" fontId="50" fillId="9" borderId="10" applyNumberFormat="0" applyAlignment="0" applyProtection="0"/>
    <xf numFmtId="0" fontId="50" fillId="9" borderId="10" applyNumberFormat="0" applyAlignment="0" applyProtection="0"/>
    <xf numFmtId="0" fontId="50" fillId="9" borderId="10" applyNumberFormat="0" applyAlignment="0" applyProtection="0"/>
    <xf numFmtId="0" fontId="50" fillId="9" borderId="10" applyNumberFormat="0" applyAlignment="0" applyProtection="0"/>
    <xf numFmtId="0" fontId="50" fillId="9" borderId="10" applyNumberFormat="0" applyAlignment="0" applyProtection="0"/>
    <xf numFmtId="0" fontId="50" fillId="9" borderId="10" applyNumberFormat="0" applyAlignment="0" applyProtection="0"/>
    <xf numFmtId="0" fontId="50" fillId="9" borderId="10" applyNumberFormat="0" applyAlignment="0" applyProtection="0"/>
    <xf numFmtId="0" fontId="50" fillId="9" borderId="10" applyNumberFormat="0" applyAlignment="0" applyProtection="0"/>
    <xf numFmtId="0" fontId="50" fillId="9" borderId="10" applyNumberFormat="0" applyAlignment="0" applyProtection="0"/>
    <xf numFmtId="0" fontId="50" fillId="9" borderId="10" applyNumberFormat="0" applyAlignment="0" applyProtection="0"/>
    <xf numFmtId="0" fontId="50" fillId="9" borderId="10" applyNumberFormat="0" applyAlignment="0" applyProtection="0"/>
    <xf numFmtId="0" fontId="50" fillId="9" borderId="10" applyNumberFormat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2" fillId="12" borderId="14" applyNumberFormat="0" applyFont="0" applyAlignment="0" applyProtection="0"/>
    <xf numFmtId="0" fontId="32" fillId="12" borderId="14" applyNumberFormat="0" applyFont="0" applyAlignment="0" applyProtection="0"/>
    <xf numFmtId="0" fontId="32" fillId="12" borderId="14" applyNumberFormat="0" applyFont="0" applyAlignment="0" applyProtection="0"/>
    <xf numFmtId="0" fontId="32" fillId="12" borderId="14" applyNumberFormat="0" applyFont="0" applyAlignment="0" applyProtection="0"/>
    <xf numFmtId="0" fontId="32" fillId="12" borderId="14" applyNumberFormat="0" applyFont="0" applyAlignment="0" applyProtection="0"/>
    <xf numFmtId="0" fontId="32" fillId="12" borderId="14" applyNumberFormat="0" applyFont="0" applyAlignment="0" applyProtection="0"/>
    <xf numFmtId="0" fontId="32" fillId="12" borderId="14" applyNumberFormat="0" applyFont="0" applyAlignment="0" applyProtection="0"/>
    <xf numFmtId="0" fontId="32" fillId="12" borderId="14" applyNumberFormat="0" applyFont="0" applyAlignment="0" applyProtection="0"/>
    <xf numFmtId="0" fontId="32" fillId="12" borderId="14" applyNumberFormat="0" applyFont="0" applyAlignment="0" applyProtection="0"/>
    <xf numFmtId="0" fontId="32" fillId="12" borderId="14" applyNumberFormat="0" applyFont="0" applyAlignment="0" applyProtection="0"/>
    <xf numFmtId="0" fontId="32" fillId="12" borderId="14" applyNumberFormat="0" applyFont="0" applyAlignment="0" applyProtection="0"/>
    <xf numFmtId="0" fontId="32" fillId="12" borderId="14" applyNumberFormat="0" applyFont="0" applyAlignment="0" applyProtection="0"/>
    <xf numFmtId="0" fontId="32" fillId="12" borderId="14" applyNumberFormat="0" applyFont="0" applyAlignment="0" applyProtection="0"/>
    <xf numFmtId="0" fontId="32" fillId="12" borderId="14" applyNumberFormat="0" applyFont="0" applyAlignment="0" applyProtection="0"/>
    <xf numFmtId="0" fontId="53" fillId="10" borderId="11" applyNumberFormat="0" applyAlignment="0" applyProtection="0"/>
    <xf numFmtId="0" fontId="53" fillId="10" borderId="11" applyNumberFormat="0" applyAlignment="0" applyProtection="0"/>
    <xf numFmtId="0" fontId="53" fillId="10" borderId="11" applyNumberFormat="0" applyAlignment="0" applyProtection="0"/>
    <xf numFmtId="0" fontId="53" fillId="10" borderId="11" applyNumberFormat="0" applyAlignment="0" applyProtection="0"/>
    <xf numFmtId="0" fontId="53" fillId="10" borderId="11" applyNumberFormat="0" applyAlignment="0" applyProtection="0"/>
    <xf numFmtId="0" fontId="53" fillId="10" borderId="11" applyNumberFormat="0" applyAlignment="0" applyProtection="0"/>
    <xf numFmtId="0" fontId="53" fillId="10" borderId="11" applyNumberFormat="0" applyAlignment="0" applyProtection="0"/>
    <xf numFmtId="0" fontId="53" fillId="10" borderId="11" applyNumberFormat="0" applyAlignment="0" applyProtection="0"/>
    <xf numFmtId="0" fontId="53" fillId="10" borderId="11" applyNumberFormat="0" applyAlignment="0" applyProtection="0"/>
    <xf numFmtId="0" fontId="53" fillId="10" borderId="11" applyNumberFormat="0" applyAlignment="0" applyProtection="0"/>
    <xf numFmtId="0" fontId="53" fillId="10" borderId="11" applyNumberFormat="0" applyAlignment="0" applyProtection="0"/>
    <xf numFmtId="0" fontId="53" fillId="10" borderId="11" applyNumberFormat="0" applyAlignment="0" applyProtection="0"/>
    <xf numFmtId="0" fontId="53" fillId="10" borderId="11" applyNumberFormat="0" applyAlignment="0" applyProtection="0"/>
    <xf numFmtId="0" fontId="53" fillId="10" borderId="11" applyNumberFormat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5" borderId="1" applyNumberFormat="0" applyProtection="0">
      <alignment horizontal="left" vertical="center"/>
    </xf>
    <xf numFmtId="0" fontId="7" fillId="5" borderId="1" applyNumberFormat="0" applyProtection="0">
      <alignment horizontal="left" vertical="center"/>
    </xf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166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6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2" fillId="0" borderId="0"/>
    <xf numFmtId="0" fontId="2" fillId="0" borderId="0"/>
    <xf numFmtId="9" fontId="36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3" borderId="0" applyNumberFormat="0" applyBorder="0" applyAlignment="0" applyProtection="0"/>
    <xf numFmtId="0" fontId="40" fillId="46" borderId="0" applyNumberFormat="0" applyBorder="0" applyAlignment="0" applyProtection="0"/>
    <xf numFmtId="0" fontId="40" fillId="49" borderId="0" applyNumberFormat="0" applyBorder="0" applyAlignment="0" applyProtection="0"/>
    <xf numFmtId="0" fontId="57" fillId="50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57" fillId="53" borderId="0" applyNumberFormat="0" applyBorder="0" applyAlignment="0" applyProtection="0"/>
    <xf numFmtId="0" fontId="57" fillId="54" borderId="0" applyNumberFormat="0" applyBorder="0" applyAlignment="0" applyProtection="0"/>
    <xf numFmtId="0" fontId="57" fillId="55" borderId="0" applyNumberFormat="0" applyBorder="0" applyAlignment="0" applyProtection="0"/>
    <xf numFmtId="0" fontId="57" fillId="56" borderId="0" applyNumberFormat="0" applyBorder="0" applyAlignment="0" applyProtection="0"/>
    <xf numFmtId="0" fontId="59" fillId="58" borderId="17" applyNumberFormat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68" fillId="60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0" borderId="25" applyNumberFormat="0" applyFill="0" applyAlignment="0" applyProtection="0"/>
    <xf numFmtId="0" fontId="72" fillId="0" borderId="0" applyNumberFormat="0" applyFill="0" applyBorder="0" applyAlignment="0" applyProtection="0"/>
    <xf numFmtId="0" fontId="7" fillId="0" borderId="0"/>
    <xf numFmtId="0" fontId="19" fillId="0" borderId="8" applyNumberFormat="0" applyFill="0" applyAlignment="0" applyProtection="0"/>
    <xf numFmtId="0" fontId="18" fillId="0" borderId="7" applyNumberFormat="0" applyFill="0" applyAlignment="0" applyProtection="0"/>
    <xf numFmtId="0" fontId="2" fillId="0" borderId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10" applyNumberFormat="0" applyAlignment="0" applyProtection="0"/>
    <xf numFmtId="0" fontId="25" fillId="10" borderId="11" applyNumberFormat="0" applyAlignment="0" applyProtection="0"/>
    <xf numFmtId="0" fontId="26" fillId="10" borderId="10" applyNumberFormat="0" applyAlignment="0" applyProtection="0"/>
    <xf numFmtId="0" fontId="27" fillId="0" borderId="12" applyNumberFormat="0" applyFill="0" applyAlignment="0" applyProtection="0"/>
    <xf numFmtId="0" fontId="28" fillId="11" borderId="13" applyNumberFormat="0" applyAlignment="0" applyProtection="0"/>
    <xf numFmtId="0" fontId="29" fillId="0" borderId="0" applyNumberFormat="0" applyFill="0" applyBorder="0" applyAlignment="0" applyProtection="0"/>
    <xf numFmtId="0" fontId="2" fillId="12" borderId="14" applyNumberFormat="0" applyFont="0" applyAlignment="0" applyProtection="0"/>
    <xf numFmtId="0" fontId="30" fillId="0" borderId="0" applyNumberFormat="0" applyFill="0" applyBorder="0" applyAlignment="0" applyProtection="0"/>
    <xf numFmtId="0" fontId="16" fillId="0" borderId="15" applyNumberFormat="0" applyFill="0" applyAlignment="0" applyProtection="0"/>
    <xf numFmtId="0" fontId="3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69" fillId="58" borderId="24" applyNumberFormat="0" applyAlignment="0" applyProtection="0"/>
    <xf numFmtId="0" fontId="60" fillId="59" borderId="18" applyNumberFormat="0" applyAlignment="0" applyProtection="0"/>
    <xf numFmtId="0" fontId="66" fillId="45" borderId="17" applyNumberFormat="0" applyAlignment="0" applyProtection="0"/>
    <xf numFmtId="0" fontId="7" fillId="61" borderId="23" applyNumberFormat="0" applyFont="0" applyAlignment="0" applyProtection="0"/>
    <xf numFmtId="0" fontId="62" fillId="42" borderId="0" applyNumberFormat="0" applyBorder="0" applyAlignment="0" applyProtection="0"/>
    <xf numFmtId="0" fontId="58" fillId="41" borderId="0" applyNumberFormat="0" applyBorder="0" applyAlignment="0" applyProtection="0"/>
    <xf numFmtId="0" fontId="65" fillId="0" borderId="21" applyNumberFormat="0" applyFill="0" applyAlignment="0" applyProtection="0"/>
    <xf numFmtId="0" fontId="64" fillId="0" borderId="20" applyNumberFormat="0" applyFill="0" applyAlignment="0" applyProtection="0"/>
    <xf numFmtId="0" fontId="61" fillId="0" borderId="0" applyNumberFormat="0" applyFill="0" applyBorder="0" applyAlignment="0" applyProtection="0"/>
    <xf numFmtId="0" fontId="63" fillId="0" borderId="19" applyNumberFormat="0" applyFill="0" applyAlignment="0" applyProtection="0"/>
    <xf numFmtId="0" fontId="55" fillId="0" borderId="0" applyNumberForma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7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57" fillId="57" borderId="0" applyNumberFormat="0" applyBorder="0" applyAlignment="0" applyProtection="0"/>
    <xf numFmtId="0" fontId="57" fillId="51" borderId="0" applyNumberFormat="0" applyBorder="0" applyAlignment="0" applyProtection="0"/>
    <xf numFmtId="43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67" fillId="0" borderId="22" applyNumberFormat="0" applyFill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65" fillId="0" borderId="0" applyNumberForma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7" fillId="0" borderId="0"/>
    <xf numFmtId="0" fontId="66" fillId="45" borderId="17" applyNumberFormat="0" applyAlignment="0" applyProtection="0"/>
    <xf numFmtId="0" fontId="66" fillId="45" borderId="17" applyNumberFormat="0" applyAlignment="0" applyProtection="0"/>
    <xf numFmtId="0" fontId="66" fillId="45" borderId="17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6" fillId="45" borderId="17" applyNumberFormat="0" applyAlignment="0" applyProtection="0"/>
    <xf numFmtId="0" fontId="7" fillId="0" borderId="0"/>
    <xf numFmtId="0" fontId="36" fillId="0" borderId="0"/>
    <xf numFmtId="0" fontId="2" fillId="0" borderId="0"/>
    <xf numFmtId="0" fontId="2" fillId="0" borderId="0"/>
    <xf numFmtId="9" fontId="36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" fillId="0" borderId="0"/>
    <xf numFmtId="0" fontId="7" fillId="0" borderId="0"/>
    <xf numFmtId="9" fontId="36" fillId="0" borderId="0" applyFont="0" applyFill="0" applyBorder="0" applyAlignment="0" applyProtection="0"/>
    <xf numFmtId="0" fontId="36" fillId="0" borderId="0"/>
    <xf numFmtId="9" fontId="7" fillId="0" borderId="0" applyFont="0" applyFill="0" applyBorder="0" applyAlignment="0" applyProtection="0"/>
    <xf numFmtId="0" fontId="7" fillId="0" borderId="0"/>
    <xf numFmtId="9" fontId="36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2" fillId="0" borderId="0"/>
    <xf numFmtId="44" fontId="3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6" fillId="0" borderId="0"/>
    <xf numFmtId="43" fontId="36" fillId="0" borderId="0" applyFont="0" applyFill="0" applyBorder="0" applyAlignment="0" applyProtection="0"/>
    <xf numFmtId="0" fontId="2" fillId="0" borderId="0"/>
    <xf numFmtId="0" fontId="2" fillId="0" borderId="0"/>
    <xf numFmtId="9" fontId="36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2" fillId="0" borderId="0"/>
    <xf numFmtId="0" fontId="55" fillId="0" borderId="0" applyNumberFormat="0" applyFill="0" applyBorder="0" applyAlignment="0" applyProtection="0"/>
    <xf numFmtId="0" fontId="73" fillId="0" borderId="0"/>
    <xf numFmtId="0" fontId="1" fillId="0" borderId="0"/>
    <xf numFmtId="0" fontId="75" fillId="0" borderId="0"/>
    <xf numFmtId="179" fontId="77" fillId="0" borderId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72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7" fontId="8" fillId="0" borderId="0" xfId="0" applyNumberFormat="1" applyFont="1" applyAlignment="1">
      <alignment horizontal="center"/>
    </xf>
    <xf numFmtId="3" fontId="7" fillId="0" borderId="0" xfId="1" applyNumberFormat="1" applyAlignment="1">
      <alignment horizontal="center"/>
    </xf>
    <xf numFmtId="167" fontId="8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10" fillId="0" borderId="0" xfId="0" applyFont="1"/>
    <xf numFmtId="3" fontId="0" fillId="2" borderId="0" xfId="0" applyNumberFormat="1" applyFill="1" applyAlignment="1">
      <alignment horizontal="center"/>
    </xf>
    <xf numFmtId="17" fontId="10" fillId="0" borderId="0" xfId="0" applyNumberFormat="1" applyFont="1"/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8" fillId="2" borderId="1" xfId="0" applyNumberFormat="1" applyFon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3" fontId="8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3" fontId="10" fillId="0" borderId="0" xfId="0" applyNumberFormat="1" applyFont="1"/>
    <xf numFmtId="0" fontId="11" fillId="0" borderId="0" xfId="0" applyFont="1"/>
    <xf numFmtId="167" fontId="0" fillId="0" borderId="0" xfId="0" applyNumberFormat="1" applyAlignment="1">
      <alignment horizontal="center" wrapText="1"/>
    </xf>
    <xf numFmtId="0" fontId="10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66" fontId="0" fillId="0" borderId="0" xfId="1" applyFont="1" applyAlignment="1">
      <alignment horizontal="center"/>
    </xf>
    <xf numFmtId="172" fontId="0" fillId="0" borderId="0" xfId="1" applyNumberFormat="1" applyFont="1" applyAlignment="1">
      <alignment horizontal="center"/>
    </xf>
    <xf numFmtId="3" fontId="0" fillId="0" borderId="0" xfId="0" applyNumberFormat="1"/>
    <xf numFmtId="172" fontId="0" fillId="0" borderId="0" xfId="0" applyNumberFormat="1" applyAlignment="1">
      <alignment horizontal="center"/>
    </xf>
    <xf numFmtId="3" fontId="0" fillId="4" borderId="0" xfId="0" applyNumberFormat="1" applyFill="1" applyAlignment="1">
      <alignment horizontal="center"/>
    </xf>
    <xf numFmtId="3" fontId="8" fillId="4" borderId="1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horizontal="left"/>
    </xf>
    <xf numFmtId="167" fontId="0" fillId="0" borderId="0" xfId="2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38" fontId="0" fillId="0" borderId="0" xfId="0" applyNumberFormat="1" applyAlignment="1">
      <alignment horizontal="center"/>
    </xf>
    <xf numFmtId="1" fontId="0" fillId="0" borderId="0" xfId="0" applyNumberFormat="1"/>
    <xf numFmtId="3" fontId="7" fillId="3" borderId="0" xfId="0" applyNumberFormat="1" applyFont="1" applyFill="1" applyAlignment="1">
      <alignment horizontal="center" wrapText="1"/>
    </xf>
    <xf numFmtId="17" fontId="0" fillId="0" borderId="1" xfId="0" applyNumberFormat="1" applyBorder="1" applyAlignment="1">
      <alignment horizontal="left"/>
    </xf>
    <xf numFmtId="37" fontId="8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7" fillId="4" borderId="0" xfId="0" applyNumberFormat="1" applyFont="1" applyFill="1" applyAlignment="1">
      <alignment horizontal="center"/>
    </xf>
    <xf numFmtId="9" fontId="0" fillId="4" borderId="0" xfId="0" applyNumberFormat="1" applyFill="1" applyAlignment="1">
      <alignment horizontal="center"/>
    </xf>
    <xf numFmtId="0" fontId="7" fillId="0" borderId="0" xfId="0" applyFont="1" applyAlignment="1">
      <alignment horizontal="center"/>
    </xf>
    <xf numFmtId="171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70" fontId="0" fillId="39" borderId="0" xfId="0" applyNumberFormat="1" applyFill="1" applyAlignment="1">
      <alignment horizontal="center"/>
    </xf>
    <xf numFmtId="37" fontId="8" fillId="4" borderId="1" xfId="0" applyNumberFormat="1" applyFont="1" applyFill="1" applyBorder="1" applyAlignment="1">
      <alignment horizontal="center"/>
    </xf>
    <xf numFmtId="12" fontId="0" fillId="0" borderId="0" xfId="0" applyNumberFormat="1"/>
    <xf numFmtId="12" fontId="8" fillId="0" borderId="0" xfId="0" applyNumberFormat="1" applyFont="1"/>
    <xf numFmtId="9" fontId="0" fillId="0" borderId="0" xfId="2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736" applyFont="1"/>
    <xf numFmtId="0" fontId="7" fillId="0" borderId="0" xfId="736" applyFont="1" applyAlignment="1">
      <alignment horizontal="center" vertical="center"/>
    </xf>
    <xf numFmtId="0" fontId="7" fillId="0" borderId="0" xfId="736" applyFont="1" applyAlignment="1">
      <alignment vertical="center"/>
    </xf>
    <xf numFmtId="0" fontId="7" fillId="0" borderId="0" xfId="736" applyFont="1" applyAlignment="1">
      <alignment horizontal="center"/>
    </xf>
    <xf numFmtId="0" fontId="7" fillId="0" borderId="0" xfId="1526" applyFont="1"/>
    <xf numFmtId="0" fontId="74" fillId="39" borderId="1" xfId="1524" applyFont="1" applyFill="1" applyBorder="1" applyAlignment="1">
      <alignment horizontal="center" vertical="center" wrapText="1"/>
    </xf>
    <xf numFmtId="0" fontId="76" fillId="0" borderId="0" xfId="1526" applyFont="1" applyAlignment="1">
      <alignment horizontal="left" vertical="center"/>
    </xf>
    <xf numFmtId="0" fontId="74" fillId="0" borderId="0" xfId="1524" applyFont="1" applyAlignment="1">
      <alignment horizontal="center" vertical="center" wrapText="1"/>
    </xf>
    <xf numFmtId="0" fontId="7" fillId="0" borderId="1" xfId="1526" applyFont="1" applyBorder="1" applyAlignment="1">
      <alignment horizontal="center"/>
    </xf>
    <xf numFmtId="0" fontId="7" fillId="0" borderId="30" xfId="1526" applyFont="1" applyBorder="1" applyAlignment="1">
      <alignment horizontal="center"/>
    </xf>
    <xf numFmtId="1" fontId="7" fillId="0" borderId="31" xfId="1526" applyNumberFormat="1" applyFont="1" applyBorder="1" applyAlignment="1">
      <alignment horizontal="center"/>
    </xf>
    <xf numFmtId="0" fontId="7" fillId="0" borderId="32" xfId="1526" applyFont="1" applyBorder="1" applyAlignment="1">
      <alignment horizontal="left"/>
    </xf>
    <xf numFmtId="2" fontId="14" fillId="0" borderId="31" xfId="1526" applyNumberFormat="1" applyFont="1" applyBorder="1" applyAlignment="1">
      <alignment horizontal="center"/>
    </xf>
    <xf numFmtId="0" fontId="7" fillId="0" borderId="30" xfId="1526" applyFont="1" applyBorder="1" applyAlignment="1">
      <alignment horizontal="left"/>
    </xf>
    <xf numFmtId="0" fontId="7" fillId="0" borderId="33" xfId="1526" applyFont="1" applyBorder="1" applyAlignment="1">
      <alignment horizontal="center"/>
    </xf>
    <xf numFmtId="2" fontId="14" fillId="0" borderId="34" xfId="1526" applyNumberFormat="1" applyFont="1" applyBorder="1" applyAlignment="1">
      <alignment horizontal="center"/>
    </xf>
    <xf numFmtId="0" fontId="7" fillId="0" borderId="31" xfId="1526" applyFont="1" applyBorder="1" applyAlignment="1">
      <alignment horizontal="center"/>
    </xf>
    <xf numFmtId="2" fontId="14" fillId="0" borderId="30" xfId="1526" applyNumberFormat="1" applyFont="1" applyBorder="1" applyAlignment="1">
      <alignment horizontal="center"/>
    </xf>
    <xf numFmtId="0" fontId="7" fillId="0" borderId="6" xfId="1526" applyFont="1" applyBorder="1" applyAlignment="1">
      <alignment horizontal="left"/>
    </xf>
    <xf numFmtId="2" fontId="14" fillId="0" borderId="35" xfId="1526" applyNumberFormat="1" applyFont="1" applyBorder="1" applyAlignment="1">
      <alignment horizontal="center"/>
    </xf>
    <xf numFmtId="0" fontId="7" fillId="0" borderId="31" xfId="1526" applyFont="1" applyBorder="1" applyAlignment="1">
      <alignment horizontal="left"/>
    </xf>
    <xf numFmtId="0" fontId="10" fillId="0" borderId="1" xfId="1526" applyFont="1" applyBorder="1" applyAlignment="1">
      <alignment horizontal="center"/>
    </xf>
    <xf numFmtId="17" fontId="7" fillId="0" borderId="1" xfId="1526" applyNumberFormat="1" applyFont="1" applyBorder="1" applyAlignment="1">
      <alignment horizontal="left"/>
    </xf>
    <xf numFmtId="0" fontId="7" fillId="0" borderId="0" xfId="1526" applyFont="1" applyAlignment="1">
      <alignment horizontal="center"/>
    </xf>
    <xf numFmtId="1" fontId="7" fillId="63" borderId="1" xfId="1527" applyNumberFormat="1" applyFont="1" applyFill="1" applyBorder="1" applyAlignment="1">
      <alignment horizontal="center"/>
    </xf>
    <xf numFmtId="17" fontId="7" fillId="0" borderId="0" xfId="1526" applyNumberFormat="1" applyFont="1" applyAlignment="1">
      <alignment horizontal="left"/>
    </xf>
    <xf numFmtId="1" fontId="7" fillId="64" borderId="1" xfId="1527" applyNumberFormat="1" applyFont="1" applyFill="1" applyBorder="1" applyAlignment="1">
      <alignment horizontal="center"/>
    </xf>
    <xf numFmtId="1" fontId="7" fillId="64" borderId="29" xfId="1527" applyNumberFormat="1" applyFont="1" applyFill="1" applyBorder="1" applyAlignment="1">
      <alignment horizontal="center"/>
    </xf>
    <xf numFmtId="1" fontId="7" fillId="0" borderId="0" xfId="1526" applyNumberFormat="1" applyFont="1" applyAlignment="1">
      <alignment horizontal="center"/>
    </xf>
    <xf numFmtId="1" fontId="7" fillId="0" borderId="0" xfId="1526" applyNumberFormat="1" applyFont="1"/>
    <xf numFmtId="0" fontId="73" fillId="0" borderId="0" xfId="1524"/>
    <xf numFmtId="0" fontId="39" fillId="0" borderId="0" xfId="1526" applyFont="1" applyAlignment="1">
      <alignment horizontal="center"/>
    </xf>
    <xf numFmtId="1" fontId="39" fillId="0" borderId="0" xfId="1526" applyNumberFormat="1" applyFont="1" applyAlignment="1">
      <alignment horizontal="center"/>
    </xf>
    <xf numFmtId="37" fontId="8" fillId="62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/>
    </xf>
    <xf numFmtId="37" fontId="8" fillId="65" borderId="1" xfId="0" applyNumberFormat="1" applyFont="1" applyFill="1" applyBorder="1" applyAlignment="1">
      <alignment horizontal="center"/>
    </xf>
    <xf numFmtId="0" fontId="7" fillId="65" borderId="0" xfId="0" quotePrefix="1" applyFont="1" applyFill="1" applyAlignment="1">
      <alignment horizontal="center"/>
    </xf>
    <xf numFmtId="0" fontId="7" fillId="4" borderId="0" xfId="0" applyFont="1" applyFill="1" applyAlignment="1">
      <alignment horizontal="left"/>
    </xf>
    <xf numFmtId="0" fontId="7" fillId="65" borderId="0" xfId="0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2" fontId="9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9" fillId="0" borderId="0" xfId="0" applyFont="1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/>
    </xf>
    <xf numFmtId="10" fontId="0" fillId="0" borderId="0" xfId="2" applyNumberFormat="1" applyFont="1" applyAlignment="1">
      <alignment horizontal="center" vertical="center"/>
    </xf>
    <xf numFmtId="12" fontId="8" fillId="0" borderId="1" xfId="0" applyNumberFormat="1" applyFont="1" applyBorder="1" applyAlignment="1">
      <alignment horizontal="center" vertical="center"/>
    </xf>
    <xf numFmtId="12" fontId="8" fillId="62" borderId="1" xfId="0" applyNumberFormat="1" applyFont="1" applyFill="1" applyBorder="1" applyAlignment="1">
      <alignment horizontal="center" vertical="center"/>
    </xf>
    <xf numFmtId="0" fontId="0" fillId="0" borderId="2" xfId="0" applyBorder="1"/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Continuous"/>
    </xf>
    <xf numFmtId="0" fontId="74" fillId="67" borderId="6" xfId="1524" applyFont="1" applyFill="1" applyBorder="1" applyAlignment="1">
      <alignment horizontal="center" vertical="center" wrapText="1"/>
    </xf>
    <xf numFmtId="1" fontId="7" fillId="62" borderId="1" xfId="736" applyNumberFormat="1" applyFont="1" applyFill="1" applyBorder="1" applyAlignment="1">
      <alignment horizontal="center"/>
    </xf>
    <xf numFmtId="1" fontId="7" fillId="62" borderId="1" xfId="736" applyNumberFormat="1" applyFont="1" applyFill="1" applyBorder="1" applyAlignment="1">
      <alignment horizontal="center" wrapText="1"/>
    </xf>
    <xf numFmtId="0" fontId="10" fillId="68" borderId="1" xfId="736" applyFont="1" applyFill="1" applyBorder="1" applyAlignment="1">
      <alignment horizontal="center"/>
    </xf>
    <xf numFmtId="0" fontId="74" fillId="39" borderId="6" xfId="1524" applyFont="1" applyFill="1" applyBorder="1" applyAlignment="1">
      <alignment horizontal="center" vertical="center" wrapText="1"/>
    </xf>
    <xf numFmtId="0" fontId="74" fillId="67" borderId="30" xfId="1524" applyFont="1" applyFill="1" applyBorder="1" applyAlignment="1">
      <alignment horizontal="center" vertical="center" wrapText="1"/>
    </xf>
    <xf numFmtId="1" fontId="74" fillId="67" borderId="31" xfId="1524" applyNumberFormat="1" applyFont="1" applyFill="1" applyBorder="1" applyAlignment="1">
      <alignment horizontal="center" vertical="center" wrapText="1"/>
    </xf>
    <xf numFmtId="0" fontId="74" fillId="67" borderId="26" xfId="1524" applyFont="1" applyFill="1" applyBorder="1" applyAlignment="1">
      <alignment horizontal="center" vertical="center" wrapText="1"/>
    </xf>
    <xf numFmtId="1" fontId="74" fillId="67" borderId="27" xfId="1524" applyNumberFormat="1" applyFont="1" applyFill="1" applyBorder="1" applyAlignment="1">
      <alignment horizontal="center" vertical="center" wrapText="1"/>
    </xf>
    <xf numFmtId="0" fontId="74" fillId="67" borderId="28" xfId="1524" applyFont="1" applyFill="1" applyBorder="1" applyAlignment="1">
      <alignment horizontal="center" vertical="center" wrapText="1"/>
    </xf>
    <xf numFmtId="0" fontId="74" fillId="67" borderId="27" xfId="1524" applyFont="1" applyFill="1" applyBorder="1" applyAlignment="1">
      <alignment horizontal="center" vertical="center" wrapText="1"/>
    </xf>
    <xf numFmtId="0" fontId="74" fillId="67" borderId="29" xfId="1524" applyFont="1" applyFill="1" applyBorder="1" applyAlignment="1">
      <alignment horizontal="center" vertical="center" wrapText="1"/>
    </xf>
    <xf numFmtId="168" fontId="7" fillId="63" borderId="36" xfId="1" applyNumberFormat="1" applyFont="1" applyFill="1" applyBorder="1" applyAlignment="1">
      <alignment horizontal="center"/>
    </xf>
    <xf numFmtId="168" fontId="7" fillId="64" borderId="36" xfId="1" applyNumberFormat="1" applyFont="1" applyFill="1" applyBorder="1" applyAlignment="1">
      <alignment horizontal="center"/>
    </xf>
    <xf numFmtId="168" fontId="7" fillId="0" borderId="0" xfId="1526" applyNumberFormat="1" applyFont="1" applyAlignment="1">
      <alignment horizontal="center"/>
    </xf>
    <xf numFmtId="168" fontId="0" fillId="0" borderId="0" xfId="0" applyNumberFormat="1"/>
    <xf numFmtId="0" fontId="9" fillId="0" borderId="4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7" fontId="7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center"/>
    </xf>
    <xf numFmtId="10" fontId="0" fillId="0" borderId="0" xfId="2" applyNumberFormat="1" applyFont="1" applyFill="1" applyBorder="1" applyAlignment="1"/>
    <xf numFmtId="172" fontId="0" fillId="0" borderId="0" xfId="1" applyNumberFormat="1" applyFont="1" applyFill="1" applyBorder="1" applyAlignment="1"/>
    <xf numFmtId="166" fontId="0" fillId="0" borderId="0" xfId="1" applyFont="1" applyFill="1" applyBorder="1" applyAlignment="1"/>
    <xf numFmtId="166" fontId="0" fillId="0" borderId="2" xfId="1" applyFont="1" applyFill="1" applyBorder="1" applyAlignment="1"/>
    <xf numFmtId="172" fontId="0" fillId="0" borderId="2" xfId="1" applyNumberFormat="1" applyFont="1" applyFill="1" applyBorder="1" applyAlignment="1"/>
    <xf numFmtId="168" fontId="7" fillId="0" borderId="0" xfId="1526" applyNumberFormat="1" applyFont="1"/>
    <xf numFmtId="168" fontId="7" fillId="0" borderId="0" xfId="736" applyNumberFormat="1" applyFont="1" applyAlignment="1">
      <alignment horizontal="center"/>
    </xf>
    <xf numFmtId="3" fontId="7" fillId="3" borderId="0" xfId="0" applyNumberFormat="1" applyFont="1" applyFill="1" applyAlignment="1">
      <alignment horizontal="center"/>
    </xf>
    <xf numFmtId="37" fontId="0" fillId="0" borderId="0" xfId="0" applyNumberFormat="1"/>
    <xf numFmtId="3" fontId="7" fillId="0" borderId="41" xfId="0" applyNumberFormat="1" applyFont="1" applyBorder="1" applyAlignment="1">
      <alignment horizontal="center" vertical="center"/>
    </xf>
    <xf numFmtId="0" fontId="7" fillId="0" borderId="41" xfId="0" applyFont="1" applyBorder="1" applyAlignment="1">
      <alignment horizontal="right"/>
    </xf>
    <xf numFmtId="0" fontId="81" fillId="0" borderId="0" xfId="0" applyFont="1"/>
    <xf numFmtId="0" fontId="82" fillId="0" borderId="0" xfId="0" applyFont="1"/>
    <xf numFmtId="0" fontId="13" fillId="0" borderId="0" xfId="0" applyFont="1"/>
    <xf numFmtId="0" fontId="74" fillId="0" borderId="35" xfId="0" applyFont="1" applyBorder="1" applyAlignment="1">
      <alignment horizontal="right"/>
    </xf>
    <xf numFmtId="0" fontId="74" fillId="2" borderId="0" xfId="0" applyFont="1" applyFill="1"/>
    <xf numFmtId="0" fontId="13" fillId="0" borderId="0" xfId="0" applyFont="1" applyAlignment="1">
      <alignment horizontal="right"/>
    </xf>
    <xf numFmtId="166" fontId="13" fillId="0" borderId="0" xfId="0" applyNumberFormat="1" applyFont="1" applyAlignment="1">
      <alignment horizontal="right"/>
    </xf>
    <xf numFmtId="2" fontId="13" fillId="2" borderId="0" xfId="0" applyNumberFormat="1" applyFont="1" applyFill="1"/>
    <xf numFmtId="0" fontId="0" fillId="2" borderId="0" xfId="0" applyFill="1"/>
    <xf numFmtId="167" fontId="0" fillId="0" borderId="0" xfId="0" applyNumberFormat="1"/>
    <xf numFmtId="169" fontId="0" fillId="0" borderId="0" xfId="0" applyNumberFormat="1"/>
    <xf numFmtId="174" fontId="0" fillId="0" borderId="0" xfId="0" applyNumberFormat="1" applyAlignment="1">
      <alignment horizontal="center"/>
    </xf>
    <xf numFmtId="180" fontId="0" fillId="0" borderId="0" xfId="0" applyNumberFormat="1"/>
    <xf numFmtId="0" fontId="80" fillId="66" borderId="39" xfId="1524" applyFont="1" applyFill="1" applyBorder="1" applyAlignment="1">
      <alignment horizontal="center" vertical="center"/>
    </xf>
    <xf numFmtId="0" fontId="80" fillId="66" borderId="0" xfId="1524" applyFont="1" applyFill="1" applyAlignment="1">
      <alignment horizontal="center" vertical="center"/>
    </xf>
    <xf numFmtId="0" fontId="80" fillId="66" borderId="40" xfId="1524" applyFont="1" applyFill="1" applyBorder="1" applyAlignment="1">
      <alignment horizontal="center" vertical="center" wrapText="1"/>
    </xf>
    <xf numFmtId="0" fontId="80" fillId="66" borderId="4" xfId="1524" applyFont="1" applyFill="1" applyBorder="1" applyAlignment="1">
      <alignment horizontal="center" vertical="center" wrapText="1"/>
    </xf>
    <xf numFmtId="0" fontId="80" fillId="66" borderId="5" xfId="1524" applyFont="1" applyFill="1" applyBorder="1" applyAlignment="1">
      <alignment horizontal="center" vertical="center" wrapText="1"/>
    </xf>
    <xf numFmtId="0" fontId="80" fillId="66" borderId="1" xfId="1524" applyFont="1" applyFill="1" applyBorder="1" applyAlignment="1">
      <alignment horizontal="center" vertical="center" wrapText="1"/>
    </xf>
    <xf numFmtId="0" fontId="74" fillId="67" borderId="38" xfId="1524" applyFont="1" applyFill="1" applyBorder="1" applyAlignment="1">
      <alignment horizontal="center" vertical="center" wrapText="1"/>
    </xf>
    <xf numFmtId="0" fontId="74" fillId="67" borderId="35" xfId="1524" applyFont="1" applyFill="1" applyBorder="1" applyAlignment="1">
      <alignment horizontal="center" vertical="center" wrapText="1"/>
    </xf>
    <xf numFmtId="0" fontId="74" fillId="67" borderId="37" xfId="1524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3" fontId="7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</cellXfs>
  <cellStyles count="1532">
    <cellStyle name="$" xfId="14"/>
    <cellStyle name="$.00" xfId="15"/>
    <cellStyle name="$_9. Rev2Cost_GDPIPI" xfId="16"/>
    <cellStyle name="$_lists" xfId="17"/>
    <cellStyle name="$_lists_4. Current Monthly Fixed Charge" xfId="18"/>
    <cellStyle name="$_Sheet4" xfId="19"/>
    <cellStyle name="$M" xfId="20"/>
    <cellStyle name="$M.00" xfId="21"/>
    <cellStyle name="$M_9. Rev2Cost_GDPIPI" xfId="22"/>
    <cellStyle name="20% - Accent1 10" xfId="104"/>
    <cellStyle name="20% - Accent1 11" xfId="105"/>
    <cellStyle name="20% - Accent1 12" xfId="106"/>
    <cellStyle name="20% - Accent1 13" xfId="107"/>
    <cellStyle name="20% - Accent1 14" xfId="108"/>
    <cellStyle name="20% - Accent1 15" xfId="109"/>
    <cellStyle name="20% - Accent1 16" xfId="769"/>
    <cellStyle name="20% - Accent1 2" xfId="23"/>
    <cellStyle name="20% - Accent1 2 2" xfId="815"/>
    <cellStyle name="20% - Accent1 2 3" xfId="110"/>
    <cellStyle name="20% - Accent1 3" xfId="111"/>
    <cellStyle name="20% - Accent1 4" xfId="112"/>
    <cellStyle name="20% - Accent1 5" xfId="113"/>
    <cellStyle name="20% - Accent1 6" xfId="114"/>
    <cellStyle name="20% - Accent1 7" xfId="115"/>
    <cellStyle name="20% - Accent1 8" xfId="116"/>
    <cellStyle name="20% - Accent1 9" xfId="117"/>
    <cellStyle name="20% - Accent2 10" xfId="118"/>
    <cellStyle name="20% - Accent2 11" xfId="119"/>
    <cellStyle name="20% - Accent2 12" xfId="120"/>
    <cellStyle name="20% - Accent2 13" xfId="121"/>
    <cellStyle name="20% - Accent2 14" xfId="122"/>
    <cellStyle name="20% - Accent2 15" xfId="123"/>
    <cellStyle name="20% - Accent2 16" xfId="770"/>
    <cellStyle name="20% - Accent2 2" xfId="24"/>
    <cellStyle name="20% - Accent2 2 2" xfId="819"/>
    <cellStyle name="20% - Accent2 2 3" xfId="124"/>
    <cellStyle name="20% - Accent2 3" xfId="125"/>
    <cellStyle name="20% - Accent2 4" xfId="126"/>
    <cellStyle name="20% - Accent2 5" xfId="127"/>
    <cellStyle name="20% - Accent2 6" xfId="128"/>
    <cellStyle name="20% - Accent2 7" xfId="129"/>
    <cellStyle name="20% - Accent2 8" xfId="130"/>
    <cellStyle name="20% - Accent2 9" xfId="131"/>
    <cellStyle name="20% - Accent3 10" xfId="132"/>
    <cellStyle name="20% - Accent3 11" xfId="133"/>
    <cellStyle name="20% - Accent3 12" xfId="134"/>
    <cellStyle name="20% - Accent3 13" xfId="135"/>
    <cellStyle name="20% - Accent3 14" xfId="136"/>
    <cellStyle name="20% - Accent3 15" xfId="137"/>
    <cellStyle name="20% - Accent3 16" xfId="771"/>
    <cellStyle name="20% - Accent3 2" xfId="25"/>
    <cellStyle name="20% - Accent3 2 2" xfId="823"/>
    <cellStyle name="20% - Accent3 2 3" xfId="138"/>
    <cellStyle name="20% - Accent3 3" xfId="139"/>
    <cellStyle name="20% - Accent3 4" xfId="140"/>
    <cellStyle name="20% - Accent3 5" xfId="141"/>
    <cellStyle name="20% - Accent3 6" xfId="142"/>
    <cellStyle name="20% - Accent3 7" xfId="143"/>
    <cellStyle name="20% - Accent3 8" xfId="144"/>
    <cellStyle name="20% - Accent3 9" xfId="145"/>
    <cellStyle name="20% - Accent4 10" xfId="146"/>
    <cellStyle name="20% - Accent4 11" xfId="147"/>
    <cellStyle name="20% - Accent4 12" xfId="148"/>
    <cellStyle name="20% - Accent4 13" xfId="149"/>
    <cellStyle name="20% - Accent4 14" xfId="150"/>
    <cellStyle name="20% - Accent4 15" xfId="151"/>
    <cellStyle name="20% - Accent4 16" xfId="772"/>
    <cellStyle name="20% - Accent4 2" xfId="26"/>
    <cellStyle name="20% - Accent4 2 2" xfId="827"/>
    <cellStyle name="20% - Accent4 2 3" xfId="152"/>
    <cellStyle name="20% - Accent4 3" xfId="153"/>
    <cellStyle name="20% - Accent4 4" xfId="154"/>
    <cellStyle name="20% - Accent4 5" xfId="155"/>
    <cellStyle name="20% - Accent4 6" xfId="156"/>
    <cellStyle name="20% - Accent4 7" xfId="157"/>
    <cellStyle name="20% - Accent4 8" xfId="158"/>
    <cellStyle name="20% - Accent4 9" xfId="159"/>
    <cellStyle name="20% - Accent5 10" xfId="160"/>
    <cellStyle name="20% - Accent5 11" xfId="161"/>
    <cellStyle name="20% - Accent5 12" xfId="162"/>
    <cellStyle name="20% - Accent5 13" xfId="163"/>
    <cellStyle name="20% - Accent5 14" xfId="164"/>
    <cellStyle name="20% - Accent5 15" xfId="165"/>
    <cellStyle name="20% - Accent5 16" xfId="773"/>
    <cellStyle name="20% - Accent5 2" xfId="27"/>
    <cellStyle name="20% - Accent5 2 2" xfId="831"/>
    <cellStyle name="20% - Accent5 2 3" xfId="166"/>
    <cellStyle name="20% - Accent5 3" xfId="167"/>
    <cellStyle name="20% - Accent5 4" xfId="168"/>
    <cellStyle name="20% - Accent5 5" xfId="169"/>
    <cellStyle name="20% - Accent5 6" xfId="170"/>
    <cellStyle name="20% - Accent5 7" xfId="171"/>
    <cellStyle name="20% - Accent5 8" xfId="172"/>
    <cellStyle name="20% - Accent5 9" xfId="173"/>
    <cellStyle name="20% - Accent6 10" xfId="174"/>
    <cellStyle name="20% - Accent6 11" xfId="175"/>
    <cellStyle name="20% - Accent6 12" xfId="176"/>
    <cellStyle name="20% - Accent6 13" xfId="177"/>
    <cellStyle name="20% - Accent6 14" xfId="178"/>
    <cellStyle name="20% - Accent6 15" xfId="179"/>
    <cellStyle name="20% - Accent6 16" xfId="774"/>
    <cellStyle name="20% - Accent6 2" xfId="28"/>
    <cellStyle name="20% - Accent6 2 2" xfId="835"/>
    <cellStyle name="20% - Accent6 2 3" xfId="180"/>
    <cellStyle name="20% - Accent6 3" xfId="181"/>
    <cellStyle name="20% - Accent6 4" xfId="182"/>
    <cellStyle name="20% - Accent6 5" xfId="183"/>
    <cellStyle name="20% - Accent6 6" xfId="184"/>
    <cellStyle name="20% - Accent6 7" xfId="185"/>
    <cellStyle name="20% - Accent6 8" xfId="186"/>
    <cellStyle name="20% - Accent6 9" xfId="187"/>
    <cellStyle name="40% - Accent1 10" xfId="188"/>
    <cellStyle name="40% - Accent1 11" xfId="189"/>
    <cellStyle name="40% - Accent1 12" xfId="190"/>
    <cellStyle name="40% - Accent1 13" xfId="191"/>
    <cellStyle name="40% - Accent1 14" xfId="192"/>
    <cellStyle name="40% - Accent1 15" xfId="193"/>
    <cellStyle name="40% - Accent1 16" xfId="775"/>
    <cellStyle name="40% - Accent1 2" xfId="29"/>
    <cellStyle name="40% - Accent1 2 2" xfId="816"/>
    <cellStyle name="40% - Accent1 2 3" xfId="194"/>
    <cellStyle name="40% - Accent1 3" xfId="195"/>
    <cellStyle name="40% - Accent1 4" xfId="196"/>
    <cellStyle name="40% - Accent1 5" xfId="197"/>
    <cellStyle name="40% - Accent1 6" xfId="198"/>
    <cellStyle name="40% - Accent1 7" xfId="199"/>
    <cellStyle name="40% - Accent1 8" xfId="200"/>
    <cellStyle name="40% - Accent1 9" xfId="201"/>
    <cellStyle name="40% - Accent2 10" xfId="202"/>
    <cellStyle name="40% - Accent2 11" xfId="203"/>
    <cellStyle name="40% - Accent2 12" xfId="204"/>
    <cellStyle name="40% - Accent2 13" xfId="205"/>
    <cellStyle name="40% - Accent2 14" xfId="206"/>
    <cellStyle name="40% - Accent2 15" xfId="207"/>
    <cellStyle name="40% - Accent2 16" xfId="776"/>
    <cellStyle name="40% - Accent2 2" xfId="30"/>
    <cellStyle name="40% - Accent2 2 2" xfId="820"/>
    <cellStyle name="40% - Accent2 2 3" xfId="208"/>
    <cellStyle name="40% - Accent2 3" xfId="209"/>
    <cellStyle name="40% - Accent2 4" xfId="210"/>
    <cellStyle name="40% - Accent2 5" xfId="211"/>
    <cellStyle name="40% - Accent2 6" xfId="212"/>
    <cellStyle name="40% - Accent2 7" xfId="213"/>
    <cellStyle name="40% - Accent2 8" xfId="214"/>
    <cellStyle name="40% - Accent2 9" xfId="215"/>
    <cellStyle name="40% - Accent3 10" xfId="216"/>
    <cellStyle name="40% - Accent3 11" xfId="217"/>
    <cellStyle name="40% - Accent3 12" xfId="218"/>
    <cellStyle name="40% - Accent3 13" xfId="219"/>
    <cellStyle name="40% - Accent3 14" xfId="220"/>
    <cellStyle name="40% - Accent3 15" xfId="221"/>
    <cellStyle name="40% - Accent3 16" xfId="777"/>
    <cellStyle name="40% - Accent3 2" xfId="31"/>
    <cellStyle name="40% - Accent3 2 2" xfId="824"/>
    <cellStyle name="40% - Accent3 2 3" xfId="222"/>
    <cellStyle name="40% - Accent3 3" xfId="223"/>
    <cellStyle name="40% - Accent3 4" xfId="224"/>
    <cellStyle name="40% - Accent3 5" xfId="225"/>
    <cellStyle name="40% - Accent3 6" xfId="226"/>
    <cellStyle name="40% - Accent3 7" xfId="227"/>
    <cellStyle name="40% - Accent3 8" xfId="228"/>
    <cellStyle name="40% - Accent3 9" xfId="229"/>
    <cellStyle name="40% - Accent4 10" xfId="230"/>
    <cellStyle name="40% - Accent4 11" xfId="231"/>
    <cellStyle name="40% - Accent4 12" xfId="232"/>
    <cellStyle name="40% - Accent4 13" xfId="233"/>
    <cellStyle name="40% - Accent4 14" xfId="234"/>
    <cellStyle name="40% - Accent4 15" xfId="235"/>
    <cellStyle name="40% - Accent4 16" xfId="778"/>
    <cellStyle name="40% - Accent4 2" xfId="32"/>
    <cellStyle name="40% - Accent4 2 2" xfId="828"/>
    <cellStyle name="40% - Accent4 2 3" xfId="236"/>
    <cellStyle name="40% - Accent4 3" xfId="237"/>
    <cellStyle name="40% - Accent4 4" xfId="238"/>
    <cellStyle name="40% - Accent4 5" xfId="239"/>
    <cellStyle name="40% - Accent4 6" xfId="240"/>
    <cellStyle name="40% - Accent4 7" xfId="241"/>
    <cellStyle name="40% - Accent4 8" xfId="242"/>
    <cellStyle name="40% - Accent4 9" xfId="243"/>
    <cellStyle name="40% - Accent5 10" xfId="244"/>
    <cellStyle name="40% - Accent5 11" xfId="245"/>
    <cellStyle name="40% - Accent5 12" xfId="246"/>
    <cellStyle name="40% - Accent5 13" xfId="247"/>
    <cellStyle name="40% - Accent5 14" xfId="248"/>
    <cellStyle name="40% - Accent5 15" xfId="249"/>
    <cellStyle name="40% - Accent5 16" xfId="779"/>
    <cellStyle name="40% - Accent5 2" xfId="33"/>
    <cellStyle name="40% - Accent5 2 2" xfId="832"/>
    <cellStyle name="40% - Accent5 2 3" xfId="250"/>
    <cellStyle name="40% - Accent5 3" xfId="251"/>
    <cellStyle name="40% - Accent5 4" xfId="252"/>
    <cellStyle name="40% - Accent5 5" xfId="253"/>
    <cellStyle name="40% - Accent5 6" xfId="254"/>
    <cellStyle name="40% - Accent5 7" xfId="255"/>
    <cellStyle name="40% - Accent5 8" xfId="256"/>
    <cellStyle name="40% - Accent5 9" xfId="257"/>
    <cellStyle name="40% - Accent6 10" xfId="258"/>
    <cellStyle name="40% - Accent6 11" xfId="259"/>
    <cellStyle name="40% - Accent6 12" xfId="260"/>
    <cellStyle name="40% - Accent6 13" xfId="261"/>
    <cellStyle name="40% - Accent6 14" xfId="262"/>
    <cellStyle name="40% - Accent6 15" xfId="263"/>
    <cellStyle name="40% - Accent6 16" xfId="780"/>
    <cellStyle name="40% - Accent6 2" xfId="34"/>
    <cellStyle name="40% - Accent6 2 2" xfId="836"/>
    <cellStyle name="40% - Accent6 2 3" xfId="264"/>
    <cellStyle name="40% - Accent6 3" xfId="265"/>
    <cellStyle name="40% - Accent6 4" xfId="266"/>
    <cellStyle name="40% - Accent6 5" xfId="267"/>
    <cellStyle name="40% - Accent6 6" xfId="268"/>
    <cellStyle name="40% - Accent6 7" xfId="269"/>
    <cellStyle name="40% - Accent6 8" xfId="270"/>
    <cellStyle name="40% - Accent6 9" xfId="271"/>
    <cellStyle name="60% - Accent1 10" xfId="272"/>
    <cellStyle name="60% - Accent1 11" xfId="273"/>
    <cellStyle name="60% - Accent1 12" xfId="274"/>
    <cellStyle name="60% - Accent1 13" xfId="275"/>
    <cellStyle name="60% - Accent1 14" xfId="276"/>
    <cellStyle name="60% - Accent1 15" xfId="277"/>
    <cellStyle name="60% - Accent1 16" xfId="781"/>
    <cellStyle name="60% - Accent1 2" xfId="35"/>
    <cellStyle name="60% - Accent1 2 2" xfId="817"/>
    <cellStyle name="60% - Accent1 2 3" xfId="278"/>
    <cellStyle name="60% - Accent1 3" xfId="279"/>
    <cellStyle name="60% - Accent1 4" xfId="280"/>
    <cellStyle name="60% - Accent1 5" xfId="281"/>
    <cellStyle name="60% - Accent1 6" xfId="282"/>
    <cellStyle name="60% - Accent1 7" xfId="283"/>
    <cellStyle name="60% - Accent1 8" xfId="284"/>
    <cellStyle name="60% - Accent1 9" xfId="285"/>
    <cellStyle name="60% - Accent2 10" xfId="286"/>
    <cellStyle name="60% - Accent2 11" xfId="287"/>
    <cellStyle name="60% - Accent2 12" xfId="288"/>
    <cellStyle name="60% - Accent2 13" xfId="289"/>
    <cellStyle name="60% - Accent2 14" xfId="290"/>
    <cellStyle name="60% - Accent2 15" xfId="291"/>
    <cellStyle name="60% - Accent2 16" xfId="782"/>
    <cellStyle name="60% - Accent2 2" xfId="36"/>
    <cellStyle name="60% - Accent2 2 2" xfId="821"/>
    <cellStyle name="60% - Accent2 2 3" xfId="292"/>
    <cellStyle name="60% - Accent2 3" xfId="293"/>
    <cellStyle name="60% - Accent2 4" xfId="294"/>
    <cellStyle name="60% - Accent2 5" xfId="295"/>
    <cellStyle name="60% - Accent2 6" xfId="296"/>
    <cellStyle name="60% - Accent2 7" xfId="297"/>
    <cellStyle name="60% - Accent2 8" xfId="298"/>
    <cellStyle name="60% - Accent2 9" xfId="299"/>
    <cellStyle name="60% - Accent3 10" xfId="300"/>
    <cellStyle name="60% - Accent3 11" xfId="301"/>
    <cellStyle name="60% - Accent3 12" xfId="302"/>
    <cellStyle name="60% - Accent3 13" xfId="303"/>
    <cellStyle name="60% - Accent3 14" xfId="304"/>
    <cellStyle name="60% - Accent3 15" xfId="305"/>
    <cellStyle name="60% - Accent3 16" xfId="783"/>
    <cellStyle name="60% - Accent3 2" xfId="37"/>
    <cellStyle name="60% - Accent3 2 2" xfId="825"/>
    <cellStyle name="60% - Accent3 2 3" xfId="306"/>
    <cellStyle name="60% - Accent3 3" xfId="307"/>
    <cellStyle name="60% - Accent3 4" xfId="308"/>
    <cellStyle name="60% - Accent3 5" xfId="309"/>
    <cellStyle name="60% - Accent3 6" xfId="310"/>
    <cellStyle name="60% - Accent3 7" xfId="311"/>
    <cellStyle name="60% - Accent3 8" xfId="312"/>
    <cellStyle name="60% - Accent3 9" xfId="313"/>
    <cellStyle name="60% - Accent4 10" xfId="314"/>
    <cellStyle name="60% - Accent4 11" xfId="315"/>
    <cellStyle name="60% - Accent4 12" xfId="316"/>
    <cellStyle name="60% - Accent4 13" xfId="317"/>
    <cellStyle name="60% - Accent4 14" xfId="318"/>
    <cellStyle name="60% - Accent4 15" xfId="319"/>
    <cellStyle name="60% - Accent4 16" xfId="784"/>
    <cellStyle name="60% - Accent4 2" xfId="38"/>
    <cellStyle name="60% - Accent4 2 2" xfId="829"/>
    <cellStyle name="60% - Accent4 2 3" xfId="320"/>
    <cellStyle name="60% - Accent4 3" xfId="321"/>
    <cellStyle name="60% - Accent4 4" xfId="322"/>
    <cellStyle name="60% - Accent4 5" xfId="323"/>
    <cellStyle name="60% - Accent4 6" xfId="324"/>
    <cellStyle name="60% - Accent4 7" xfId="325"/>
    <cellStyle name="60% - Accent4 8" xfId="326"/>
    <cellStyle name="60% - Accent4 9" xfId="327"/>
    <cellStyle name="60% - Accent5 10" xfId="328"/>
    <cellStyle name="60% - Accent5 11" xfId="329"/>
    <cellStyle name="60% - Accent5 12" xfId="330"/>
    <cellStyle name="60% - Accent5 13" xfId="331"/>
    <cellStyle name="60% - Accent5 14" xfId="332"/>
    <cellStyle name="60% - Accent5 15" xfId="333"/>
    <cellStyle name="60% - Accent5 16" xfId="785"/>
    <cellStyle name="60% - Accent5 2" xfId="39"/>
    <cellStyle name="60% - Accent5 2 2" xfId="833"/>
    <cellStyle name="60% - Accent5 2 3" xfId="334"/>
    <cellStyle name="60% - Accent5 3" xfId="335"/>
    <cellStyle name="60% - Accent5 4" xfId="336"/>
    <cellStyle name="60% - Accent5 5" xfId="337"/>
    <cellStyle name="60% - Accent5 6" xfId="338"/>
    <cellStyle name="60% - Accent5 7" xfId="339"/>
    <cellStyle name="60% - Accent5 8" xfId="340"/>
    <cellStyle name="60% - Accent5 9" xfId="341"/>
    <cellStyle name="60% - Accent6 10" xfId="342"/>
    <cellStyle name="60% - Accent6 11" xfId="343"/>
    <cellStyle name="60% - Accent6 12" xfId="344"/>
    <cellStyle name="60% - Accent6 13" xfId="345"/>
    <cellStyle name="60% - Accent6 14" xfId="346"/>
    <cellStyle name="60% - Accent6 15" xfId="347"/>
    <cellStyle name="60% - Accent6 16" xfId="786"/>
    <cellStyle name="60% - Accent6 2" xfId="40"/>
    <cellStyle name="60% - Accent6 2 2" xfId="837"/>
    <cellStyle name="60% - Accent6 2 3" xfId="348"/>
    <cellStyle name="60% - Accent6 3" xfId="349"/>
    <cellStyle name="60% - Accent6 4" xfId="350"/>
    <cellStyle name="60% - Accent6 5" xfId="351"/>
    <cellStyle name="60% - Accent6 6" xfId="352"/>
    <cellStyle name="60% - Accent6 7" xfId="353"/>
    <cellStyle name="60% - Accent6 8" xfId="354"/>
    <cellStyle name="60% - Accent6 9" xfId="355"/>
    <cellStyle name="Accent1 10" xfId="356"/>
    <cellStyle name="Accent1 11" xfId="357"/>
    <cellStyle name="Accent1 12" xfId="358"/>
    <cellStyle name="Accent1 13" xfId="359"/>
    <cellStyle name="Accent1 14" xfId="360"/>
    <cellStyle name="Accent1 15" xfId="361"/>
    <cellStyle name="Accent1 16" xfId="787"/>
    <cellStyle name="Accent1 2" xfId="41"/>
    <cellStyle name="Accent1 2 2" xfId="814"/>
    <cellStyle name="Accent1 2 3" xfId="362"/>
    <cellStyle name="Accent1 3" xfId="363"/>
    <cellStyle name="Accent1 4" xfId="364"/>
    <cellStyle name="Accent1 5" xfId="365"/>
    <cellStyle name="Accent1 6" xfId="366"/>
    <cellStyle name="Accent1 7" xfId="367"/>
    <cellStyle name="Accent1 8" xfId="368"/>
    <cellStyle name="Accent1 9" xfId="369"/>
    <cellStyle name="Accent2 10" xfId="370"/>
    <cellStyle name="Accent2 11" xfId="371"/>
    <cellStyle name="Accent2 12" xfId="372"/>
    <cellStyle name="Accent2 13" xfId="373"/>
    <cellStyle name="Accent2 14" xfId="374"/>
    <cellStyle name="Accent2 15" xfId="375"/>
    <cellStyle name="Accent2 16" xfId="788"/>
    <cellStyle name="Accent2 2" xfId="42"/>
    <cellStyle name="Accent2 2 2" xfId="818"/>
    <cellStyle name="Accent2 2 3" xfId="376"/>
    <cellStyle name="Accent2 3" xfId="377"/>
    <cellStyle name="Accent2 4" xfId="378"/>
    <cellStyle name="Accent2 5" xfId="379"/>
    <cellStyle name="Accent2 6" xfId="380"/>
    <cellStyle name="Accent2 7" xfId="381"/>
    <cellStyle name="Accent2 8" xfId="382"/>
    <cellStyle name="Accent2 9" xfId="383"/>
    <cellStyle name="Accent3 10" xfId="384"/>
    <cellStyle name="Accent3 11" xfId="385"/>
    <cellStyle name="Accent3 12" xfId="386"/>
    <cellStyle name="Accent3 13" xfId="387"/>
    <cellStyle name="Accent3 14" xfId="388"/>
    <cellStyle name="Accent3 15" xfId="389"/>
    <cellStyle name="Accent3 16" xfId="789"/>
    <cellStyle name="Accent3 2" xfId="43"/>
    <cellStyle name="Accent3 2 2" xfId="822"/>
    <cellStyle name="Accent3 2 3" xfId="390"/>
    <cellStyle name="Accent3 3" xfId="391"/>
    <cellStyle name="Accent3 4" xfId="392"/>
    <cellStyle name="Accent3 5" xfId="393"/>
    <cellStyle name="Accent3 6" xfId="394"/>
    <cellStyle name="Accent3 7" xfId="395"/>
    <cellStyle name="Accent3 8" xfId="396"/>
    <cellStyle name="Accent3 9" xfId="397"/>
    <cellStyle name="Accent4 10" xfId="398"/>
    <cellStyle name="Accent4 11" xfId="399"/>
    <cellStyle name="Accent4 12" xfId="400"/>
    <cellStyle name="Accent4 13" xfId="401"/>
    <cellStyle name="Accent4 14" xfId="402"/>
    <cellStyle name="Accent4 15" xfId="403"/>
    <cellStyle name="Accent4 16" xfId="871"/>
    <cellStyle name="Accent4 2" xfId="44"/>
    <cellStyle name="Accent4 2 2" xfId="826"/>
    <cellStyle name="Accent4 2 3" xfId="404"/>
    <cellStyle name="Accent4 3" xfId="405"/>
    <cellStyle name="Accent4 4" xfId="406"/>
    <cellStyle name="Accent4 5" xfId="407"/>
    <cellStyle name="Accent4 6" xfId="408"/>
    <cellStyle name="Accent4 7" xfId="409"/>
    <cellStyle name="Accent4 8" xfId="410"/>
    <cellStyle name="Accent4 9" xfId="411"/>
    <cellStyle name="Accent5 10" xfId="412"/>
    <cellStyle name="Accent5 11" xfId="413"/>
    <cellStyle name="Accent5 12" xfId="414"/>
    <cellStyle name="Accent5 13" xfId="415"/>
    <cellStyle name="Accent5 14" xfId="416"/>
    <cellStyle name="Accent5 15" xfId="417"/>
    <cellStyle name="Accent5 16" xfId="866"/>
    <cellStyle name="Accent5 2" xfId="45"/>
    <cellStyle name="Accent5 2 2" xfId="830"/>
    <cellStyle name="Accent5 2 3" xfId="418"/>
    <cellStyle name="Accent5 3" xfId="419"/>
    <cellStyle name="Accent5 4" xfId="420"/>
    <cellStyle name="Accent5 5" xfId="421"/>
    <cellStyle name="Accent5 6" xfId="422"/>
    <cellStyle name="Accent5 7" xfId="423"/>
    <cellStyle name="Accent5 8" xfId="424"/>
    <cellStyle name="Accent5 9" xfId="425"/>
    <cellStyle name="Accent6 10" xfId="426"/>
    <cellStyle name="Accent6 11" xfId="427"/>
    <cellStyle name="Accent6 12" xfId="428"/>
    <cellStyle name="Accent6 13" xfId="429"/>
    <cellStyle name="Accent6 14" xfId="430"/>
    <cellStyle name="Accent6 15" xfId="431"/>
    <cellStyle name="Accent6 16" xfId="870"/>
    <cellStyle name="Accent6 2" xfId="46"/>
    <cellStyle name="Accent6 2 2" xfId="834"/>
    <cellStyle name="Accent6 2 3" xfId="432"/>
    <cellStyle name="Accent6 3" xfId="433"/>
    <cellStyle name="Accent6 4" xfId="434"/>
    <cellStyle name="Accent6 5" xfId="435"/>
    <cellStyle name="Accent6 6" xfId="436"/>
    <cellStyle name="Accent6 7" xfId="437"/>
    <cellStyle name="Accent6 8" xfId="438"/>
    <cellStyle name="Accent6 9" xfId="439"/>
    <cellStyle name="Bad 10" xfId="440"/>
    <cellStyle name="Bad 11" xfId="441"/>
    <cellStyle name="Bad 12" xfId="442"/>
    <cellStyle name="Bad 13" xfId="443"/>
    <cellStyle name="Bad 14" xfId="444"/>
    <cellStyle name="Bad 15" xfId="445"/>
    <cellStyle name="Bad 16" xfId="855"/>
    <cellStyle name="Bad 2" xfId="47"/>
    <cellStyle name="Bad 2 2" xfId="803"/>
    <cellStyle name="Bad 2 3" xfId="446"/>
    <cellStyle name="Bad 3" xfId="447"/>
    <cellStyle name="Bad 4" xfId="448"/>
    <cellStyle name="Bad 5" xfId="449"/>
    <cellStyle name="Bad 6" xfId="450"/>
    <cellStyle name="Bad 7" xfId="451"/>
    <cellStyle name="Bad 8" xfId="452"/>
    <cellStyle name="Bad 9" xfId="453"/>
    <cellStyle name="Calculation 10" xfId="454"/>
    <cellStyle name="Calculation 11" xfId="455"/>
    <cellStyle name="Calculation 12" xfId="456"/>
    <cellStyle name="Calculation 13" xfId="457"/>
    <cellStyle name="Calculation 14" xfId="458"/>
    <cellStyle name="Calculation 15" xfId="459"/>
    <cellStyle name="Calculation 16" xfId="790"/>
    <cellStyle name="Calculation 2" xfId="48"/>
    <cellStyle name="Calculation 2 2" xfId="807"/>
    <cellStyle name="Calculation 2 3" xfId="460"/>
    <cellStyle name="Calculation 3" xfId="461"/>
    <cellStyle name="Calculation 4" xfId="462"/>
    <cellStyle name="Calculation 5" xfId="463"/>
    <cellStyle name="Calculation 6" xfId="464"/>
    <cellStyle name="Calculation 7" xfId="465"/>
    <cellStyle name="Calculation 8" xfId="466"/>
    <cellStyle name="Calculation 9" xfId="467"/>
    <cellStyle name="Check Cell 10" xfId="468"/>
    <cellStyle name="Check Cell 11" xfId="469"/>
    <cellStyle name="Check Cell 12" xfId="470"/>
    <cellStyle name="Check Cell 13" xfId="471"/>
    <cellStyle name="Check Cell 14" xfId="472"/>
    <cellStyle name="Check Cell 15" xfId="473"/>
    <cellStyle name="Check Cell 16" xfId="851"/>
    <cellStyle name="Check Cell 2" xfId="49"/>
    <cellStyle name="Check Cell 2 2" xfId="809"/>
    <cellStyle name="Check Cell 2 3" xfId="474"/>
    <cellStyle name="Check Cell 3" xfId="475"/>
    <cellStyle name="Check Cell 4" xfId="476"/>
    <cellStyle name="Check Cell 5" xfId="477"/>
    <cellStyle name="Check Cell 6" xfId="478"/>
    <cellStyle name="Check Cell 7" xfId="479"/>
    <cellStyle name="Check Cell 8" xfId="480"/>
    <cellStyle name="Check Cell 9" xfId="481"/>
    <cellStyle name="Comma" xfId="1" builtinId="3"/>
    <cellStyle name="Comma 10" xfId="482"/>
    <cellStyle name="Comma 2" xfId="5"/>
    <cellStyle name="Comma 2 10" xfId="1527"/>
    <cellStyle name="Comma 2 2" xfId="696"/>
    <cellStyle name="Comma 2 2 2" xfId="695"/>
    <cellStyle name="Comma 2 3" xfId="734"/>
    <cellStyle name="Comma 2 4" xfId="839"/>
    <cellStyle name="Comma 2 5" xfId="1529"/>
    <cellStyle name="Comma 3" xfId="6"/>
    <cellStyle name="Comma 3 2" xfId="50"/>
    <cellStyle name="Comma 3 2 2" xfId="845"/>
    <cellStyle name="Comma 3 2 3" xfId="697"/>
    <cellStyle name="Comma 3 2 5" xfId="98"/>
    <cellStyle name="Comma 3 3" xfId="841"/>
    <cellStyle name="Comma 3 4" xfId="1013"/>
    <cellStyle name="Comma 3 5" xfId="483"/>
    <cellStyle name="Comma 4" xfId="13"/>
    <cellStyle name="Comma 4 2" xfId="718"/>
    <cellStyle name="Comma 4 2 2" xfId="755"/>
    <cellStyle name="Comma 4 2 2 2" xfId="910"/>
    <cellStyle name="Comma 4 2 2 2 2" xfId="1241"/>
    <cellStyle name="Comma 4 2 2 2 2 2" xfId="1474"/>
    <cellStyle name="Comma 4 2 2 2 3" xfId="1358"/>
    <cellStyle name="Comma 4 2 2 2 4" xfId="1122"/>
    <cellStyle name="Comma 4 2 2 3" xfId="980"/>
    <cellStyle name="Comma 4 2 2 3 2" xfId="1418"/>
    <cellStyle name="Comma 4 2 2 3 3" xfId="1185"/>
    <cellStyle name="Comma 4 2 2 4" xfId="1302"/>
    <cellStyle name="Comma 4 2 2 5" xfId="1065"/>
    <cellStyle name="Comma 4 2 3" xfId="877"/>
    <cellStyle name="Comma 4 2 3 2" xfId="1211"/>
    <cellStyle name="Comma 4 2 3 2 2" xfId="1444"/>
    <cellStyle name="Comma 4 2 3 3" xfId="1328"/>
    <cellStyle name="Comma 4 2 3 4" xfId="1092"/>
    <cellStyle name="Comma 4 2 4" xfId="950"/>
    <cellStyle name="Comma 4 2 4 2" xfId="1392"/>
    <cellStyle name="Comma 4 2 4 3" xfId="1159"/>
    <cellStyle name="Comma 4 2 5" xfId="1276"/>
    <cellStyle name="Comma 4 2 6" xfId="1039"/>
    <cellStyle name="Comma 4 3" xfId="726"/>
    <cellStyle name="Comma 4 3 2" xfId="763"/>
    <cellStyle name="Comma 4 3 2 2" xfId="918"/>
    <cellStyle name="Comma 4 3 2 2 2" xfId="1249"/>
    <cellStyle name="Comma 4 3 2 2 2 2" xfId="1482"/>
    <cellStyle name="Comma 4 3 2 2 3" xfId="1366"/>
    <cellStyle name="Comma 4 3 2 2 4" xfId="1130"/>
    <cellStyle name="Comma 4 3 2 3" xfId="988"/>
    <cellStyle name="Comma 4 3 2 3 2" xfId="1426"/>
    <cellStyle name="Comma 4 3 2 3 3" xfId="1193"/>
    <cellStyle name="Comma 4 3 2 4" xfId="1310"/>
    <cellStyle name="Comma 4 3 2 5" xfId="1073"/>
    <cellStyle name="Comma 4 3 3" xfId="885"/>
    <cellStyle name="Comma 4 3 3 2" xfId="1219"/>
    <cellStyle name="Comma 4 3 3 2 2" xfId="1452"/>
    <cellStyle name="Comma 4 3 3 3" xfId="1336"/>
    <cellStyle name="Comma 4 3 3 4" xfId="1100"/>
    <cellStyle name="Comma 4 3 4" xfId="958"/>
    <cellStyle name="Comma 4 3 4 2" xfId="1400"/>
    <cellStyle name="Comma 4 3 4 3" xfId="1167"/>
    <cellStyle name="Comma 4 3 5" xfId="1284"/>
    <cellStyle name="Comma 4 3 6" xfId="1047"/>
    <cellStyle name="Comma 4 4" xfId="747"/>
    <cellStyle name="Comma 4 4 2" xfId="902"/>
    <cellStyle name="Comma 4 4 2 2" xfId="1233"/>
    <cellStyle name="Comma 4 4 2 2 2" xfId="1466"/>
    <cellStyle name="Comma 4 4 2 3" xfId="1350"/>
    <cellStyle name="Comma 4 4 2 4" xfId="1114"/>
    <cellStyle name="Comma 4 4 3" xfId="972"/>
    <cellStyle name="Comma 4 4 3 2" xfId="1410"/>
    <cellStyle name="Comma 4 4 3 3" xfId="1177"/>
    <cellStyle name="Comma 4 4 4" xfId="1294"/>
    <cellStyle name="Comma 4 4 5" xfId="1057"/>
    <cellStyle name="Comma 4 5" xfId="863"/>
    <cellStyle name="Comma 4 5 2" xfId="1203"/>
    <cellStyle name="Comma 4 5 2 2" xfId="1436"/>
    <cellStyle name="Comma 4 5 3" xfId="1320"/>
    <cellStyle name="Comma 4 5 4" xfId="1084"/>
    <cellStyle name="Comma 4 6" xfId="942"/>
    <cellStyle name="Comma 4 6 2" xfId="1384"/>
    <cellStyle name="Comma 4 6 3" xfId="1151"/>
    <cellStyle name="Comma 4 7" xfId="1268"/>
    <cellStyle name="Comma 4 8" xfId="1031"/>
    <cellStyle name="Comma 4 9" xfId="698"/>
    <cellStyle name="Comma 5" xfId="51"/>
    <cellStyle name="Comma 5 2" xfId="741"/>
    <cellStyle name="Comma 6" xfId="52"/>
    <cellStyle name="Comma 6 2" xfId="895"/>
    <cellStyle name="Comma 6 2 2" xfId="1255"/>
    <cellStyle name="Comma 6 2 2 2" xfId="1488"/>
    <cellStyle name="Comma 6 2 3" xfId="1372"/>
    <cellStyle name="Comma 6 2 4" xfId="1136"/>
    <cellStyle name="Comma 6 3" xfId="966"/>
    <cellStyle name="Comma 6 3 2" xfId="1460"/>
    <cellStyle name="Comma 6 3 3" xfId="1227"/>
    <cellStyle name="Comma 6 4" xfId="1344"/>
    <cellStyle name="Comma 6 5" xfId="1108"/>
    <cellStyle name="Comma 6 6" xfId="738"/>
    <cellStyle name="Comma 7" xfId="102"/>
    <cellStyle name="Comma 7 2" xfId="1139"/>
    <cellStyle name="Comma 7 3" xfId="872"/>
    <cellStyle name="Comma 7 4" xfId="1528"/>
    <cellStyle name="Comma 8" xfId="1143"/>
    <cellStyle name="Comma 8 2" xfId="1373"/>
    <cellStyle name="Comma 9" xfId="1257"/>
    <cellStyle name="Comma0" xfId="7"/>
    <cellStyle name="Currency 2" xfId="12"/>
    <cellStyle name="Currency 2 2" xfId="699"/>
    <cellStyle name="Currency 2 3" xfId="690"/>
    <cellStyle name="Currency 2 4" xfId="865"/>
    <cellStyle name="Currency 2 5" xfId="1012"/>
    <cellStyle name="Currency 2 6" xfId="484"/>
    <cellStyle name="Currency 3" xfId="53"/>
    <cellStyle name="Currency 3 2" xfId="700"/>
    <cellStyle name="Currency 3 3" xfId="691"/>
    <cellStyle name="Currency 3 4" xfId="847"/>
    <cellStyle name="Currency 4" xfId="54"/>
    <cellStyle name="Currency 4 2" xfId="1024"/>
    <cellStyle name="Currency 5" xfId="485"/>
    <cellStyle name="Currency0" xfId="8"/>
    <cellStyle name="Date" xfId="9"/>
    <cellStyle name="Explanatory Text 10" xfId="486"/>
    <cellStyle name="Explanatory Text 11" xfId="487"/>
    <cellStyle name="Explanatory Text 12" xfId="488"/>
    <cellStyle name="Explanatory Text 13" xfId="489"/>
    <cellStyle name="Explanatory Text 14" xfId="490"/>
    <cellStyle name="Explanatory Text 15" xfId="491"/>
    <cellStyle name="Explanatory Text 16" xfId="858"/>
    <cellStyle name="Explanatory Text 2" xfId="55"/>
    <cellStyle name="Explanatory Text 2 2" xfId="812"/>
    <cellStyle name="Explanatory Text 2 3" xfId="492"/>
    <cellStyle name="Explanatory Text 3" xfId="493"/>
    <cellStyle name="Explanatory Text 4" xfId="494"/>
    <cellStyle name="Explanatory Text 5" xfId="495"/>
    <cellStyle name="Explanatory Text 6" xfId="496"/>
    <cellStyle name="Explanatory Text 7" xfId="497"/>
    <cellStyle name="Explanatory Text 8" xfId="498"/>
    <cellStyle name="Explanatory Text 9" xfId="499"/>
    <cellStyle name="Fixed" xfId="10"/>
    <cellStyle name="Good 10" xfId="500"/>
    <cellStyle name="Good 11" xfId="501"/>
    <cellStyle name="Good 12" xfId="502"/>
    <cellStyle name="Good 13" xfId="503"/>
    <cellStyle name="Good 14" xfId="504"/>
    <cellStyle name="Good 15" xfId="505"/>
    <cellStyle name="Good 16" xfId="854"/>
    <cellStyle name="Good 2" xfId="56"/>
    <cellStyle name="Good 2 2" xfId="802"/>
    <cellStyle name="Good 2 3" xfId="506"/>
    <cellStyle name="Good 3" xfId="507"/>
    <cellStyle name="Good 4" xfId="508"/>
    <cellStyle name="Good 5" xfId="509"/>
    <cellStyle name="Good 6" xfId="510"/>
    <cellStyle name="Good 7" xfId="511"/>
    <cellStyle name="Good 8" xfId="512"/>
    <cellStyle name="Good 9" xfId="513"/>
    <cellStyle name="Grey" xfId="57"/>
    <cellStyle name="Grey 2" xfId="58"/>
    <cellStyle name="Heading 1 10" xfId="514"/>
    <cellStyle name="Heading 1 11" xfId="515"/>
    <cellStyle name="Heading 1 12" xfId="516"/>
    <cellStyle name="Heading 1 13" xfId="517"/>
    <cellStyle name="Heading 1 14" xfId="518"/>
    <cellStyle name="Heading 1 15" xfId="519"/>
    <cellStyle name="Heading 1 16" xfId="859"/>
    <cellStyle name="Heading 1 2" xfId="59"/>
    <cellStyle name="Heading 1 2 2" xfId="798"/>
    <cellStyle name="Heading 1 2 3" xfId="520"/>
    <cellStyle name="Heading 1 3" xfId="521"/>
    <cellStyle name="Heading 1 4" xfId="522"/>
    <cellStyle name="Heading 1 5" xfId="523"/>
    <cellStyle name="Heading 1 6" xfId="524"/>
    <cellStyle name="Heading 1 7" xfId="525"/>
    <cellStyle name="Heading 1 8" xfId="526"/>
    <cellStyle name="Heading 1 9" xfId="527"/>
    <cellStyle name="Heading 2 10" xfId="528"/>
    <cellStyle name="Heading 2 11" xfId="529"/>
    <cellStyle name="Heading 2 12" xfId="530"/>
    <cellStyle name="Heading 2 13" xfId="531"/>
    <cellStyle name="Heading 2 14" xfId="532"/>
    <cellStyle name="Heading 2 15" xfId="533"/>
    <cellStyle name="Heading 2 16" xfId="857"/>
    <cellStyle name="Heading 2 2" xfId="60"/>
    <cellStyle name="Heading 2 2 2" xfId="797"/>
    <cellStyle name="Heading 2 2 3" xfId="534"/>
    <cellStyle name="Heading 2 3" xfId="535"/>
    <cellStyle name="Heading 2 4" xfId="536"/>
    <cellStyle name="Heading 2 5" xfId="537"/>
    <cellStyle name="Heading 2 6" xfId="538"/>
    <cellStyle name="Heading 2 7" xfId="539"/>
    <cellStyle name="Heading 2 8" xfId="540"/>
    <cellStyle name="Heading 2 9" xfId="541"/>
    <cellStyle name="Heading 3 10" xfId="542"/>
    <cellStyle name="Heading 3 11" xfId="543"/>
    <cellStyle name="Heading 3 12" xfId="544"/>
    <cellStyle name="Heading 3 13" xfId="545"/>
    <cellStyle name="Heading 3 14" xfId="546"/>
    <cellStyle name="Heading 3 15" xfId="547"/>
    <cellStyle name="Heading 3 16" xfId="856"/>
    <cellStyle name="Heading 3 2" xfId="61"/>
    <cellStyle name="Heading 3 2 2" xfId="800"/>
    <cellStyle name="Heading 3 2 3" xfId="548"/>
    <cellStyle name="Heading 3 3" xfId="549"/>
    <cellStyle name="Heading 3 4" xfId="550"/>
    <cellStyle name="Heading 3 5" xfId="551"/>
    <cellStyle name="Heading 3 6" xfId="552"/>
    <cellStyle name="Heading 3 7" xfId="553"/>
    <cellStyle name="Heading 3 8" xfId="554"/>
    <cellStyle name="Heading 3 9" xfId="555"/>
    <cellStyle name="Heading 4 10" xfId="556"/>
    <cellStyle name="Heading 4 11" xfId="557"/>
    <cellStyle name="Heading 4 12" xfId="558"/>
    <cellStyle name="Heading 4 13" xfId="559"/>
    <cellStyle name="Heading 4 14" xfId="560"/>
    <cellStyle name="Heading 4 15" xfId="561"/>
    <cellStyle name="Heading 4 16" xfId="899"/>
    <cellStyle name="Heading 4 2" xfId="62"/>
    <cellStyle name="Heading 4 2 2" xfId="801"/>
    <cellStyle name="Heading 4 2 3" xfId="562"/>
    <cellStyle name="Heading 4 3" xfId="563"/>
    <cellStyle name="Heading 4 4" xfId="564"/>
    <cellStyle name="Heading 4 5" xfId="565"/>
    <cellStyle name="Heading 4 6" xfId="566"/>
    <cellStyle name="Heading 4 7" xfId="567"/>
    <cellStyle name="Heading 4 8" xfId="568"/>
    <cellStyle name="Heading 4 9" xfId="569"/>
    <cellStyle name="Hyperlink 2" xfId="860"/>
    <cellStyle name="Hyperlink 2 2" xfId="1079"/>
    <cellStyle name="Hyperlink 3" xfId="791"/>
    <cellStyle name="Hyperlink 4" xfId="1523"/>
    <cellStyle name="Hyperlink 5" xfId="1530"/>
    <cellStyle name="Input [yellow]" xfId="63"/>
    <cellStyle name="Input [yellow] 2" xfId="64"/>
    <cellStyle name="Input 10" xfId="570"/>
    <cellStyle name="Input 11" xfId="571"/>
    <cellStyle name="Input 12" xfId="572"/>
    <cellStyle name="Input 13" xfId="573"/>
    <cellStyle name="Input 14" xfId="574"/>
    <cellStyle name="Input 15" xfId="575"/>
    <cellStyle name="Input 16" xfId="852"/>
    <cellStyle name="Input 17" xfId="928"/>
    <cellStyle name="Input 18" xfId="927"/>
    <cellStyle name="Input 19" xfId="926"/>
    <cellStyle name="Input 2" xfId="65"/>
    <cellStyle name="Input 2 2" xfId="805"/>
    <cellStyle name="Input 2 3" xfId="576"/>
    <cellStyle name="Input 20" xfId="934"/>
    <cellStyle name="Input 3" xfId="577"/>
    <cellStyle name="Input 4" xfId="578"/>
    <cellStyle name="Input 5" xfId="579"/>
    <cellStyle name="Input 6" xfId="580"/>
    <cellStyle name="Input 7" xfId="581"/>
    <cellStyle name="Input 8" xfId="582"/>
    <cellStyle name="Input 9" xfId="583"/>
    <cellStyle name="Linked Cell 10" xfId="584"/>
    <cellStyle name="Linked Cell 11" xfId="585"/>
    <cellStyle name="Linked Cell 12" xfId="586"/>
    <cellStyle name="Linked Cell 13" xfId="587"/>
    <cellStyle name="Linked Cell 14" xfId="588"/>
    <cellStyle name="Linked Cell 15" xfId="589"/>
    <cellStyle name="Linked Cell 16" xfId="893"/>
    <cellStyle name="Linked Cell 2" xfId="66"/>
    <cellStyle name="Linked Cell 2 2" xfId="808"/>
    <cellStyle name="Linked Cell 2 3" xfId="590"/>
    <cellStyle name="Linked Cell 3" xfId="591"/>
    <cellStyle name="Linked Cell 4" xfId="592"/>
    <cellStyle name="Linked Cell 5" xfId="593"/>
    <cellStyle name="Linked Cell 6" xfId="594"/>
    <cellStyle name="Linked Cell 7" xfId="595"/>
    <cellStyle name="Linked Cell 8" xfId="596"/>
    <cellStyle name="Linked Cell 9" xfId="597"/>
    <cellStyle name="M" xfId="67"/>
    <cellStyle name="M.00" xfId="68"/>
    <cellStyle name="M_9. Rev2Cost_GDPIPI" xfId="69"/>
    <cellStyle name="M_lists" xfId="70"/>
    <cellStyle name="M_lists_4. Current Monthly Fixed Charge" xfId="71"/>
    <cellStyle name="M_Sheet4" xfId="72"/>
    <cellStyle name="Neutral 10" xfId="598"/>
    <cellStyle name="Neutral 11" xfId="599"/>
    <cellStyle name="Neutral 12" xfId="600"/>
    <cellStyle name="Neutral 13" xfId="601"/>
    <cellStyle name="Neutral 14" xfId="602"/>
    <cellStyle name="Neutral 15" xfId="603"/>
    <cellStyle name="Neutral 16" xfId="792"/>
    <cellStyle name="Neutral 2" xfId="73"/>
    <cellStyle name="Neutral 2 2" xfId="804"/>
    <cellStyle name="Neutral 2 3" xfId="604"/>
    <cellStyle name="Neutral 3" xfId="605"/>
    <cellStyle name="Neutral 4" xfId="606"/>
    <cellStyle name="Neutral 5" xfId="607"/>
    <cellStyle name="Neutral 6" xfId="608"/>
    <cellStyle name="Neutral 7" xfId="609"/>
    <cellStyle name="Neutral 8" xfId="610"/>
    <cellStyle name="Neutral 9" xfId="611"/>
    <cellStyle name="Normal" xfId="0" builtinId="0"/>
    <cellStyle name="Normal - Style1" xfId="74"/>
    <cellStyle name="Normal 10" xfId="612"/>
    <cellStyle name="Normal 11" xfId="613"/>
    <cellStyle name="Normal 12" xfId="614"/>
    <cellStyle name="Normal 13" xfId="615"/>
    <cellStyle name="Normal 14" xfId="616"/>
    <cellStyle name="Normal 15" xfId="617"/>
    <cellStyle name="Normal 16" xfId="618"/>
    <cellStyle name="Normal 16 10" xfId="1259"/>
    <cellStyle name="Normal 16 11" xfId="1015"/>
    <cellStyle name="Normal 16 12" xfId="1525"/>
    <cellStyle name="Normal 16 2" xfId="702"/>
    <cellStyle name="Normal 16 2 2" xfId="719"/>
    <cellStyle name="Normal 16 2 2 2" xfId="756"/>
    <cellStyle name="Normal 16 2 2 2 2" xfId="911"/>
    <cellStyle name="Normal 16 2 2 2 2 2" xfId="1242"/>
    <cellStyle name="Normal 16 2 2 2 2 2 2" xfId="1475"/>
    <cellStyle name="Normal 16 2 2 2 2 3" xfId="1359"/>
    <cellStyle name="Normal 16 2 2 2 2 4" xfId="1123"/>
    <cellStyle name="Normal 16 2 2 2 3" xfId="981"/>
    <cellStyle name="Normal 16 2 2 2 3 2" xfId="1419"/>
    <cellStyle name="Normal 16 2 2 2 3 3" xfId="1186"/>
    <cellStyle name="Normal 16 2 2 2 4" xfId="1303"/>
    <cellStyle name="Normal 16 2 2 2 5" xfId="1066"/>
    <cellStyle name="Normal 16 2 2 3" xfId="878"/>
    <cellStyle name="Normal 16 2 2 3 2" xfId="1212"/>
    <cellStyle name="Normal 16 2 2 3 2 2" xfId="1445"/>
    <cellStyle name="Normal 16 2 2 3 3" xfId="1329"/>
    <cellStyle name="Normal 16 2 2 3 4" xfId="1093"/>
    <cellStyle name="Normal 16 2 2 4" xfId="951"/>
    <cellStyle name="Normal 16 2 2 4 2" xfId="1393"/>
    <cellStyle name="Normal 16 2 2 4 3" xfId="1160"/>
    <cellStyle name="Normal 16 2 2 5" xfId="1277"/>
    <cellStyle name="Normal 16 2 2 6" xfId="1040"/>
    <cellStyle name="Normal 16 2 3" xfId="727"/>
    <cellStyle name="Normal 16 2 3 2" xfId="764"/>
    <cellStyle name="Normal 16 2 3 2 2" xfId="919"/>
    <cellStyle name="Normal 16 2 3 2 2 2" xfId="1250"/>
    <cellStyle name="Normal 16 2 3 2 2 2 2" xfId="1483"/>
    <cellStyle name="Normal 16 2 3 2 2 3" xfId="1367"/>
    <cellStyle name="Normal 16 2 3 2 2 4" xfId="1131"/>
    <cellStyle name="Normal 16 2 3 2 3" xfId="989"/>
    <cellStyle name="Normal 16 2 3 2 3 2" xfId="1427"/>
    <cellStyle name="Normal 16 2 3 2 3 3" xfId="1194"/>
    <cellStyle name="Normal 16 2 3 2 4" xfId="1311"/>
    <cellStyle name="Normal 16 2 3 2 5" xfId="1074"/>
    <cellStyle name="Normal 16 2 3 3" xfId="886"/>
    <cellStyle name="Normal 16 2 3 3 2" xfId="1220"/>
    <cellStyle name="Normal 16 2 3 3 2 2" xfId="1453"/>
    <cellStyle name="Normal 16 2 3 3 3" xfId="1337"/>
    <cellStyle name="Normal 16 2 3 3 4" xfId="1101"/>
    <cellStyle name="Normal 16 2 3 4" xfId="959"/>
    <cellStyle name="Normal 16 2 3 4 2" xfId="1401"/>
    <cellStyle name="Normal 16 2 3 4 3" xfId="1168"/>
    <cellStyle name="Normal 16 2 3 5" xfId="1285"/>
    <cellStyle name="Normal 16 2 3 6" xfId="1048"/>
    <cellStyle name="Normal 16 2 4" xfId="748"/>
    <cellStyle name="Normal 16 2 4 2" xfId="903"/>
    <cellStyle name="Normal 16 2 4 2 2" xfId="1234"/>
    <cellStyle name="Normal 16 2 4 2 2 2" xfId="1467"/>
    <cellStyle name="Normal 16 2 4 2 3" xfId="1351"/>
    <cellStyle name="Normal 16 2 4 2 4" xfId="1115"/>
    <cellStyle name="Normal 16 2 4 3" xfId="973"/>
    <cellStyle name="Normal 16 2 4 3 2" xfId="1385"/>
    <cellStyle name="Normal 16 2 4 3 3" xfId="1152"/>
    <cellStyle name="Normal 16 2 4 4" xfId="1269"/>
    <cellStyle name="Normal 16 2 4 5" xfId="1032"/>
    <cellStyle name="Normal 16 2 5" xfId="867"/>
    <cellStyle name="Normal 16 2 5 2" xfId="1178"/>
    <cellStyle name="Normal 16 2 5 2 2" xfId="1411"/>
    <cellStyle name="Normal 16 2 5 3" xfId="1295"/>
    <cellStyle name="Normal 16 2 5 4" xfId="1058"/>
    <cellStyle name="Normal 16 2 6" xfId="943"/>
    <cellStyle name="Normal 16 2 6 2" xfId="1204"/>
    <cellStyle name="Normal 16 2 6 2 2" xfId="1437"/>
    <cellStyle name="Normal 16 2 6 3" xfId="1321"/>
    <cellStyle name="Normal 16 2 6 4" xfId="1085"/>
    <cellStyle name="Normal 16 2 7" xfId="1145"/>
    <cellStyle name="Normal 16 2 7 2" xfId="1378"/>
    <cellStyle name="Normal 16 2 8" xfId="1262"/>
    <cellStyle name="Normal 16 2 9" xfId="1025"/>
    <cellStyle name="Normal 16 3" xfId="692"/>
    <cellStyle name="Normal 16 3 2" xfId="745"/>
    <cellStyle name="Normal 16 3 2 2" xfId="900"/>
    <cellStyle name="Normal 16 3 2 2 2" xfId="1231"/>
    <cellStyle name="Normal 16 3 2 2 2 2" xfId="1464"/>
    <cellStyle name="Normal 16 3 2 2 3" xfId="1348"/>
    <cellStyle name="Normal 16 3 2 2 4" xfId="1112"/>
    <cellStyle name="Normal 16 3 2 3" xfId="970"/>
    <cellStyle name="Normal 16 3 2 3 2" xfId="1408"/>
    <cellStyle name="Normal 16 3 2 3 3" xfId="1175"/>
    <cellStyle name="Normal 16 3 2 4" xfId="1292"/>
    <cellStyle name="Normal 16 3 2 5" xfId="1055"/>
    <cellStyle name="Normal 16 3 3" xfId="861"/>
    <cellStyle name="Normal 16 3 3 2" xfId="1201"/>
    <cellStyle name="Normal 16 3 3 2 2" xfId="1434"/>
    <cellStyle name="Normal 16 3 3 3" xfId="1318"/>
    <cellStyle name="Normal 16 3 3 4" xfId="1082"/>
    <cellStyle name="Normal 16 3 4" xfId="940"/>
    <cellStyle name="Normal 16 3 4 2" xfId="1382"/>
    <cellStyle name="Normal 16 3 4 3" xfId="1149"/>
    <cellStyle name="Normal 16 3 5" xfId="1266"/>
    <cellStyle name="Normal 16 3 6" xfId="1029"/>
    <cellStyle name="Normal 16 4" xfId="716"/>
    <cellStyle name="Normal 16 4 2" xfId="753"/>
    <cellStyle name="Normal 16 4 2 2" xfId="908"/>
    <cellStyle name="Normal 16 4 2 2 2" xfId="1239"/>
    <cellStyle name="Normal 16 4 2 2 2 2" xfId="1472"/>
    <cellStyle name="Normal 16 4 2 2 3" xfId="1356"/>
    <cellStyle name="Normal 16 4 2 2 4" xfId="1120"/>
    <cellStyle name="Normal 16 4 2 3" xfId="978"/>
    <cellStyle name="Normal 16 4 2 3 2" xfId="1416"/>
    <cellStyle name="Normal 16 4 2 3 3" xfId="1183"/>
    <cellStyle name="Normal 16 4 2 4" xfId="1300"/>
    <cellStyle name="Normal 16 4 2 5" xfId="1063"/>
    <cellStyle name="Normal 16 4 3" xfId="875"/>
    <cellStyle name="Normal 16 4 3 2" xfId="1209"/>
    <cellStyle name="Normal 16 4 3 2 2" xfId="1442"/>
    <cellStyle name="Normal 16 4 3 3" xfId="1326"/>
    <cellStyle name="Normal 16 4 3 4" xfId="1090"/>
    <cellStyle name="Normal 16 4 4" xfId="948"/>
    <cellStyle name="Normal 16 4 4 2" xfId="1390"/>
    <cellStyle name="Normal 16 4 4 3" xfId="1157"/>
    <cellStyle name="Normal 16 4 5" xfId="1274"/>
    <cellStyle name="Normal 16 4 6" xfId="1037"/>
    <cellStyle name="Normal 16 5" xfId="724"/>
    <cellStyle name="Normal 16 5 2" xfId="761"/>
    <cellStyle name="Normal 16 5 2 2" xfId="916"/>
    <cellStyle name="Normal 16 5 2 2 2" xfId="1247"/>
    <cellStyle name="Normal 16 5 2 2 2 2" xfId="1480"/>
    <cellStyle name="Normal 16 5 2 2 3" xfId="1364"/>
    <cellStyle name="Normal 16 5 2 2 4" xfId="1128"/>
    <cellStyle name="Normal 16 5 2 3" xfId="986"/>
    <cellStyle name="Normal 16 5 2 3 2" xfId="1424"/>
    <cellStyle name="Normal 16 5 2 3 3" xfId="1191"/>
    <cellStyle name="Normal 16 5 2 4" xfId="1308"/>
    <cellStyle name="Normal 16 5 2 5" xfId="1071"/>
    <cellStyle name="Normal 16 5 3" xfId="883"/>
    <cellStyle name="Normal 16 5 3 2" xfId="1217"/>
    <cellStyle name="Normal 16 5 3 2 2" xfId="1450"/>
    <cellStyle name="Normal 16 5 3 3" xfId="1334"/>
    <cellStyle name="Normal 16 5 3 4" xfId="1098"/>
    <cellStyle name="Normal 16 5 4" xfId="956"/>
    <cellStyle name="Normal 16 5 4 2" xfId="1398"/>
    <cellStyle name="Normal 16 5 4 3" xfId="1165"/>
    <cellStyle name="Normal 16 5 5" xfId="1282"/>
    <cellStyle name="Normal 16 5 6" xfId="1045"/>
    <cellStyle name="Normal 16 6" xfId="742"/>
    <cellStyle name="Normal 16 6 2" xfId="897"/>
    <cellStyle name="Normal 16 6 2 2" xfId="1229"/>
    <cellStyle name="Normal 16 6 2 2 2" xfId="1462"/>
    <cellStyle name="Normal 16 6 2 3" xfId="1346"/>
    <cellStyle name="Normal 16 6 2 4" xfId="1110"/>
    <cellStyle name="Normal 16 6 3" xfId="968"/>
    <cellStyle name="Normal 16 6 3 2" xfId="1380"/>
    <cellStyle name="Normal 16 6 3 3" xfId="1147"/>
    <cellStyle name="Normal 16 6 4" xfId="1264"/>
    <cellStyle name="Normal 16 6 5" xfId="1027"/>
    <cellStyle name="Normal 16 7" xfId="848"/>
    <cellStyle name="Normal 16 7 2" xfId="1173"/>
    <cellStyle name="Normal 16 7 2 2" xfId="1406"/>
    <cellStyle name="Normal 16 7 3" xfId="1290"/>
    <cellStyle name="Normal 16 7 4" xfId="1053"/>
    <cellStyle name="Normal 16 8" xfId="937"/>
    <cellStyle name="Normal 16 8 2" xfId="1199"/>
    <cellStyle name="Normal 16 8 2 2" xfId="1432"/>
    <cellStyle name="Normal 16 8 3" xfId="1316"/>
    <cellStyle name="Normal 16 8 4" xfId="1080"/>
    <cellStyle name="Normal 16 9" xfId="1140"/>
    <cellStyle name="Normal 16 9 2" xfId="1375"/>
    <cellStyle name="Normal 17" xfId="619"/>
    <cellStyle name="Normal 17 10" xfId="1260"/>
    <cellStyle name="Normal 17 11" xfId="1016"/>
    <cellStyle name="Normal 17 2" xfId="703"/>
    <cellStyle name="Normal 17 2 2" xfId="720"/>
    <cellStyle name="Normal 17 2 2 2" xfId="757"/>
    <cellStyle name="Normal 17 2 2 2 2" xfId="912"/>
    <cellStyle name="Normal 17 2 2 2 2 2" xfId="1243"/>
    <cellStyle name="Normal 17 2 2 2 2 2 2" xfId="1476"/>
    <cellStyle name="Normal 17 2 2 2 2 3" xfId="1360"/>
    <cellStyle name="Normal 17 2 2 2 2 4" xfId="1124"/>
    <cellStyle name="Normal 17 2 2 2 3" xfId="982"/>
    <cellStyle name="Normal 17 2 2 2 3 2" xfId="1420"/>
    <cellStyle name="Normal 17 2 2 2 3 3" xfId="1187"/>
    <cellStyle name="Normal 17 2 2 2 4" xfId="1304"/>
    <cellStyle name="Normal 17 2 2 2 5" xfId="1067"/>
    <cellStyle name="Normal 17 2 2 3" xfId="879"/>
    <cellStyle name="Normal 17 2 2 3 2" xfId="1213"/>
    <cellStyle name="Normal 17 2 2 3 2 2" xfId="1446"/>
    <cellStyle name="Normal 17 2 2 3 3" xfId="1330"/>
    <cellStyle name="Normal 17 2 2 3 4" xfId="1094"/>
    <cellStyle name="Normal 17 2 2 4" xfId="952"/>
    <cellStyle name="Normal 17 2 2 4 2" xfId="1394"/>
    <cellStyle name="Normal 17 2 2 4 3" xfId="1161"/>
    <cellStyle name="Normal 17 2 2 5" xfId="1278"/>
    <cellStyle name="Normal 17 2 2 6" xfId="1041"/>
    <cellStyle name="Normal 17 2 3" xfId="728"/>
    <cellStyle name="Normal 17 2 3 2" xfId="765"/>
    <cellStyle name="Normal 17 2 3 2 2" xfId="920"/>
    <cellStyle name="Normal 17 2 3 2 2 2" xfId="1251"/>
    <cellStyle name="Normal 17 2 3 2 2 2 2" xfId="1484"/>
    <cellStyle name="Normal 17 2 3 2 2 3" xfId="1368"/>
    <cellStyle name="Normal 17 2 3 2 2 4" xfId="1132"/>
    <cellStyle name="Normal 17 2 3 2 3" xfId="990"/>
    <cellStyle name="Normal 17 2 3 2 3 2" xfId="1428"/>
    <cellStyle name="Normal 17 2 3 2 3 3" xfId="1195"/>
    <cellStyle name="Normal 17 2 3 2 4" xfId="1312"/>
    <cellStyle name="Normal 17 2 3 2 5" xfId="1075"/>
    <cellStyle name="Normal 17 2 3 3" xfId="887"/>
    <cellStyle name="Normal 17 2 3 3 2" xfId="1221"/>
    <cellStyle name="Normal 17 2 3 3 2 2" xfId="1454"/>
    <cellStyle name="Normal 17 2 3 3 3" xfId="1338"/>
    <cellStyle name="Normal 17 2 3 3 4" xfId="1102"/>
    <cellStyle name="Normal 17 2 3 4" xfId="960"/>
    <cellStyle name="Normal 17 2 3 4 2" xfId="1402"/>
    <cellStyle name="Normal 17 2 3 4 3" xfId="1169"/>
    <cellStyle name="Normal 17 2 3 5" xfId="1286"/>
    <cellStyle name="Normal 17 2 3 6" xfId="1049"/>
    <cellStyle name="Normal 17 2 4" xfId="749"/>
    <cellStyle name="Normal 17 2 4 2" xfId="904"/>
    <cellStyle name="Normal 17 2 4 2 2" xfId="1235"/>
    <cellStyle name="Normal 17 2 4 2 2 2" xfId="1468"/>
    <cellStyle name="Normal 17 2 4 2 3" xfId="1352"/>
    <cellStyle name="Normal 17 2 4 2 4" xfId="1116"/>
    <cellStyle name="Normal 17 2 4 3" xfId="974"/>
    <cellStyle name="Normal 17 2 4 3 2" xfId="1386"/>
    <cellStyle name="Normal 17 2 4 3 3" xfId="1153"/>
    <cellStyle name="Normal 17 2 4 4" xfId="1270"/>
    <cellStyle name="Normal 17 2 4 5" xfId="1033"/>
    <cellStyle name="Normal 17 2 5" xfId="868"/>
    <cellStyle name="Normal 17 2 5 2" xfId="1179"/>
    <cellStyle name="Normal 17 2 5 2 2" xfId="1412"/>
    <cellStyle name="Normal 17 2 5 3" xfId="1296"/>
    <cellStyle name="Normal 17 2 5 4" xfId="1059"/>
    <cellStyle name="Normal 17 2 6" xfId="944"/>
    <cellStyle name="Normal 17 2 6 2" xfId="1205"/>
    <cellStyle name="Normal 17 2 6 2 2" xfId="1438"/>
    <cellStyle name="Normal 17 2 6 3" xfId="1322"/>
    <cellStyle name="Normal 17 2 6 4" xfId="1086"/>
    <cellStyle name="Normal 17 2 7" xfId="1146"/>
    <cellStyle name="Normal 17 2 7 2" xfId="1379"/>
    <cellStyle name="Normal 17 2 8" xfId="1263"/>
    <cellStyle name="Normal 17 2 9" xfId="1026"/>
    <cellStyle name="Normal 17 3" xfId="693"/>
    <cellStyle name="Normal 17 3 2" xfId="746"/>
    <cellStyle name="Normal 17 3 2 2" xfId="901"/>
    <cellStyle name="Normal 17 3 2 2 2" xfId="1232"/>
    <cellStyle name="Normal 17 3 2 2 2 2" xfId="1465"/>
    <cellStyle name="Normal 17 3 2 2 3" xfId="1349"/>
    <cellStyle name="Normal 17 3 2 2 4" xfId="1113"/>
    <cellStyle name="Normal 17 3 2 3" xfId="971"/>
    <cellStyle name="Normal 17 3 2 3 2" xfId="1409"/>
    <cellStyle name="Normal 17 3 2 3 3" xfId="1176"/>
    <cellStyle name="Normal 17 3 2 4" xfId="1293"/>
    <cellStyle name="Normal 17 3 2 5" xfId="1056"/>
    <cellStyle name="Normal 17 3 3" xfId="862"/>
    <cellStyle name="Normal 17 3 3 2" xfId="1202"/>
    <cellStyle name="Normal 17 3 3 2 2" xfId="1435"/>
    <cellStyle name="Normal 17 3 3 3" xfId="1319"/>
    <cellStyle name="Normal 17 3 3 4" xfId="1083"/>
    <cellStyle name="Normal 17 3 4" xfId="941"/>
    <cellStyle name="Normal 17 3 4 2" xfId="1383"/>
    <cellStyle name="Normal 17 3 4 3" xfId="1150"/>
    <cellStyle name="Normal 17 3 5" xfId="1267"/>
    <cellStyle name="Normal 17 3 6" xfId="1030"/>
    <cellStyle name="Normal 17 4" xfId="717"/>
    <cellStyle name="Normal 17 4 2" xfId="754"/>
    <cellStyle name="Normal 17 4 2 2" xfId="909"/>
    <cellStyle name="Normal 17 4 2 2 2" xfId="1240"/>
    <cellStyle name="Normal 17 4 2 2 2 2" xfId="1473"/>
    <cellStyle name="Normal 17 4 2 2 3" xfId="1357"/>
    <cellStyle name="Normal 17 4 2 2 4" xfId="1121"/>
    <cellStyle name="Normal 17 4 2 3" xfId="979"/>
    <cellStyle name="Normal 17 4 2 3 2" xfId="1417"/>
    <cellStyle name="Normal 17 4 2 3 3" xfId="1184"/>
    <cellStyle name="Normal 17 4 2 4" xfId="1301"/>
    <cellStyle name="Normal 17 4 2 5" xfId="1064"/>
    <cellStyle name="Normal 17 4 3" xfId="876"/>
    <cellStyle name="Normal 17 4 3 2" xfId="1210"/>
    <cellStyle name="Normal 17 4 3 2 2" xfId="1443"/>
    <cellStyle name="Normal 17 4 3 3" xfId="1327"/>
    <cellStyle name="Normal 17 4 3 4" xfId="1091"/>
    <cellStyle name="Normal 17 4 4" xfId="949"/>
    <cellStyle name="Normal 17 4 4 2" xfId="1391"/>
    <cellStyle name="Normal 17 4 4 3" xfId="1158"/>
    <cellStyle name="Normal 17 4 5" xfId="1275"/>
    <cellStyle name="Normal 17 4 6" xfId="1038"/>
    <cellStyle name="Normal 17 5" xfId="725"/>
    <cellStyle name="Normal 17 5 2" xfId="762"/>
    <cellStyle name="Normal 17 5 2 2" xfId="917"/>
    <cellStyle name="Normal 17 5 2 2 2" xfId="1248"/>
    <cellStyle name="Normal 17 5 2 2 2 2" xfId="1481"/>
    <cellStyle name="Normal 17 5 2 2 3" xfId="1365"/>
    <cellStyle name="Normal 17 5 2 2 4" xfId="1129"/>
    <cellStyle name="Normal 17 5 2 3" xfId="987"/>
    <cellStyle name="Normal 17 5 2 3 2" xfId="1425"/>
    <cellStyle name="Normal 17 5 2 3 3" xfId="1192"/>
    <cellStyle name="Normal 17 5 2 4" xfId="1309"/>
    <cellStyle name="Normal 17 5 2 5" xfId="1072"/>
    <cellStyle name="Normal 17 5 3" xfId="884"/>
    <cellStyle name="Normal 17 5 3 2" xfId="1218"/>
    <cellStyle name="Normal 17 5 3 2 2" xfId="1451"/>
    <cellStyle name="Normal 17 5 3 3" xfId="1335"/>
    <cellStyle name="Normal 17 5 3 4" xfId="1099"/>
    <cellStyle name="Normal 17 5 4" xfId="957"/>
    <cellStyle name="Normal 17 5 4 2" xfId="1399"/>
    <cellStyle name="Normal 17 5 4 3" xfId="1166"/>
    <cellStyle name="Normal 17 5 5" xfId="1283"/>
    <cellStyle name="Normal 17 5 6" xfId="1046"/>
    <cellStyle name="Normal 17 6" xfId="743"/>
    <cellStyle name="Normal 17 6 2" xfId="898"/>
    <cellStyle name="Normal 17 6 2 2" xfId="1230"/>
    <cellStyle name="Normal 17 6 2 2 2" xfId="1463"/>
    <cellStyle name="Normal 17 6 2 3" xfId="1347"/>
    <cellStyle name="Normal 17 6 2 4" xfId="1111"/>
    <cellStyle name="Normal 17 6 3" xfId="969"/>
    <cellStyle name="Normal 17 6 3 2" xfId="1381"/>
    <cellStyle name="Normal 17 6 3 3" xfId="1148"/>
    <cellStyle name="Normal 17 6 4" xfId="1265"/>
    <cellStyle name="Normal 17 6 5" xfId="1028"/>
    <cellStyle name="Normal 17 7" xfId="849"/>
    <cellStyle name="Normal 17 7 2" xfId="1174"/>
    <cellStyle name="Normal 17 7 2 2" xfId="1407"/>
    <cellStyle name="Normal 17 7 3" xfId="1291"/>
    <cellStyle name="Normal 17 7 4" xfId="1054"/>
    <cellStyle name="Normal 17 8" xfId="938"/>
    <cellStyle name="Normal 17 8 2" xfId="1200"/>
    <cellStyle name="Normal 17 8 2 2" xfId="1433"/>
    <cellStyle name="Normal 17 8 3" xfId="1317"/>
    <cellStyle name="Normal 17 8 4" xfId="1081"/>
    <cellStyle name="Normal 17 9" xfId="1141"/>
    <cellStyle name="Normal 17 9 2" xfId="1376"/>
    <cellStyle name="Normal 18" xfId="620"/>
    <cellStyle name="Normal 19" xfId="621"/>
    <cellStyle name="Normal 19 2" xfId="704"/>
    <cellStyle name="Normal 19 3" xfId="694"/>
    <cellStyle name="Normal 2" xfId="4"/>
    <cellStyle name="Normal 2 2" xfId="75"/>
    <cellStyle name="Normal 2 2 10" xfId="705"/>
    <cellStyle name="Normal 2 2 11" xfId="1526"/>
    <cellStyle name="Normal 2 2 2" xfId="721"/>
    <cellStyle name="Normal 2 2 2 2" xfId="758"/>
    <cellStyle name="Normal 2 2 2 2 2" xfId="913"/>
    <cellStyle name="Normal 2 2 2 2 2 2" xfId="1244"/>
    <cellStyle name="Normal 2 2 2 2 2 2 2" xfId="1477"/>
    <cellStyle name="Normal 2 2 2 2 2 3" xfId="1361"/>
    <cellStyle name="Normal 2 2 2 2 2 4" xfId="1125"/>
    <cellStyle name="Normal 2 2 2 2 3" xfId="983"/>
    <cellStyle name="Normal 2 2 2 2 3 2" xfId="1421"/>
    <cellStyle name="Normal 2 2 2 2 3 3" xfId="1188"/>
    <cellStyle name="Normal 2 2 2 2 4" xfId="1305"/>
    <cellStyle name="Normal 2 2 2 2 5" xfId="1068"/>
    <cellStyle name="Normal 2 2 2 3" xfId="880"/>
    <cellStyle name="Normal 2 2 2 3 2" xfId="1214"/>
    <cellStyle name="Normal 2 2 2 3 2 2" xfId="1447"/>
    <cellStyle name="Normal 2 2 2 3 3" xfId="1331"/>
    <cellStyle name="Normal 2 2 2 3 4" xfId="1095"/>
    <cellStyle name="Normal 2 2 2 4" xfId="953"/>
    <cellStyle name="Normal 2 2 2 4 2" xfId="1395"/>
    <cellStyle name="Normal 2 2 2 4 3" xfId="1162"/>
    <cellStyle name="Normal 2 2 2 5" xfId="1279"/>
    <cellStyle name="Normal 2 2 2 6" xfId="1042"/>
    <cellStyle name="Normal 2 2 3" xfId="729"/>
    <cellStyle name="Normal 2 2 3 2" xfId="766"/>
    <cellStyle name="Normal 2 2 3 2 2" xfId="921"/>
    <cellStyle name="Normal 2 2 3 2 2 2" xfId="1252"/>
    <cellStyle name="Normal 2 2 3 2 2 2 2" xfId="1485"/>
    <cellStyle name="Normal 2 2 3 2 2 3" xfId="1369"/>
    <cellStyle name="Normal 2 2 3 2 2 4" xfId="1133"/>
    <cellStyle name="Normal 2 2 3 2 3" xfId="991"/>
    <cellStyle name="Normal 2 2 3 2 3 2" xfId="1429"/>
    <cellStyle name="Normal 2 2 3 2 3 3" xfId="1196"/>
    <cellStyle name="Normal 2 2 3 2 4" xfId="1313"/>
    <cellStyle name="Normal 2 2 3 2 5" xfId="1076"/>
    <cellStyle name="Normal 2 2 3 3" xfId="888"/>
    <cellStyle name="Normal 2 2 3 3 2" xfId="1222"/>
    <cellStyle name="Normal 2 2 3 3 2 2" xfId="1455"/>
    <cellStyle name="Normal 2 2 3 3 3" xfId="1339"/>
    <cellStyle name="Normal 2 2 3 3 4" xfId="1103"/>
    <cellStyle name="Normal 2 2 3 4" xfId="961"/>
    <cellStyle name="Normal 2 2 3 4 2" xfId="1403"/>
    <cellStyle name="Normal 2 2 3 4 3" xfId="1170"/>
    <cellStyle name="Normal 2 2 3 5" xfId="1287"/>
    <cellStyle name="Normal 2 2 3 6" xfId="1050"/>
    <cellStyle name="Normal 2 2 4" xfId="750"/>
    <cellStyle name="Normal 2 2 4 2" xfId="905"/>
    <cellStyle name="Normal 2 2 4 2 2" xfId="1236"/>
    <cellStyle name="Normal 2 2 4 2 2 2" xfId="1469"/>
    <cellStyle name="Normal 2 2 4 2 3" xfId="1353"/>
    <cellStyle name="Normal 2 2 4 2 4" xfId="1117"/>
    <cellStyle name="Normal 2 2 4 3" xfId="975"/>
    <cellStyle name="Normal 2 2 4 3 2" xfId="1387"/>
    <cellStyle name="Normal 2 2 4 3 3" xfId="1154"/>
    <cellStyle name="Normal 2 2 4 4" xfId="1271"/>
    <cellStyle name="Normal 2 2 4 5" xfId="1034"/>
    <cellStyle name="Normal 2 2 5" xfId="869"/>
    <cellStyle name="Normal 2 2 5 2" xfId="1180"/>
    <cellStyle name="Normal 2 2 5 2 2" xfId="1413"/>
    <cellStyle name="Normal 2 2 5 3" xfId="1297"/>
    <cellStyle name="Normal 2 2 5 4" xfId="1060"/>
    <cellStyle name="Normal 2 2 6" xfId="945"/>
    <cellStyle name="Normal 2 2 6 2" xfId="1206"/>
    <cellStyle name="Normal 2 2 6 2 2" xfId="1439"/>
    <cellStyle name="Normal 2 2 6 3" xfId="1323"/>
    <cellStyle name="Normal 2 2 6 4" xfId="1087"/>
    <cellStyle name="Normal 2 2 7" xfId="1144"/>
    <cellStyle name="Normal 2 2 7 2" xfId="1377"/>
    <cellStyle name="Normal 2 2 8" xfId="1261"/>
    <cellStyle name="Normal 2 2 9" xfId="1023"/>
    <cellStyle name="Normal 2 3" xfId="736"/>
    <cellStyle name="Normal 2 4" xfId="796"/>
    <cellStyle name="Normal 2 5" xfId="622"/>
    <cellStyle name="Normal 20" xfId="623"/>
    <cellStyle name="Normal 21" xfId="706"/>
    <cellStyle name="Normal 22" xfId="732"/>
    <cellStyle name="Normal 22 2" xfId="740"/>
    <cellStyle name="Normal 22 3" xfId="891"/>
    <cellStyle name="Normal 22 3 2" xfId="1458"/>
    <cellStyle name="Normal 22 3 3" xfId="1225"/>
    <cellStyle name="Normal 22 4" xfId="964"/>
    <cellStyle name="Normal 22 4 2" xfId="1342"/>
    <cellStyle name="Normal 22 5" xfId="1106"/>
    <cellStyle name="Normal 23" xfId="737"/>
    <cellStyle name="Normal 23 2" xfId="894"/>
    <cellStyle name="Normal 23 2 2" xfId="1459"/>
    <cellStyle name="Normal 23 2 3" xfId="1226"/>
    <cellStyle name="Normal 23 3" xfId="965"/>
    <cellStyle name="Normal 23 3 2" xfId="1343"/>
    <cellStyle name="Normal 23 4" xfId="1107"/>
    <cellStyle name="Normal 24" xfId="924"/>
    <cellStyle name="Normal 24 2" xfId="1138"/>
    <cellStyle name="Normal 25" xfId="935"/>
    <cellStyle name="Normal 25 2" xfId="1374"/>
    <cellStyle name="Normal 25 3" xfId="1137"/>
    <cellStyle name="Normal 26" xfId="925"/>
    <cellStyle name="Normal 26 2" xfId="1256"/>
    <cellStyle name="Normal 27" xfId="931"/>
    <cellStyle name="Normal 28" xfId="936"/>
    <cellStyle name="Normal 29" xfId="1006"/>
    <cellStyle name="Normal 3" xfId="11"/>
    <cellStyle name="Normal 3 2" xfId="707"/>
    <cellStyle name="Normal 3 3" xfId="708"/>
    <cellStyle name="Normal 3 3 2" xfId="701"/>
    <cellStyle name="Normal 3 4" xfId="733"/>
    <cellStyle name="Normal 3 4 2" xfId="892"/>
    <cellStyle name="Normal 3 5" xfId="799"/>
    <cellStyle name="Normal 3 6" xfId="999"/>
    <cellStyle name="Normal 3 7" xfId="624"/>
    <cellStyle name="Normal 30" xfId="1002"/>
    <cellStyle name="Normal 31" xfId="1489"/>
    <cellStyle name="Normal 32" xfId="1000"/>
    <cellStyle name="Normal 33" xfId="1004"/>
    <cellStyle name="Normal 34" xfId="1014"/>
    <cellStyle name="Normal 35" xfId="1498"/>
    <cellStyle name="Normal 36" xfId="1500"/>
    <cellStyle name="Normal 37" xfId="1502"/>
    <cellStyle name="Normal 38" xfId="1504"/>
    <cellStyle name="Normal 39" xfId="1506"/>
    <cellStyle name="Normal 4" xfId="76"/>
    <cellStyle name="Normal 4 2" xfId="709"/>
    <cellStyle name="Normal 4 3" xfId="838"/>
    <cellStyle name="Normal 4 4" xfId="625"/>
    <cellStyle name="Normal 4 5" xfId="1531"/>
    <cellStyle name="Normal 40" xfId="1508"/>
    <cellStyle name="Normal 41" xfId="1510"/>
    <cellStyle name="Normal 42" xfId="1512"/>
    <cellStyle name="Normal 43" xfId="1514"/>
    <cellStyle name="Normal 44" xfId="1516"/>
    <cellStyle name="Normal 45" xfId="1518"/>
    <cellStyle name="Normal 46" xfId="1520"/>
    <cellStyle name="Normal 47" xfId="103"/>
    <cellStyle name="Normal 48" xfId="1524"/>
    <cellStyle name="Normal 5" xfId="77"/>
    <cellStyle name="Normal 5 2" xfId="78"/>
    <cellStyle name="Normal 5 2 2" xfId="1522"/>
    <cellStyle name="Normal 5 2 3" xfId="79"/>
    <cellStyle name="Normal 5 2 3 2" xfId="97"/>
    <cellStyle name="Normal 5 2 3 3" xfId="100"/>
    <cellStyle name="Normal 5 2 4" xfId="844"/>
    <cellStyle name="Normal 5 3" xfId="840"/>
    <cellStyle name="Normal 5 4" xfId="626"/>
    <cellStyle name="Normal 6" xfId="80"/>
    <cellStyle name="Normal 6 2" xfId="843"/>
    <cellStyle name="Normal 6 3" xfId="627"/>
    <cellStyle name="Normal 7" xfId="81"/>
    <cellStyle name="Normal 7 2" xfId="628"/>
    <cellStyle name="Normal 8" xfId="101"/>
    <cellStyle name="Normal 8 2" xfId="629"/>
    <cellStyle name="Normal 9" xfId="630"/>
    <cellStyle name="Note 10" xfId="631"/>
    <cellStyle name="Note 11" xfId="632"/>
    <cellStyle name="Note 12" xfId="633"/>
    <cellStyle name="Note 13" xfId="634"/>
    <cellStyle name="Note 14" xfId="635"/>
    <cellStyle name="Note 15" xfId="636"/>
    <cellStyle name="Note 16" xfId="853"/>
    <cellStyle name="Note 2" xfId="82"/>
    <cellStyle name="Note 2 2" xfId="811"/>
    <cellStyle name="Note 2 3" xfId="637"/>
    <cellStyle name="Note 3" xfId="638"/>
    <cellStyle name="Note 4" xfId="639"/>
    <cellStyle name="Note 5" xfId="640"/>
    <cellStyle name="Note 6" xfId="641"/>
    <cellStyle name="Note 7" xfId="642"/>
    <cellStyle name="Note 8" xfId="643"/>
    <cellStyle name="Note 9" xfId="644"/>
    <cellStyle name="Output 10" xfId="645"/>
    <cellStyle name="Output 11" xfId="646"/>
    <cellStyle name="Output 12" xfId="647"/>
    <cellStyle name="Output 13" xfId="648"/>
    <cellStyle name="Output 14" xfId="649"/>
    <cellStyle name="Output 15" xfId="650"/>
    <cellStyle name="Output 16" xfId="850"/>
    <cellStyle name="Output 2" xfId="83"/>
    <cellStyle name="Output 2 2" xfId="806"/>
    <cellStyle name="Output 2 3" xfId="651"/>
    <cellStyle name="Output 3" xfId="652"/>
    <cellStyle name="Output 4" xfId="653"/>
    <cellStyle name="Output 5" xfId="654"/>
    <cellStyle name="Output 6" xfId="655"/>
    <cellStyle name="Output 7" xfId="656"/>
    <cellStyle name="Output 8" xfId="657"/>
    <cellStyle name="Output 9" xfId="658"/>
    <cellStyle name="Percent" xfId="2" builtinId="5"/>
    <cellStyle name="Percent [2]" xfId="84"/>
    <cellStyle name="Percent 10" xfId="932"/>
    <cellStyle name="Percent 11" xfId="939"/>
    <cellStyle name="Percent 12" xfId="1017"/>
    <cellStyle name="Percent 13" xfId="1001"/>
    <cellStyle name="Percent 14" xfId="1005"/>
    <cellStyle name="Percent 15" xfId="994"/>
    <cellStyle name="Percent 16" xfId="1490"/>
    <cellStyle name="Percent 17" xfId="1010"/>
    <cellStyle name="Percent 18" xfId="1019"/>
    <cellStyle name="Percent 19" xfId="996"/>
    <cellStyle name="Percent 2" xfId="85"/>
    <cellStyle name="Percent 2 2" xfId="710"/>
    <cellStyle name="Percent 2 2 2" xfId="722"/>
    <cellStyle name="Percent 2 2 2 2" xfId="759"/>
    <cellStyle name="Percent 2 2 2 2 2" xfId="914"/>
    <cellStyle name="Percent 2 2 2 2 2 2" xfId="1245"/>
    <cellStyle name="Percent 2 2 2 2 2 2 2" xfId="1478"/>
    <cellStyle name="Percent 2 2 2 2 2 3" xfId="1362"/>
    <cellStyle name="Percent 2 2 2 2 2 4" xfId="1126"/>
    <cellStyle name="Percent 2 2 2 2 3" xfId="984"/>
    <cellStyle name="Percent 2 2 2 2 3 2" xfId="1422"/>
    <cellStyle name="Percent 2 2 2 2 3 3" xfId="1189"/>
    <cellStyle name="Percent 2 2 2 2 4" xfId="1306"/>
    <cellStyle name="Percent 2 2 2 2 5" xfId="1069"/>
    <cellStyle name="Percent 2 2 2 3" xfId="881"/>
    <cellStyle name="Percent 2 2 2 3 2" xfId="1215"/>
    <cellStyle name="Percent 2 2 2 3 2 2" xfId="1448"/>
    <cellStyle name="Percent 2 2 2 3 3" xfId="1332"/>
    <cellStyle name="Percent 2 2 2 3 4" xfId="1096"/>
    <cellStyle name="Percent 2 2 2 4" xfId="954"/>
    <cellStyle name="Percent 2 2 2 4 2" xfId="1396"/>
    <cellStyle name="Percent 2 2 2 4 3" xfId="1163"/>
    <cellStyle name="Percent 2 2 2 5" xfId="1280"/>
    <cellStyle name="Percent 2 2 2 6" xfId="1043"/>
    <cellStyle name="Percent 2 2 3" xfId="730"/>
    <cellStyle name="Percent 2 2 3 2" xfId="767"/>
    <cellStyle name="Percent 2 2 3 2 2" xfId="922"/>
    <cellStyle name="Percent 2 2 3 2 2 2" xfId="1253"/>
    <cellStyle name="Percent 2 2 3 2 2 2 2" xfId="1486"/>
    <cellStyle name="Percent 2 2 3 2 2 3" xfId="1370"/>
    <cellStyle name="Percent 2 2 3 2 2 4" xfId="1134"/>
    <cellStyle name="Percent 2 2 3 2 3" xfId="992"/>
    <cellStyle name="Percent 2 2 3 2 3 2" xfId="1430"/>
    <cellStyle name="Percent 2 2 3 2 3 3" xfId="1197"/>
    <cellStyle name="Percent 2 2 3 2 4" xfId="1314"/>
    <cellStyle name="Percent 2 2 3 2 5" xfId="1077"/>
    <cellStyle name="Percent 2 2 3 3" xfId="889"/>
    <cellStyle name="Percent 2 2 3 3 2" xfId="1223"/>
    <cellStyle name="Percent 2 2 3 3 2 2" xfId="1456"/>
    <cellStyle name="Percent 2 2 3 3 3" xfId="1340"/>
    <cellStyle name="Percent 2 2 3 3 4" xfId="1104"/>
    <cellStyle name="Percent 2 2 3 4" xfId="962"/>
    <cellStyle name="Percent 2 2 3 4 2" xfId="1404"/>
    <cellStyle name="Percent 2 2 3 4 3" xfId="1171"/>
    <cellStyle name="Percent 2 2 3 5" xfId="1288"/>
    <cellStyle name="Percent 2 2 3 6" xfId="1051"/>
    <cellStyle name="Percent 2 2 4" xfId="751"/>
    <cellStyle name="Percent 2 2 4 2" xfId="906"/>
    <cellStyle name="Percent 2 2 4 2 2" xfId="1237"/>
    <cellStyle name="Percent 2 2 4 2 2 2" xfId="1470"/>
    <cellStyle name="Percent 2 2 4 2 3" xfId="1354"/>
    <cellStyle name="Percent 2 2 4 2 4" xfId="1118"/>
    <cellStyle name="Percent 2 2 4 3" xfId="976"/>
    <cellStyle name="Percent 2 2 4 3 2" xfId="1414"/>
    <cellStyle name="Percent 2 2 4 3 3" xfId="1181"/>
    <cellStyle name="Percent 2 2 4 4" xfId="1298"/>
    <cellStyle name="Percent 2 2 4 5" xfId="1061"/>
    <cellStyle name="Percent 2 2 5" xfId="873"/>
    <cellStyle name="Percent 2 2 5 2" xfId="1207"/>
    <cellStyle name="Percent 2 2 5 2 2" xfId="1440"/>
    <cellStyle name="Percent 2 2 5 3" xfId="1324"/>
    <cellStyle name="Percent 2 2 5 4" xfId="1088"/>
    <cellStyle name="Percent 2 2 6" xfId="946"/>
    <cellStyle name="Percent 2 2 6 2" xfId="1388"/>
    <cellStyle name="Percent 2 2 6 3" xfId="1155"/>
    <cellStyle name="Percent 2 2 7" xfId="1272"/>
    <cellStyle name="Percent 2 2 8" xfId="1035"/>
    <cellStyle name="Percent 2 3" xfId="715"/>
    <cellStyle name="Percent 2 3 2" xfId="723"/>
    <cellStyle name="Percent 2 3 2 2" xfId="760"/>
    <cellStyle name="Percent 2 3 2 2 2" xfId="915"/>
    <cellStyle name="Percent 2 3 2 2 2 2" xfId="1246"/>
    <cellStyle name="Percent 2 3 2 2 2 2 2" xfId="1479"/>
    <cellStyle name="Percent 2 3 2 2 2 3" xfId="1363"/>
    <cellStyle name="Percent 2 3 2 2 2 4" xfId="1127"/>
    <cellStyle name="Percent 2 3 2 2 3" xfId="985"/>
    <cellStyle name="Percent 2 3 2 2 3 2" xfId="1423"/>
    <cellStyle name="Percent 2 3 2 2 3 3" xfId="1190"/>
    <cellStyle name="Percent 2 3 2 2 4" xfId="1307"/>
    <cellStyle name="Percent 2 3 2 2 5" xfId="1070"/>
    <cellStyle name="Percent 2 3 2 3" xfId="882"/>
    <cellStyle name="Percent 2 3 2 3 2" xfId="1216"/>
    <cellStyle name="Percent 2 3 2 3 2 2" xfId="1449"/>
    <cellStyle name="Percent 2 3 2 3 3" xfId="1333"/>
    <cellStyle name="Percent 2 3 2 3 4" xfId="1097"/>
    <cellStyle name="Percent 2 3 2 4" xfId="955"/>
    <cellStyle name="Percent 2 3 2 4 2" xfId="1397"/>
    <cellStyle name="Percent 2 3 2 4 3" xfId="1164"/>
    <cellStyle name="Percent 2 3 2 5" xfId="1281"/>
    <cellStyle name="Percent 2 3 2 6" xfId="1044"/>
    <cellStyle name="Percent 2 3 3" xfId="731"/>
    <cellStyle name="Percent 2 3 3 2" xfId="768"/>
    <cellStyle name="Percent 2 3 3 2 2" xfId="923"/>
    <cellStyle name="Percent 2 3 3 2 2 2" xfId="1254"/>
    <cellStyle name="Percent 2 3 3 2 2 2 2" xfId="1487"/>
    <cellStyle name="Percent 2 3 3 2 2 3" xfId="1371"/>
    <cellStyle name="Percent 2 3 3 2 2 4" xfId="1135"/>
    <cellStyle name="Percent 2 3 3 2 3" xfId="993"/>
    <cellStyle name="Percent 2 3 3 2 3 2" xfId="1431"/>
    <cellStyle name="Percent 2 3 3 2 3 3" xfId="1198"/>
    <cellStyle name="Percent 2 3 3 2 4" xfId="1315"/>
    <cellStyle name="Percent 2 3 3 2 5" xfId="1078"/>
    <cellStyle name="Percent 2 3 3 3" xfId="890"/>
    <cellStyle name="Percent 2 3 3 3 2" xfId="1224"/>
    <cellStyle name="Percent 2 3 3 3 2 2" xfId="1457"/>
    <cellStyle name="Percent 2 3 3 3 3" xfId="1341"/>
    <cellStyle name="Percent 2 3 3 3 4" xfId="1105"/>
    <cellStyle name="Percent 2 3 3 4" xfId="963"/>
    <cellStyle name="Percent 2 3 3 4 2" xfId="1405"/>
    <cellStyle name="Percent 2 3 3 4 3" xfId="1172"/>
    <cellStyle name="Percent 2 3 3 5" xfId="1289"/>
    <cellStyle name="Percent 2 3 3 6" xfId="1052"/>
    <cellStyle name="Percent 2 3 4" xfId="752"/>
    <cellStyle name="Percent 2 3 4 2" xfId="907"/>
    <cellStyle name="Percent 2 3 4 2 2" xfId="1238"/>
    <cellStyle name="Percent 2 3 4 2 2 2" xfId="1471"/>
    <cellStyle name="Percent 2 3 4 2 3" xfId="1355"/>
    <cellStyle name="Percent 2 3 4 2 4" xfId="1119"/>
    <cellStyle name="Percent 2 3 4 3" xfId="977"/>
    <cellStyle name="Percent 2 3 4 3 2" xfId="1415"/>
    <cellStyle name="Percent 2 3 4 3 3" xfId="1182"/>
    <cellStyle name="Percent 2 3 4 4" xfId="1299"/>
    <cellStyle name="Percent 2 3 4 5" xfId="1062"/>
    <cellStyle name="Percent 2 3 5" xfId="874"/>
    <cellStyle name="Percent 2 3 5 2" xfId="1208"/>
    <cellStyle name="Percent 2 3 5 2 2" xfId="1441"/>
    <cellStyle name="Percent 2 3 5 3" xfId="1325"/>
    <cellStyle name="Percent 2 3 5 4" xfId="1089"/>
    <cellStyle name="Percent 2 3 6" xfId="947"/>
    <cellStyle name="Percent 2 3 6 2" xfId="1389"/>
    <cellStyle name="Percent 2 3 6 3" xfId="1156"/>
    <cellStyle name="Percent 2 3 7" xfId="1273"/>
    <cellStyle name="Percent 2 3 8" xfId="1036"/>
    <cellStyle name="Percent 2 4" xfId="1491"/>
    <cellStyle name="Percent 2 5" xfId="660"/>
    <cellStyle name="Percent 20" xfId="995"/>
    <cellStyle name="Percent 21" xfId="997"/>
    <cellStyle name="Percent 22" xfId="1008"/>
    <cellStyle name="Percent 23" xfId="1492"/>
    <cellStyle name="Percent 24" xfId="1011"/>
    <cellStyle name="Percent 25" xfId="1494"/>
    <cellStyle name="Percent 26" xfId="1021"/>
    <cellStyle name="Percent 27" xfId="998"/>
    <cellStyle name="Percent 28" xfId="1007"/>
    <cellStyle name="Percent 29" xfId="1496"/>
    <cellStyle name="Percent 3" xfId="86"/>
    <cellStyle name="Percent 3 2" xfId="87"/>
    <cellStyle name="Percent 3 2 2" xfId="846"/>
    <cellStyle name="Percent 3 2 3" xfId="99"/>
    <cellStyle name="Percent 3 2 4" xfId="711"/>
    <cellStyle name="Percent 3 3" xfId="735"/>
    <cellStyle name="Percent 3 4" xfId="842"/>
    <cellStyle name="Percent 3 5" xfId="661"/>
    <cellStyle name="Percent 30" xfId="1018"/>
    <cellStyle name="Percent 31" xfId="1020"/>
    <cellStyle name="Percent 32" xfId="1009"/>
    <cellStyle name="Percent 33" xfId="1495"/>
    <cellStyle name="Percent 34" xfId="1003"/>
    <cellStyle name="Percent 35" xfId="1493"/>
    <cellStyle name="Percent 36" xfId="1497"/>
    <cellStyle name="Percent 37" xfId="1499"/>
    <cellStyle name="Percent 38" xfId="1501"/>
    <cellStyle name="Percent 39" xfId="1503"/>
    <cellStyle name="Percent 4" xfId="88"/>
    <cellStyle name="Percent 4 2" xfId="864"/>
    <cellStyle name="Percent 4 3" xfId="712"/>
    <cellStyle name="Percent 40" xfId="1505"/>
    <cellStyle name="Percent 41" xfId="1507"/>
    <cellStyle name="Percent 42" xfId="1509"/>
    <cellStyle name="Percent 43" xfId="1511"/>
    <cellStyle name="Percent 44" xfId="1513"/>
    <cellStyle name="Percent 45" xfId="1515"/>
    <cellStyle name="Percent 46" xfId="1517"/>
    <cellStyle name="Percent 47" xfId="1519"/>
    <cellStyle name="Percent 48" xfId="1521"/>
    <cellStyle name="Percent 49" xfId="659"/>
    <cellStyle name="Percent 5" xfId="89"/>
    <cellStyle name="Percent 5 2" xfId="744"/>
    <cellStyle name="Percent 6" xfId="739"/>
    <cellStyle name="Percent 6 2" xfId="896"/>
    <cellStyle name="Percent 6 2 2" xfId="1461"/>
    <cellStyle name="Percent 6 2 3" xfId="1228"/>
    <cellStyle name="Percent 6 3" xfId="967"/>
    <cellStyle name="Percent 6 3 2" xfId="1345"/>
    <cellStyle name="Percent 6 4" xfId="1109"/>
    <cellStyle name="Percent 7" xfId="929"/>
    <cellStyle name="Percent 7 2" xfId="1142"/>
    <cellStyle name="Percent 8" xfId="930"/>
    <cellStyle name="Percent 8 2" xfId="1258"/>
    <cellStyle name="Percent 9" xfId="933"/>
    <cellStyle name="Style 23" xfId="3"/>
    <cellStyle name="Style 23 2" xfId="714"/>
    <cellStyle name="Style 23 3" xfId="713"/>
    <cellStyle name="STYLE1" xfId="90"/>
    <cellStyle name="STYLE2" xfId="91"/>
    <cellStyle name="STYLE4" xfId="92"/>
    <cellStyle name="Subtotal" xfId="93"/>
    <cellStyle name="Title 2" xfId="94"/>
    <cellStyle name="Title 2 2" xfId="1022"/>
    <cellStyle name="Title 3" xfId="793"/>
    <cellStyle name="Total 10" xfId="662"/>
    <cellStyle name="Total 11" xfId="663"/>
    <cellStyle name="Total 12" xfId="664"/>
    <cellStyle name="Total 13" xfId="665"/>
    <cellStyle name="Total 14" xfId="666"/>
    <cellStyle name="Total 15" xfId="667"/>
    <cellStyle name="Total 16" xfId="794"/>
    <cellStyle name="Total 2" xfId="95"/>
    <cellStyle name="Total 2 2" xfId="813"/>
    <cellStyle name="Total 2 3" xfId="668"/>
    <cellStyle name="Total 3" xfId="669"/>
    <cellStyle name="Total 4" xfId="670"/>
    <cellStyle name="Total 5" xfId="671"/>
    <cellStyle name="Total 6" xfId="672"/>
    <cellStyle name="Total 7" xfId="673"/>
    <cellStyle name="Total 8" xfId="674"/>
    <cellStyle name="Total 9" xfId="675"/>
    <cellStyle name="Warning Text 10" xfId="676"/>
    <cellStyle name="Warning Text 11" xfId="677"/>
    <cellStyle name="Warning Text 12" xfId="678"/>
    <cellStyle name="Warning Text 13" xfId="679"/>
    <cellStyle name="Warning Text 14" xfId="680"/>
    <cellStyle name="Warning Text 15" xfId="681"/>
    <cellStyle name="Warning Text 16" xfId="795"/>
    <cellStyle name="Warning Text 2" xfId="96"/>
    <cellStyle name="Warning Text 2 2" xfId="810"/>
    <cellStyle name="Warning Text 2 3" xfId="682"/>
    <cellStyle name="Warning Text 3" xfId="683"/>
    <cellStyle name="Warning Text 4" xfId="684"/>
    <cellStyle name="Warning Text 5" xfId="685"/>
    <cellStyle name="Warning Text 6" xfId="686"/>
    <cellStyle name="Warning Text 7" xfId="687"/>
    <cellStyle name="Warning Text 8" xfId="688"/>
    <cellStyle name="Warning Text 9" xfId="689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AE152"/>
  <sheetViews>
    <sheetView showGridLines="0" zoomScale="90" zoomScaleNormal="90" workbookViewId="0">
      <selection activeCell="K9" sqref="K9"/>
    </sheetView>
  </sheetViews>
  <sheetFormatPr defaultRowHeight="13.2"/>
  <cols>
    <col min="1" max="3" width="14.5546875" style="61" customWidth="1"/>
    <col min="4" max="6" width="14.5546875" style="64" customWidth="1"/>
    <col min="7" max="8" width="14.5546875" style="61" customWidth="1"/>
    <col min="9" max="18" width="14" style="61" customWidth="1"/>
    <col min="19" max="19" width="14.5546875" style="62" bestFit="1" customWidth="1"/>
    <col min="20" max="20" width="12.109375" style="62" bestFit="1" customWidth="1"/>
    <col min="21" max="30" width="14" style="61" customWidth="1"/>
    <col min="31" max="32" width="13.33203125" style="61" customWidth="1"/>
    <col min="33" max="257" width="9.109375" style="61"/>
    <col min="258" max="258" width="31" style="61" customWidth="1"/>
    <col min="259" max="259" width="18.5546875" style="61" customWidth="1"/>
    <col min="260" max="260" width="3.88671875" style="61" customWidth="1"/>
    <col min="261" max="261" width="18.6640625" style="61" customWidth="1"/>
    <col min="262" max="270" width="14" style="61" customWidth="1"/>
    <col min="271" max="271" width="13" style="61" bestFit="1" customWidth="1"/>
    <col min="272" max="272" width="14.5546875" style="61" bestFit="1" customWidth="1"/>
    <col min="273" max="273" width="12.109375" style="61" bestFit="1" customWidth="1"/>
    <col min="274" max="284" width="14" style="61" customWidth="1"/>
    <col min="285" max="288" width="13.33203125" style="61" customWidth="1"/>
    <col min="289" max="513" width="9.109375" style="61"/>
    <col min="514" max="514" width="31" style="61" customWidth="1"/>
    <col min="515" max="515" width="18.5546875" style="61" customWidth="1"/>
    <col min="516" max="516" width="3.88671875" style="61" customWidth="1"/>
    <col min="517" max="517" width="18.6640625" style="61" customWidth="1"/>
    <col min="518" max="526" width="14" style="61" customWidth="1"/>
    <col min="527" max="527" width="13" style="61" bestFit="1" customWidth="1"/>
    <col min="528" max="528" width="14.5546875" style="61" bestFit="1" customWidth="1"/>
    <col min="529" max="529" width="12.109375" style="61" bestFit="1" customWidth="1"/>
    <col min="530" max="540" width="14" style="61" customWidth="1"/>
    <col min="541" max="544" width="13.33203125" style="61" customWidth="1"/>
    <col min="545" max="769" width="9.109375" style="61"/>
    <col min="770" max="770" width="31" style="61" customWidth="1"/>
    <col min="771" max="771" width="18.5546875" style="61" customWidth="1"/>
    <col min="772" max="772" width="3.88671875" style="61" customWidth="1"/>
    <col min="773" max="773" width="18.6640625" style="61" customWidth="1"/>
    <col min="774" max="782" width="14" style="61" customWidth="1"/>
    <col min="783" max="783" width="13" style="61" bestFit="1" customWidth="1"/>
    <col min="784" max="784" width="14.5546875" style="61" bestFit="1" customWidth="1"/>
    <col min="785" max="785" width="12.109375" style="61" bestFit="1" customWidth="1"/>
    <col min="786" max="796" width="14" style="61" customWidth="1"/>
    <col min="797" max="800" width="13.33203125" style="61" customWidth="1"/>
    <col min="801" max="1025" width="9.109375" style="61"/>
    <col min="1026" max="1026" width="31" style="61" customWidth="1"/>
    <col min="1027" max="1027" width="18.5546875" style="61" customWidth="1"/>
    <col min="1028" max="1028" width="3.88671875" style="61" customWidth="1"/>
    <col min="1029" max="1029" width="18.6640625" style="61" customWidth="1"/>
    <col min="1030" max="1038" width="14" style="61" customWidth="1"/>
    <col min="1039" max="1039" width="13" style="61" bestFit="1" customWidth="1"/>
    <col min="1040" max="1040" width="14.5546875" style="61" bestFit="1" customWidth="1"/>
    <col min="1041" max="1041" width="12.109375" style="61" bestFit="1" customWidth="1"/>
    <col min="1042" max="1052" width="14" style="61" customWidth="1"/>
    <col min="1053" max="1056" width="13.33203125" style="61" customWidth="1"/>
    <col min="1057" max="1281" width="9.109375" style="61"/>
    <col min="1282" max="1282" width="31" style="61" customWidth="1"/>
    <col min="1283" max="1283" width="18.5546875" style="61" customWidth="1"/>
    <col min="1284" max="1284" width="3.88671875" style="61" customWidth="1"/>
    <col min="1285" max="1285" width="18.6640625" style="61" customWidth="1"/>
    <col min="1286" max="1294" width="14" style="61" customWidth="1"/>
    <col min="1295" max="1295" width="13" style="61" bestFit="1" customWidth="1"/>
    <col min="1296" max="1296" width="14.5546875" style="61" bestFit="1" customWidth="1"/>
    <col min="1297" max="1297" width="12.109375" style="61" bestFit="1" customWidth="1"/>
    <col min="1298" max="1308" width="14" style="61" customWidth="1"/>
    <col min="1309" max="1312" width="13.33203125" style="61" customWidth="1"/>
    <col min="1313" max="1537" width="9.109375" style="61"/>
    <col min="1538" max="1538" width="31" style="61" customWidth="1"/>
    <col min="1539" max="1539" width="18.5546875" style="61" customWidth="1"/>
    <col min="1540" max="1540" width="3.88671875" style="61" customWidth="1"/>
    <col min="1541" max="1541" width="18.6640625" style="61" customWidth="1"/>
    <col min="1542" max="1550" width="14" style="61" customWidth="1"/>
    <col min="1551" max="1551" width="13" style="61" bestFit="1" customWidth="1"/>
    <col min="1552" max="1552" width="14.5546875" style="61" bestFit="1" customWidth="1"/>
    <col min="1553" max="1553" width="12.109375" style="61" bestFit="1" customWidth="1"/>
    <col min="1554" max="1564" width="14" style="61" customWidth="1"/>
    <col min="1565" max="1568" width="13.33203125" style="61" customWidth="1"/>
    <col min="1569" max="1793" width="9.109375" style="61"/>
    <col min="1794" max="1794" width="31" style="61" customWidth="1"/>
    <col min="1795" max="1795" width="18.5546875" style="61" customWidth="1"/>
    <col min="1796" max="1796" width="3.88671875" style="61" customWidth="1"/>
    <col min="1797" max="1797" width="18.6640625" style="61" customWidth="1"/>
    <col min="1798" max="1806" width="14" style="61" customWidth="1"/>
    <col min="1807" max="1807" width="13" style="61" bestFit="1" customWidth="1"/>
    <col min="1808" max="1808" width="14.5546875" style="61" bestFit="1" customWidth="1"/>
    <col min="1809" max="1809" width="12.109375" style="61" bestFit="1" customWidth="1"/>
    <col min="1810" max="1820" width="14" style="61" customWidth="1"/>
    <col min="1821" max="1824" width="13.33203125" style="61" customWidth="1"/>
    <col min="1825" max="2049" width="9.109375" style="61"/>
    <col min="2050" max="2050" width="31" style="61" customWidth="1"/>
    <col min="2051" max="2051" width="18.5546875" style="61" customWidth="1"/>
    <col min="2052" max="2052" width="3.88671875" style="61" customWidth="1"/>
    <col min="2053" max="2053" width="18.6640625" style="61" customWidth="1"/>
    <col min="2054" max="2062" width="14" style="61" customWidth="1"/>
    <col min="2063" max="2063" width="13" style="61" bestFit="1" customWidth="1"/>
    <col min="2064" max="2064" width="14.5546875" style="61" bestFit="1" customWidth="1"/>
    <col min="2065" max="2065" width="12.109375" style="61" bestFit="1" customWidth="1"/>
    <col min="2066" max="2076" width="14" style="61" customWidth="1"/>
    <col min="2077" max="2080" width="13.33203125" style="61" customWidth="1"/>
    <col min="2081" max="2305" width="9.109375" style="61"/>
    <col min="2306" max="2306" width="31" style="61" customWidth="1"/>
    <col min="2307" max="2307" width="18.5546875" style="61" customWidth="1"/>
    <col min="2308" max="2308" width="3.88671875" style="61" customWidth="1"/>
    <col min="2309" max="2309" width="18.6640625" style="61" customWidth="1"/>
    <col min="2310" max="2318" width="14" style="61" customWidth="1"/>
    <col min="2319" max="2319" width="13" style="61" bestFit="1" customWidth="1"/>
    <col min="2320" max="2320" width="14.5546875" style="61" bestFit="1" customWidth="1"/>
    <col min="2321" max="2321" width="12.109375" style="61" bestFit="1" customWidth="1"/>
    <col min="2322" max="2332" width="14" style="61" customWidth="1"/>
    <col min="2333" max="2336" width="13.33203125" style="61" customWidth="1"/>
    <col min="2337" max="2561" width="9.109375" style="61"/>
    <col min="2562" max="2562" width="31" style="61" customWidth="1"/>
    <col min="2563" max="2563" width="18.5546875" style="61" customWidth="1"/>
    <col min="2564" max="2564" width="3.88671875" style="61" customWidth="1"/>
    <col min="2565" max="2565" width="18.6640625" style="61" customWidth="1"/>
    <col min="2566" max="2574" width="14" style="61" customWidth="1"/>
    <col min="2575" max="2575" width="13" style="61" bestFit="1" customWidth="1"/>
    <col min="2576" max="2576" width="14.5546875" style="61" bestFit="1" customWidth="1"/>
    <col min="2577" max="2577" width="12.109375" style="61" bestFit="1" customWidth="1"/>
    <col min="2578" max="2588" width="14" style="61" customWidth="1"/>
    <col min="2589" max="2592" width="13.33203125" style="61" customWidth="1"/>
    <col min="2593" max="2817" width="9.109375" style="61"/>
    <col min="2818" max="2818" width="31" style="61" customWidth="1"/>
    <col min="2819" max="2819" width="18.5546875" style="61" customWidth="1"/>
    <col min="2820" max="2820" width="3.88671875" style="61" customWidth="1"/>
    <col min="2821" max="2821" width="18.6640625" style="61" customWidth="1"/>
    <col min="2822" max="2830" width="14" style="61" customWidth="1"/>
    <col min="2831" max="2831" width="13" style="61" bestFit="1" customWidth="1"/>
    <col min="2832" max="2832" width="14.5546875" style="61" bestFit="1" customWidth="1"/>
    <col min="2833" max="2833" width="12.109375" style="61" bestFit="1" customWidth="1"/>
    <col min="2834" max="2844" width="14" style="61" customWidth="1"/>
    <col min="2845" max="2848" width="13.33203125" style="61" customWidth="1"/>
    <col min="2849" max="3073" width="9.109375" style="61"/>
    <col min="3074" max="3074" width="31" style="61" customWidth="1"/>
    <col min="3075" max="3075" width="18.5546875" style="61" customWidth="1"/>
    <col min="3076" max="3076" width="3.88671875" style="61" customWidth="1"/>
    <col min="3077" max="3077" width="18.6640625" style="61" customWidth="1"/>
    <col min="3078" max="3086" width="14" style="61" customWidth="1"/>
    <col min="3087" max="3087" width="13" style="61" bestFit="1" customWidth="1"/>
    <col min="3088" max="3088" width="14.5546875" style="61" bestFit="1" customWidth="1"/>
    <col min="3089" max="3089" width="12.109375" style="61" bestFit="1" customWidth="1"/>
    <col min="3090" max="3100" width="14" style="61" customWidth="1"/>
    <col min="3101" max="3104" width="13.33203125" style="61" customWidth="1"/>
    <col min="3105" max="3329" width="9.109375" style="61"/>
    <col min="3330" max="3330" width="31" style="61" customWidth="1"/>
    <col min="3331" max="3331" width="18.5546875" style="61" customWidth="1"/>
    <col min="3332" max="3332" width="3.88671875" style="61" customWidth="1"/>
    <col min="3333" max="3333" width="18.6640625" style="61" customWidth="1"/>
    <col min="3334" max="3342" width="14" style="61" customWidth="1"/>
    <col min="3343" max="3343" width="13" style="61" bestFit="1" customWidth="1"/>
    <col min="3344" max="3344" width="14.5546875" style="61" bestFit="1" customWidth="1"/>
    <col min="3345" max="3345" width="12.109375" style="61" bestFit="1" customWidth="1"/>
    <col min="3346" max="3356" width="14" style="61" customWidth="1"/>
    <col min="3357" max="3360" width="13.33203125" style="61" customWidth="1"/>
    <col min="3361" max="3585" width="9.109375" style="61"/>
    <col min="3586" max="3586" width="31" style="61" customWidth="1"/>
    <col min="3587" max="3587" width="18.5546875" style="61" customWidth="1"/>
    <col min="3588" max="3588" width="3.88671875" style="61" customWidth="1"/>
    <col min="3589" max="3589" width="18.6640625" style="61" customWidth="1"/>
    <col min="3590" max="3598" width="14" style="61" customWidth="1"/>
    <col min="3599" max="3599" width="13" style="61" bestFit="1" customWidth="1"/>
    <col min="3600" max="3600" width="14.5546875" style="61" bestFit="1" customWidth="1"/>
    <col min="3601" max="3601" width="12.109375" style="61" bestFit="1" customWidth="1"/>
    <col min="3602" max="3612" width="14" style="61" customWidth="1"/>
    <col min="3613" max="3616" width="13.33203125" style="61" customWidth="1"/>
    <col min="3617" max="3841" width="9.109375" style="61"/>
    <col min="3842" max="3842" width="31" style="61" customWidth="1"/>
    <col min="3843" max="3843" width="18.5546875" style="61" customWidth="1"/>
    <col min="3844" max="3844" width="3.88671875" style="61" customWidth="1"/>
    <col min="3845" max="3845" width="18.6640625" style="61" customWidth="1"/>
    <col min="3846" max="3854" width="14" style="61" customWidth="1"/>
    <col min="3855" max="3855" width="13" style="61" bestFit="1" customWidth="1"/>
    <col min="3856" max="3856" width="14.5546875" style="61" bestFit="1" customWidth="1"/>
    <col min="3857" max="3857" width="12.109375" style="61" bestFit="1" customWidth="1"/>
    <col min="3858" max="3868" width="14" style="61" customWidth="1"/>
    <col min="3869" max="3872" width="13.33203125" style="61" customWidth="1"/>
    <col min="3873" max="4097" width="9.109375" style="61"/>
    <col min="4098" max="4098" width="31" style="61" customWidth="1"/>
    <col min="4099" max="4099" width="18.5546875" style="61" customWidth="1"/>
    <col min="4100" max="4100" width="3.88671875" style="61" customWidth="1"/>
    <col min="4101" max="4101" width="18.6640625" style="61" customWidth="1"/>
    <col min="4102" max="4110" width="14" style="61" customWidth="1"/>
    <col min="4111" max="4111" width="13" style="61" bestFit="1" customWidth="1"/>
    <col min="4112" max="4112" width="14.5546875" style="61" bestFit="1" customWidth="1"/>
    <col min="4113" max="4113" width="12.109375" style="61" bestFit="1" customWidth="1"/>
    <col min="4114" max="4124" width="14" style="61" customWidth="1"/>
    <col min="4125" max="4128" width="13.33203125" style="61" customWidth="1"/>
    <col min="4129" max="4353" width="9.109375" style="61"/>
    <col min="4354" max="4354" width="31" style="61" customWidth="1"/>
    <col min="4355" max="4355" width="18.5546875" style="61" customWidth="1"/>
    <col min="4356" max="4356" width="3.88671875" style="61" customWidth="1"/>
    <col min="4357" max="4357" width="18.6640625" style="61" customWidth="1"/>
    <col min="4358" max="4366" width="14" style="61" customWidth="1"/>
    <col min="4367" max="4367" width="13" style="61" bestFit="1" customWidth="1"/>
    <col min="4368" max="4368" width="14.5546875" style="61" bestFit="1" customWidth="1"/>
    <col min="4369" max="4369" width="12.109375" style="61" bestFit="1" customWidth="1"/>
    <col min="4370" max="4380" width="14" style="61" customWidth="1"/>
    <col min="4381" max="4384" width="13.33203125" style="61" customWidth="1"/>
    <col min="4385" max="4609" width="9.109375" style="61"/>
    <col min="4610" max="4610" width="31" style="61" customWidth="1"/>
    <col min="4611" max="4611" width="18.5546875" style="61" customWidth="1"/>
    <col min="4612" max="4612" width="3.88671875" style="61" customWidth="1"/>
    <col min="4613" max="4613" width="18.6640625" style="61" customWidth="1"/>
    <col min="4614" max="4622" width="14" style="61" customWidth="1"/>
    <col min="4623" max="4623" width="13" style="61" bestFit="1" customWidth="1"/>
    <col min="4624" max="4624" width="14.5546875" style="61" bestFit="1" customWidth="1"/>
    <col min="4625" max="4625" width="12.109375" style="61" bestFit="1" customWidth="1"/>
    <col min="4626" max="4636" width="14" style="61" customWidth="1"/>
    <col min="4637" max="4640" width="13.33203125" style="61" customWidth="1"/>
    <col min="4641" max="4865" width="9.109375" style="61"/>
    <col min="4866" max="4866" width="31" style="61" customWidth="1"/>
    <col min="4867" max="4867" width="18.5546875" style="61" customWidth="1"/>
    <col min="4868" max="4868" width="3.88671875" style="61" customWidth="1"/>
    <col min="4869" max="4869" width="18.6640625" style="61" customWidth="1"/>
    <col min="4870" max="4878" width="14" style="61" customWidth="1"/>
    <col min="4879" max="4879" width="13" style="61" bestFit="1" customWidth="1"/>
    <col min="4880" max="4880" width="14.5546875" style="61" bestFit="1" customWidth="1"/>
    <col min="4881" max="4881" width="12.109375" style="61" bestFit="1" customWidth="1"/>
    <col min="4882" max="4892" width="14" style="61" customWidth="1"/>
    <col min="4893" max="4896" width="13.33203125" style="61" customWidth="1"/>
    <col min="4897" max="5121" width="9.109375" style="61"/>
    <col min="5122" max="5122" width="31" style="61" customWidth="1"/>
    <col min="5123" max="5123" width="18.5546875" style="61" customWidth="1"/>
    <col min="5124" max="5124" width="3.88671875" style="61" customWidth="1"/>
    <col min="5125" max="5125" width="18.6640625" style="61" customWidth="1"/>
    <col min="5126" max="5134" width="14" style="61" customWidth="1"/>
    <col min="5135" max="5135" width="13" style="61" bestFit="1" customWidth="1"/>
    <col min="5136" max="5136" width="14.5546875" style="61" bestFit="1" customWidth="1"/>
    <col min="5137" max="5137" width="12.109375" style="61" bestFit="1" customWidth="1"/>
    <col min="5138" max="5148" width="14" style="61" customWidth="1"/>
    <col min="5149" max="5152" width="13.33203125" style="61" customWidth="1"/>
    <col min="5153" max="5377" width="9.109375" style="61"/>
    <col min="5378" max="5378" width="31" style="61" customWidth="1"/>
    <col min="5379" max="5379" width="18.5546875" style="61" customWidth="1"/>
    <col min="5380" max="5380" width="3.88671875" style="61" customWidth="1"/>
    <col min="5381" max="5381" width="18.6640625" style="61" customWidth="1"/>
    <col min="5382" max="5390" width="14" style="61" customWidth="1"/>
    <col min="5391" max="5391" width="13" style="61" bestFit="1" customWidth="1"/>
    <col min="5392" max="5392" width="14.5546875" style="61" bestFit="1" customWidth="1"/>
    <col min="5393" max="5393" width="12.109375" style="61" bestFit="1" customWidth="1"/>
    <col min="5394" max="5404" width="14" style="61" customWidth="1"/>
    <col min="5405" max="5408" width="13.33203125" style="61" customWidth="1"/>
    <col min="5409" max="5633" width="9.109375" style="61"/>
    <col min="5634" max="5634" width="31" style="61" customWidth="1"/>
    <col min="5635" max="5635" width="18.5546875" style="61" customWidth="1"/>
    <col min="5636" max="5636" width="3.88671875" style="61" customWidth="1"/>
    <col min="5637" max="5637" width="18.6640625" style="61" customWidth="1"/>
    <col min="5638" max="5646" width="14" style="61" customWidth="1"/>
    <col min="5647" max="5647" width="13" style="61" bestFit="1" customWidth="1"/>
    <col min="5648" max="5648" width="14.5546875" style="61" bestFit="1" customWidth="1"/>
    <col min="5649" max="5649" width="12.109375" style="61" bestFit="1" customWidth="1"/>
    <col min="5650" max="5660" width="14" style="61" customWidth="1"/>
    <col min="5661" max="5664" width="13.33203125" style="61" customWidth="1"/>
    <col min="5665" max="5889" width="9.109375" style="61"/>
    <col min="5890" max="5890" width="31" style="61" customWidth="1"/>
    <col min="5891" max="5891" width="18.5546875" style="61" customWidth="1"/>
    <col min="5892" max="5892" width="3.88671875" style="61" customWidth="1"/>
    <col min="5893" max="5893" width="18.6640625" style="61" customWidth="1"/>
    <col min="5894" max="5902" width="14" style="61" customWidth="1"/>
    <col min="5903" max="5903" width="13" style="61" bestFit="1" customWidth="1"/>
    <col min="5904" max="5904" width="14.5546875" style="61" bestFit="1" customWidth="1"/>
    <col min="5905" max="5905" width="12.109375" style="61" bestFit="1" customWidth="1"/>
    <col min="5906" max="5916" width="14" style="61" customWidth="1"/>
    <col min="5917" max="5920" width="13.33203125" style="61" customWidth="1"/>
    <col min="5921" max="6145" width="9.109375" style="61"/>
    <col min="6146" max="6146" width="31" style="61" customWidth="1"/>
    <col min="6147" max="6147" width="18.5546875" style="61" customWidth="1"/>
    <col min="6148" max="6148" width="3.88671875" style="61" customWidth="1"/>
    <col min="6149" max="6149" width="18.6640625" style="61" customWidth="1"/>
    <col min="6150" max="6158" width="14" style="61" customWidth="1"/>
    <col min="6159" max="6159" width="13" style="61" bestFit="1" customWidth="1"/>
    <col min="6160" max="6160" width="14.5546875" style="61" bestFit="1" customWidth="1"/>
    <col min="6161" max="6161" width="12.109375" style="61" bestFit="1" customWidth="1"/>
    <col min="6162" max="6172" width="14" style="61" customWidth="1"/>
    <col min="6173" max="6176" width="13.33203125" style="61" customWidth="1"/>
    <col min="6177" max="6401" width="9.109375" style="61"/>
    <col min="6402" max="6402" width="31" style="61" customWidth="1"/>
    <col min="6403" max="6403" width="18.5546875" style="61" customWidth="1"/>
    <col min="6404" max="6404" width="3.88671875" style="61" customWidth="1"/>
    <col min="6405" max="6405" width="18.6640625" style="61" customWidth="1"/>
    <col min="6406" max="6414" width="14" style="61" customWidth="1"/>
    <col min="6415" max="6415" width="13" style="61" bestFit="1" customWidth="1"/>
    <col min="6416" max="6416" width="14.5546875" style="61" bestFit="1" customWidth="1"/>
    <col min="6417" max="6417" width="12.109375" style="61" bestFit="1" customWidth="1"/>
    <col min="6418" max="6428" width="14" style="61" customWidth="1"/>
    <col min="6429" max="6432" width="13.33203125" style="61" customWidth="1"/>
    <col min="6433" max="6657" width="9.109375" style="61"/>
    <col min="6658" max="6658" width="31" style="61" customWidth="1"/>
    <col min="6659" max="6659" width="18.5546875" style="61" customWidth="1"/>
    <col min="6660" max="6660" width="3.88671875" style="61" customWidth="1"/>
    <col min="6661" max="6661" width="18.6640625" style="61" customWidth="1"/>
    <col min="6662" max="6670" width="14" style="61" customWidth="1"/>
    <col min="6671" max="6671" width="13" style="61" bestFit="1" customWidth="1"/>
    <col min="6672" max="6672" width="14.5546875" style="61" bestFit="1" customWidth="1"/>
    <col min="6673" max="6673" width="12.109375" style="61" bestFit="1" customWidth="1"/>
    <col min="6674" max="6684" width="14" style="61" customWidth="1"/>
    <col min="6685" max="6688" width="13.33203125" style="61" customWidth="1"/>
    <col min="6689" max="6913" width="9.109375" style="61"/>
    <col min="6914" max="6914" width="31" style="61" customWidth="1"/>
    <col min="6915" max="6915" width="18.5546875" style="61" customWidth="1"/>
    <col min="6916" max="6916" width="3.88671875" style="61" customWidth="1"/>
    <col min="6917" max="6917" width="18.6640625" style="61" customWidth="1"/>
    <col min="6918" max="6926" width="14" style="61" customWidth="1"/>
    <col min="6927" max="6927" width="13" style="61" bestFit="1" customWidth="1"/>
    <col min="6928" max="6928" width="14.5546875" style="61" bestFit="1" customWidth="1"/>
    <col min="6929" max="6929" width="12.109375" style="61" bestFit="1" customWidth="1"/>
    <col min="6930" max="6940" width="14" style="61" customWidth="1"/>
    <col min="6941" max="6944" width="13.33203125" style="61" customWidth="1"/>
    <col min="6945" max="7169" width="9.109375" style="61"/>
    <col min="7170" max="7170" width="31" style="61" customWidth="1"/>
    <col min="7171" max="7171" width="18.5546875" style="61" customWidth="1"/>
    <col min="7172" max="7172" width="3.88671875" style="61" customWidth="1"/>
    <col min="7173" max="7173" width="18.6640625" style="61" customWidth="1"/>
    <col min="7174" max="7182" width="14" style="61" customWidth="1"/>
    <col min="7183" max="7183" width="13" style="61" bestFit="1" customWidth="1"/>
    <col min="7184" max="7184" width="14.5546875" style="61" bestFit="1" customWidth="1"/>
    <col min="7185" max="7185" width="12.109375" style="61" bestFit="1" customWidth="1"/>
    <col min="7186" max="7196" width="14" style="61" customWidth="1"/>
    <col min="7197" max="7200" width="13.33203125" style="61" customWidth="1"/>
    <col min="7201" max="7425" width="9.109375" style="61"/>
    <col min="7426" max="7426" width="31" style="61" customWidth="1"/>
    <col min="7427" max="7427" width="18.5546875" style="61" customWidth="1"/>
    <col min="7428" max="7428" width="3.88671875" style="61" customWidth="1"/>
    <col min="7429" max="7429" width="18.6640625" style="61" customWidth="1"/>
    <col min="7430" max="7438" width="14" style="61" customWidth="1"/>
    <col min="7439" max="7439" width="13" style="61" bestFit="1" customWidth="1"/>
    <col min="7440" max="7440" width="14.5546875" style="61" bestFit="1" customWidth="1"/>
    <col min="7441" max="7441" width="12.109375" style="61" bestFit="1" customWidth="1"/>
    <col min="7442" max="7452" width="14" style="61" customWidth="1"/>
    <col min="7453" max="7456" width="13.33203125" style="61" customWidth="1"/>
    <col min="7457" max="7681" width="9.109375" style="61"/>
    <col min="7682" max="7682" width="31" style="61" customWidth="1"/>
    <col min="7683" max="7683" width="18.5546875" style="61" customWidth="1"/>
    <col min="7684" max="7684" width="3.88671875" style="61" customWidth="1"/>
    <col min="7685" max="7685" width="18.6640625" style="61" customWidth="1"/>
    <col min="7686" max="7694" width="14" style="61" customWidth="1"/>
    <col min="7695" max="7695" width="13" style="61" bestFit="1" customWidth="1"/>
    <col min="7696" max="7696" width="14.5546875" style="61" bestFit="1" customWidth="1"/>
    <col min="7697" max="7697" width="12.109375" style="61" bestFit="1" customWidth="1"/>
    <col min="7698" max="7708" width="14" style="61" customWidth="1"/>
    <col min="7709" max="7712" width="13.33203125" style="61" customWidth="1"/>
    <col min="7713" max="7937" width="9.109375" style="61"/>
    <col min="7938" max="7938" width="31" style="61" customWidth="1"/>
    <col min="7939" max="7939" width="18.5546875" style="61" customWidth="1"/>
    <col min="7940" max="7940" width="3.88671875" style="61" customWidth="1"/>
    <col min="7941" max="7941" width="18.6640625" style="61" customWidth="1"/>
    <col min="7942" max="7950" width="14" style="61" customWidth="1"/>
    <col min="7951" max="7951" width="13" style="61" bestFit="1" customWidth="1"/>
    <col min="7952" max="7952" width="14.5546875" style="61" bestFit="1" customWidth="1"/>
    <col min="7953" max="7953" width="12.109375" style="61" bestFit="1" customWidth="1"/>
    <col min="7954" max="7964" width="14" style="61" customWidth="1"/>
    <col min="7965" max="7968" width="13.33203125" style="61" customWidth="1"/>
    <col min="7969" max="8193" width="9.109375" style="61"/>
    <col min="8194" max="8194" width="31" style="61" customWidth="1"/>
    <col min="8195" max="8195" width="18.5546875" style="61" customWidth="1"/>
    <col min="8196" max="8196" width="3.88671875" style="61" customWidth="1"/>
    <col min="8197" max="8197" width="18.6640625" style="61" customWidth="1"/>
    <col min="8198" max="8206" width="14" style="61" customWidth="1"/>
    <col min="8207" max="8207" width="13" style="61" bestFit="1" customWidth="1"/>
    <col min="8208" max="8208" width="14.5546875" style="61" bestFit="1" customWidth="1"/>
    <col min="8209" max="8209" width="12.109375" style="61" bestFit="1" customWidth="1"/>
    <col min="8210" max="8220" width="14" style="61" customWidth="1"/>
    <col min="8221" max="8224" width="13.33203125" style="61" customWidth="1"/>
    <col min="8225" max="8449" width="9.109375" style="61"/>
    <col min="8450" max="8450" width="31" style="61" customWidth="1"/>
    <col min="8451" max="8451" width="18.5546875" style="61" customWidth="1"/>
    <col min="8452" max="8452" width="3.88671875" style="61" customWidth="1"/>
    <col min="8453" max="8453" width="18.6640625" style="61" customWidth="1"/>
    <col min="8454" max="8462" width="14" style="61" customWidth="1"/>
    <col min="8463" max="8463" width="13" style="61" bestFit="1" customWidth="1"/>
    <col min="8464" max="8464" width="14.5546875" style="61" bestFit="1" customWidth="1"/>
    <col min="8465" max="8465" width="12.109375" style="61" bestFit="1" customWidth="1"/>
    <col min="8466" max="8476" width="14" style="61" customWidth="1"/>
    <col min="8477" max="8480" width="13.33203125" style="61" customWidth="1"/>
    <col min="8481" max="8705" width="9.109375" style="61"/>
    <col min="8706" max="8706" width="31" style="61" customWidth="1"/>
    <col min="8707" max="8707" width="18.5546875" style="61" customWidth="1"/>
    <col min="8708" max="8708" width="3.88671875" style="61" customWidth="1"/>
    <col min="8709" max="8709" width="18.6640625" style="61" customWidth="1"/>
    <col min="8710" max="8718" width="14" style="61" customWidth="1"/>
    <col min="8719" max="8719" width="13" style="61" bestFit="1" customWidth="1"/>
    <col min="8720" max="8720" width="14.5546875" style="61" bestFit="1" customWidth="1"/>
    <col min="8721" max="8721" width="12.109375" style="61" bestFit="1" customWidth="1"/>
    <col min="8722" max="8732" width="14" style="61" customWidth="1"/>
    <col min="8733" max="8736" width="13.33203125" style="61" customWidth="1"/>
    <col min="8737" max="8961" width="9.109375" style="61"/>
    <col min="8962" max="8962" width="31" style="61" customWidth="1"/>
    <col min="8963" max="8963" width="18.5546875" style="61" customWidth="1"/>
    <col min="8964" max="8964" width="3.88671875" style="61" customWidth="1"/>
    <col min="8965" max="8965" width="18.6640625" style="61" customWidth="1"/>
    <col min="8966" max="8974" width="14" style="61" customWidth="1"/>
    <col min="8975" max="8975" width="13" style="61" bestFit="1" customWidth="1"/>
    <col min="8976" max="8976" width="14.5546875" style="61" bestFit="1" customWidth="1"/>
    <col min="8977" max="8977" width="12.109375" style="61" bestFit="1" customWidth="1"/>
    <col min="8978" max="8988" width="14" style="61" customWidth="1"/>
    <col min="8989" max="8992" width="13.33203125" style="61" customWidth="1"/>
    <col min="8993" max="9217" width="9.109375" style="61"/>
    <col min="9218" max="9218" width="31" style="61" customWidth="1"/>
    <col min="9219" max="9219" width="18.5546875" style="61" customWidth="1"/>
    <col min="9220" max="9220" width="3.88671875" style="61" customWidth="1"/>
    <col min="9221" max="9221" width="18.6640625" style="61" customWidth="1"/>
    <col min="9222" max="9230" width="14" style="61" customWidth="1"/>
    <col min="9231" max="9231" width="13" style="61" bestFit="1" customWidth="1"/>
    <col min="9232" max="9232" width="14.5546875" style="61" bestFit="1" customWidth="1"/>
    <col min="9233" max="9233" width="12.109375" style="61" bestFit="1" customWidth="1"/>
    <col min="9234" max="9244" width="14" style="61" customWidth="1"/>
    <col min="9245" max="9248" width="13.33203125" style="61" customWidth="1"/>
    <col min="9249" max="9473" width="9.109375" style="61"/>
    <col min="9474" max="9474" width="31" style="61" customWidth="1"/>
    <col min="9475" max="9475" width="18.5546875" style="61" customWidth="1"/>
    <col min="9476" max="9476" width="3.88671875" style="61" customWidth="1"/>
    <col min="9477" max="9477" width="18.6640625" style="61" customWidth="1"/>
    <col min="9478" max="9486" width="14" style="61" customWidth="1"/>
    <col min="9487" max="9487" width="13" style="61" bestFit="1" customWidth="1"/>
    <col min="9488" max="9488" width="14.5546875" style="61" bestFit="1" customWidth="1"/>
    <col min="9489" max="9489" width="12.109375" style="61" bestFit="1" customWidth="1"/>
    <col min="9490" max="9500" width="14" style="61" customWidth="1"/>
    <col min="9501" max="9504" width="13.33203125" style="61" customWidth="1"/>
    <col min="9505" max="9729" width="9.109375" style="61"/>
    <col min="9730" max="9730" width="31" style="61" customWidth="1"/>
    <col min="9731" max="9731" width="18.5546875" style="61" customWidth="1"/>
    <col min="9732" max="9732" width="3.88671875" style="61" customWidth="1"/>
    <col min="9733" max="9733" width="18.6640625" style="61" customWidth="1"/>
    <col min="9734" max="9742" width="14" style="61" customWidth="1"/>
    <col min="9743" max="9743" width="13" style="61" bestFit="1" customWidth="1"/>
    <col min="9744" max="9744" width="14.5546875" style="61" bestFit="1" customWidth="1"/>
    <col min="9745" max="9745" width="12.109375" style="61" bestFit="1" customWidth="1"/>
    <col min="9746" max="9756" width="14" style="61" customWidth="1"/>
    <col min="9757" max="9760" width="13.33203125" style="61" customWidth="1"/>
    <col min="9761" max="9985" width="9.109375" style="61"/>
    <col min="9986" max="9986" width="31" style="61" customWidth="1"/>
    <col min="9987" max="9987" width="18.5546875" style="61" customWidth="1"/>
    <col min="9988" max="9988" width="3.88671875" style="61" customWidth="1"/>
    <col min="9989" max="9989" width="18.6640625" style="61" customWidth="1"/>
    <col min="9990" max="9998" width="14" style="61" customWidth="1"/>
    <col min="9999" max="9999" width="13" style="61" bestFit="1" customWidth="1"/>
    <col min="10000" max="10000" width="14.5546875" style="61" bestFit="1" customWidth="1"/>
    <col min="10001" max="10001" width="12.109375" style="61" bestFit="1" customWidth="1"/>
    <col min="10002" max="10012" width="14" style="61" customWidth="1"/>
    <col min="10013" max="10016" width="13.33203125" style="61" customWidth="1"/>
    <col min="10017" max="10241" width="9.109375" style="61"/>
    <col min="10242" max="10242" width="31" style="61" customWidth="1"/>
    <col min="10243" max="10243" width="18.5546875" style="61" customWidth="1"/>
    <col min="10244" max="10244" width="3.88671875" style="61" customWidth="1"/>
    <col min="10245" max="10245" width="18.6640625" style="61" customWidth="1"/>
    <col min="10246" max="10254" width="14" style="61" customWidth="1"/>
    <col min="10255" max="10255" width="13" style="61" bestFit="1" customWidth="1"/>
    <col min="10256" max="10256" width="14.5546875" style="61" bestFit="1" customWidth="1"/>
    <col min="10257" max="10257" width="12.109375" style="61" bestFit="1" customWidth="1"/>
    <col min="10258" max="10268" width="14" style="61" customWidth="1"/>
    <col min="10269" max="10272" width="13.33203125" style="61" customWidth="1"/>
    <col min="10273" max="10497" width="9.109375" style="61"/>
    <col min="10498" max="10498" width="31" style="61" customWidth="1"/>
    <col min="10499" max="10499" width="18.5546875" style="61" customWidth="1"/>
    <col min="10500" max="10500" width="3.88671875" style="61" customWidth="1"/>
    <col min="10501" max="10501" width="18.6640625" style="61" customWidth="1"/>
    <col min="10502" max="10510" width="14" style="61" customWidth="1"/>
    <col min="10511" max="10511" width="13" style="61" bestFit="1" customWidth="1"/>
    <col min="10512" max="10512" width="14.5546875" style="61" bestFit="1" customWidth="1"/>
    <col min="10513" max="10513" width="12.109375" style="61" bestFit="1" customWidth="1"/>
    <col min="10514" max="10524" width="14" style="61" customWidth="1"/>
    <col min="10525" max="10528" width="13.33203125" style="61" customWidth="1"/>
    <col min="10529" max="10753" width="9.109375" style="61"/>
    <col min="10754" max="10754" width="31" style="61" customWidth="1"/>
    <col min="10755" max="10755" width="18.5546875" style="61" customWidth="1"/>
    <col min="10756" max="10756" width="3.88671875" style="61" customWidth="1"/>
    <col min="10757" max="10757" width="18.6640625" style="61" customWidth="1"/>
    <col min="10758" max="10766" width="14" style="61" customWidth="1"/>
    <col min="10767" max="10767" width="13" style="61" bestFit="1" customWidth="1"/>
    <col min="10768" max="10768" width="14.5546875" style="61" bestFit="1" customWidth="1"/>
    <col min="10769" max="10769" width="12.109375" style="61" bestFit="1" customWidth="1"/>
    <col min="10770" max="10780" width="14" style="61" customWidth="1"/>
    <col min="10781" max="10784" width="13.33203125" style="61" customWidth="1"/>
    <col min="10785" max="11009" width="9.109375" style="61"/>
    <col min="11010" max="11010" width="31" style="61" customWidth="1"/>
    <col min="11011" max="11011" width="18.5546875" style="61" customWidth="1"/>
    <col min="11012" max="11012" width="3.88671875" style="61" customWidth="1"/>
    <col min="11013" max="11013" width="18.6640625" style="61" customWidth="1"/>
    <col min="11014" max="11022" width="14" style="61" customWidth="1"/>
    <col min="11023" max="11023" width="13" style="61" bestFit="1" customWidth="1"/>
    <col min="11024" max="11024" width="14.5546875" style="61" bestFit="1" customWidth="1"/>
    <col min="11025" max="11025" width="12.109375" style="61" bestFit="1" customWidth="1"/>
    <col min="11026" max="11036" width="14" style="61" customWidth="1"/>
    <col min="11037" max="11040" width="13.33203125" style="61" customWidth="1"/>
    <col min="11041" max="11265" width="9.109375" style="61"/>
    <col min="11266" max="11266" width="31" style="61" customWidth="1"/>
    <col min="11267" max="11267" width="18.5546875" style="61" customWidth="1"/>
    <col min="11268" max="11268" width="3.88671875" style="61" customWidth="1"/>
    <col min="11269" max="11269" width="18.6640625" style="61" customWidth="1"/>
    <col min="11270" max="11278" width="14" style="61" customWidth="1"/>
    <col min="11279" max="11279" width="13" style="61" bestFit="1" customWidth="1"/>
    <col min="11280" max="11280" width="14.5546875" style="61" bestFit="1" customWidth="1"/>
    <col min="11281" max="11281" width="12.109375" style="61" bestFit="1" customWidth="1"/>
    <col min="11282" max="11292" width="14" style="61" customWidth="1"/>
    <col min="11293" max="11296" width="13.33203125" style="61" customWidth="1"/>
    <col min="11297" max="11521" width="9.109375" style="61"/>
    <col min="11522" max="11522" width="31" style="61" customWidth="1"/>
    <col min="11523" max="11523" width="18.5546875" style="61" customWidth="1"/>
    <col min="11524" max="11524" width="3.88671875" style="61" customWidth="1"/>
    <col min="11525" max="11525" width="18.6640625" style="61" customWidth="1"/>
    <col min="11526" max="11534" width="14" style="61" customWidth="1"/>
    <col min="11535" max="11535" width="13" style="61" bestFit="1" customWidth="1"/>
    <col min="11536" max="11536" width="14.5546875" style="61" bestFit="1" customWidth="1"/>
    <col min="11537" max="11537" width="12.109375" style="61" bestFit="1" customWidth="1"/>
    <col min="11538" max="11548" width="14" style="61" customWidth="1"/>
    <col min="11549" max="11552" width="13.33203125" style="61" customWidth="1"/>
    <col min="11553" max="11777" width="9.109375" style="61"/>
    <col min="11778" max="11778" width="31" style="61" customWidth="1"/>
    <col min="11779" max="11779" width="18.5546875" style="61" customWidth="1"/>
    <col min="11780" max="11780" width="3.88671875" style="61" customWidth="1"/>
    <col min="11781" max="11781" width="18.6640625" style="61" customWidth="1"/>
    <col min="11782" max="11790" width="14" style="61" customWidth="1"/>
    <col min="11791" max="11791" width="13" style="61" bestFit="1" customWidth="1"/>
    <col min="11792" max="11792" width="14.5546875" style="61" bestFit="1" customWidth="1"/>
    <col min="11793" max="11793" width="12.109375" style="61" bestFit="1" customWidth="1"/>
    <col min="11794" max="11804" width="14" style="61" customWidth="1"/>
    <col min="11805" max="11808" width="13.33203125" style="61" customWidth="1"/>
    <col min="11809" max="12033" width="9.109375" style="61"/>
    <col min="12034" max="12034" width="31" style="61" customWidth="1"/>
    <col min="12035" max="12035" width="18.5546875" style="61" customWidth="1"/>
    <col min="12036" max="12036" width="3.88671875" style="61" customWidth="1"/>
    <col min="12037" max="12037" width="18.6640625" style="61" customWidth="1"/>
    <col min="12038" max="12046" width="14" style="61" customWidth="1"/>
    <col min="12047" max="12047" width="13" style="61" bestFit="1" customWidth="1"/>
    <col min="12048" max="12048" width="14.5546875" style="61" bestFit="1" customWidth="1"/>
    <col min="12049" max="12049" width="12.109375" style="61" bestFit="1" customWidth="1"/>
    <col min="12050" max="12060" width="14" style="61" customWidth="1"/>
    <col min="12061" max="12064" width="13.33203125" style="61" customWidth="1"/>
    <col min="12065" max="12289" width="9.109375" style="61"/>
    <col min="12290" max="12290" width="31" style="61" customWidth="1"/>
    <col min="12291" max="12291" width="18.5546875" style="61" customWidth="1"/>
    <col min="12292" max="12292" width="3.88671875" style="61" customWidth="1"/>
    <col min="12293" max="12293" width="18.6640625" style="61" customWidth="1"/>
    <col min="12294" max="12302" width="14" style="61" customWidth="1"/>
    <col min="12303" max="12303" width="13" style="61" bestFit="1" customWidth="1"/>
    <col min="12304" max="12304" width="14.5546875" style="61" bestFit="1" customWidth="1"/>
    <col min="12305" max="12305" width="12.109375" style="61" bestFit="1" customWidth="1"/>
    <col min="12306" max="12316" width="14" style="61" customWidth="1"/>
    <col min="12317" max="12320" width="13.33203125" style="61" customWidth="1"/>
    <col min="12321" max="12545" width="9.109375" style="61"/>
    <col min="12546" max="12546" width="31" style="61" customWidth="1"/>
    <col min="12547" max="12547" width="18.5546875" style="61" customWidth="1"/>
    <col min="12548" max="12548" width="3.88671875" style="61" customWidth="1"/>
    <col min="12549" max="12549" width="18.6640625" style="61" customWidth="1"/>
    <col min="12550" max="12558" width="14" style="61" customWidth="1"/>
    <col min="12559" max="12559" width="13" style="61" bestFit="1" customWidth="1"/>
    <col min="12560" max="12560" width="14.5546875" style="61" bestFit="1" customWidth="1"/>
    <col min="12561" max="12561" width="12.109375" style="61" bestFit="1" customWidth="1"/>
    <col min="12562" max="12572" width="14" style="61" customWidth="1"/>
    <col min="12573" max="12576" width="13.33203125" style="61" customWidth="1"/>
    <col min="12577" max="12801" width="9.109375" style="61"/>
    <col min="12802" max="12802" width="31" style="61" customWidth="1"/>
    <col min="12803" max="12803" width="18.5546875" style="61" customWidth="1"/>
    <col min="12804" max="12804" width="3.88671875" style="61" customWidth="1"/>
    <col min="12805" max="12805" width="18.6640625" style="61" customWidth="1"/>
    <col min="12806" max="12814" width="14" style="61" customWidth="1"/>
    <col min="12815" max="12815" width="13" style="61" bestFit="1" customWidth="1"/>
    <col min="12816" max="12816" width="14.5546875" style="61" bestFit="1" customWidth="1"/>
    <col min="12817" max="12817" width="12.109375" style="61" bestFit="1" customWidth="1"/>
    <col min="12818" max="12828" width="14" style="61" customWidth="1"/>
    <col min="12829" max="12832" width="13.33203125" style="61" customWidth="1"/>
    <col min="12833" max="13057" width="9.109375" style="61"/>
    <col min="13058" max="13058" width="31" style="61" customWidth="1"/>
    <col min="13059" max="13059" width="18.5546875" style="61" customWidth="1"/>
    <col min="13060" max="13060" width="3.88671875" style="61" customWidth="1"/>
    <col min="13061" max="13061" width="18.6640625" style="61" customWidth="1"/>
    <col min="13062" max="13070" width="14" style="61" customWidth="1"/>
    <col min="13071" max="13071" width="13" style="61" bestFit="1" customWidth="1"/>
    <col min="13072" max="13072" width="14.5546875" style="61" bestFit="1" customWidth="1"/>
    <col min="13073" max="13073" width="12.109375" style="61" bestFit="1" customWidth="1"/>
    <col min="13074" max="13084" width="14" style="61" customWidth="1"/>
    <col min="13085" max="13088" width="13.33203125" style="61" customWidth="1"/>
    <col min="13089" max="13313" width="9.109375" style="61"/>
    <col min="13314" max="13314" width="31" style="61" customWidth="1"/>
    <col min="13315" max="13315" width="18.5546875" style="61" customWidth="1"/>
    <col min="13316" max="13316" width="3.88671875" style="61" customWidth="1"/>
    <col min="13317" max="13317" width="18.6640625" style="61" customWidth="1"/>
    <col min="13318" max="13326" width="14" style="61" customWidth="1"/>
    <col min="13327" max="13327" width="13" style="61" bestFit="1" customWidth="1"/>
    <col min="13328" max="13328" width="14.5546875" style="61" bestFit="1" customWidth="1"/>
    <col min="13329" max="13329" width="12.109375" style="61" bestFit="1" customWidth="1"/>
    <col min="13330" max="13340" width="14" style="61" customWidth="1"/>
    <col min="13341" max="13344" width="13.33203125" style="61" customWidth="1"/>
    <col min="13345" max="13569" width="9.109375" style="61"/>
    <col min="13570" max="13570" width="31" style="61" customWidth="1"/>
    <col min="13571" max="13571" width="18.5546875" style="61" customWidth="1"/>
    <col min="13572" max="13572" width="3.88671875" style="61" customWidth="1"/>
    <col min="13573" max="13573" width="18.6640625" style="61" customWidth="1"/>
    <col min="13574" max="13582" width="14" style="61" customWidth="1"/>
    <col min="13583" max="13583" width="13" style="61" bestFit="1" customWidth="1"/>
    <col min="13584" max="13584" width="14.5546875" style="61" bestFit="1" customWidth="1"/>
    <col min="13585" max="13585" width="12.109375" style="61" bestFit="1" customWidth="1"/>
    <col min="13586" max="13596" width="14" style="61" customWidth="1"/>
    <col min="13597" max="13600" width="13.33203125" style="61" customWidth="1"/>
    <col min="13601" max="13825" width="9.109375" style="61"/>
    <col min="13826" max="13826" width="31" style="61" customWidth="1"/>
    <col min="13827" max="13827" width="18.5546875" style="61" customWidth="1"/>
    <col min="13828" max="13828" width="3.88671875" style="61" customWidth="1"/>
    <col min="13829" max="13829" width="18.6640625" style="61" customWidth="1"/>
    <col min="13830" max="13838" width="14" style="61" customWidth="1"/>
    <col min="13839" max="13839" width="13" style="61" bestFit="1" customWidth="1"/>
    <col min="13840" max="13840" width="14.5546875" style="61" bestFit="1" customWidth="1"/>
    <col min="13841" max="13841" width="12.109375" style="61" bestFit="1" customWidth="1"/>
    <col min="13842" max="13852" width="14" style="61" customWidth="1"/>
    <col min="13853" max="13856" width="13.33203125" style="61" customWidth="1"/>
    <col min="13857" max="14081" width="9.109375" style="61"/>
    <col min="14082" max="14082" width="31" style="61" customWidth="1"/>
    <col min="14083" max="14083" width="18.5546875" style="61" customWidth="1"/>
    <col min="14084" max="14084" width="3.88671875" style="61" customWidth="1"/>
    <col min="14085" max="14085" width="18.6640625" style="61" customWidth="1"/>
    <col min="14086" max="14094" width="14" style="61" customWidth="1"/>
    <col min="14095" max="14095" width="13" style="61" bestFit="1" customWidth="1"/>
    <col min="14096" max="14096" width="14.5546875" style="61" bestFit="1" customWidth="1"/>
    <col min="14097" max="14097" width="12.109375" style="61" bestFit="1" customWidth="1"/>
    <col min="14098" max="14108" width="14" style="61" customWidth="1"/>
    <col min="14109" max="14112" width="13.33203125" style="61" customWidth="1"/>
    <col min="14113" max="14337" width="9.109375" style="61"/>
    <col min="14338" max="14338" width="31" style="61" customWidth="1"/>
    <col min="14339" max="14339" width="18.5546875" style="61" customWidth="1"/>
    <col min="14340" max="14340" width="3.88671875" style="61" customWidth="1"/>
    <col min="14341" max="14341" width="18.6640625" style="61" customWidth="1"/>
    <col min="14342" max="14350" width="14" style="61" customWidth="1"/>
    <col min="14351" max="14351" width="13" style="61" bestFit="1" customWidth="1"/>
    <col min="14352" max="14352" width="14.5546875" style="61" bestFit="1" customWidth="1"/>
    <col min="14353" max="14353" width="12.109375" style="61" bestFit="1" customWidth="1"/>
    <col min="14354" max="14364" width="14" style="61" customWidth="1"/>
    <col min="14365" max="14368" width="13.33203125" style="61" customWidth="1"/>
    <col min="14369" max="14593" width="9.109375" style="61"/>
    <col min="14594" max="14594" width="31" style="61" customWidth="1"/>
    <col min="14595" max="14595" width="18.5546875" style="61" customWidth="1"/>
    <col min="14596" max="14596" width="3.88671875" style="61" customWidth="1"/>
    <col min="14597" max="14597" width="18.6640625" style="61" customWidth="1"/>
    <col min="14598" max="14606" width="14" style="61" customWidth="1"/>
    <col min="14607" max="14607" width="13" style="61" bestFit="1" customWidth="1"/>
    <col min="14608" max="14608" width="14.5546875" style="61" bestFit="1" customWidth="1"/>
    <col min="14609" max="14609" width="12.109375" style="61" bestFit="1" customWidth="1"/>
    <col min="14610" max="14620" width="14" style="61" customWidth="1"/>
    <col min="14621" max="14624" width="13.33203125" style="61" customWidth="1"/>
    <col min="14625" max="14849" width="9.109375" style="61"/>
    <col min="14850" max="14850" width="31" style="61" customWidth="1"/>
    <col min="14851" max="14851" width="18.5546875" style="61" customWidth="1"/>
    <col min="14852" max="14852" width="3.88671875" style="61" customWidth="1"/>
    <col min="14853" max="14853" width="18.6640625" style="61" customWidth="1"/>
    <col min="14854" max="14862" width="14" style="61" customWidth="1"/>
    <col min="14863" max="14863" width="13" style="61" bestFit="1" customWidth="1"/>
    <col min="14864" max="14864" width="14.5546875" style="61" bestFit="1" customWidth="1"/>
    <col min="14865" max="14865" width="12.109375" style="61" bestFit="1" customWidth="1"/>
    <col min="14866" max="14876" width="14" style="61" customWidth="1"/>
    <col min="14877" max="14880" width="13.33203125" style="61" customWidth="1"/>
    <col min="14881" max="15105" width="9.109375" style="61"/>
    <col min="15106" max="15106" width="31" style="61" customWidth="1"/>
    <col min="15107" max="15107" width="18.5546875" style="61" customWidth="1"/>
    <col min="15108" max="15108" width="3.88671875" style="61" customWidth="1"/>
    <col min="15109" max="15109" width="18.6640625" style="61" customWidth="1"/>
    <col min="15110" max="15118" width="14" style="61" customWidth="1"/>
    <col min="15119" max="15119" width="13" style="61" bestFit="1" customWidth="1"/>
    <col min="15120" max="15120" width="14.5546875" style="61" bestFit="1" customWidth="1"/>
    <col min="15121" max="15121" width="12.109375" style="61" bestFit="1" customWidth="1"/>
    <col min="15122" max="15132" width="14" style="61" customWidth="1"/>
    <col min="15133" max="15136" width="13.33203125" style="61" customWidth="1"/>
    <col min="15137" max="15361" width="9.109375" style="61"/>
    <col min="15362" max="15362" width="31" style="61" customWidth="1"/>
    <col min="15363" max="15363" width="18.5546875" style="61" customWidth="1"/>
    <col min="15364" max="15364" width="3.88671875" style="61" customWidth="1"/>
    <col min="15365" max="15365" width="18.6640625" style="61" customWidth="1"/>
    <col min="15366" max="15374" width="14" style="61" customWidth="1"/>
    <col min="15375" max="15375" width="13" style="61" bestFit="1" customWidth="1"/>
    <col min="15376" max="15376" width="14.5546875" style="61" bestFit="1" customWidth="1"/>
    <col min="15377" max="15377" width="12.109375" style="61" bestFit="1" customWidth="1"/>
    <col min="15378" max="15388" width="14" style="61" customWidth="1"/>
    <col min="15389" max="15392" width="13.33203125" style="61" customWidth="1"/>
    <col min="15393" max="15617" width="9.109375" style="61"/>
    <col min="15618" max="15618" width="31" style="61" customWidth="1"/>
    <col min="15619" max="15619" width="18.5546875" style="61" customWidth="1"/>
    <col min="15620" max="15620" width="3.88671875" style="61" customWidth="1"/>
    <col min="15621" max="15621" width="18.6640625" style="61" customWidth="1"/>
    <col min="15622" max="15630" width="14" style="61" customWidth="1"/>
    <col min="15631" max="15631" width="13" style="61" bestFit="1" customWidth="1"/>
    <col min="15632" max="15632" width="14.5546875" style="61" bestFit="1" customWidth="1"/>
    <col min="15633" max="15633" width="12.109375" style="61" bestFit="1" customWidth="1"/>
    <col min="15634" max="15644" width="14" style="61" customWidth="1"/>
    <col min="15645" max="15648" width="13.33203125" style="61" customWidth="1"/>
    <col min="15649" max="15873" width="9.109375" style="61"/>
    <col min="15874" max="15874" width="31" style="61" customWidth="1"/>
    <col min="15875" max="15875" width="18.5546875" style="61" customWidth="1"/>
    <col min="15876" max="15876" width="3.88671875" style="61" customWidth="1"/>
    <col min="15877" max="15877" width="18.6640625" style="61" customWidth="1"/>
    <col min="15878" max="15886" width="14" style="61" customWidth="1"/>
    <col min="15887" max="15887" width="13" style="61" bestFit="1" customWidth="1"/>
    <col min="15888" max="15888" width="14.5546875" style="61" bestFit="1" customWidth="1"/>
    <col min="15889" max="15889" width="12.109375" style="61" bestFit="1" customWidth="1"/>
    <col min="15890" max="15900" width="14" style="61" customWidth="1"/>
    <col min="15901" max="15904" width="13.33203125" style="61" customWidth="1"/>
    <col min="15905" max="16129" width="9.109375" style="61"/>
    <col min="16130" max="16130" width="31" style="61" customWidth="1"/>
    <col min="16131" max="16131" width="18.5546875" style="61" customWidth="1"/>
    <col min="16132" max="16132" width="3.88671875" style="61" customWidth="1"/>
    <col min="16133" max="16133" width="18.6640625" style="61" customWidth="1"/>
    <col min="16134" max="16142" width="14" style="61" customWidth="1"/>
    <col min="16143" max="16143" width="13" style="61" bestFit="1" customWidth="1"/>
    <col min="16144" max="16144" width="14.5546875" style="61" bestFit="1" customWidth="1"/>
    <col min="16145" max="16145" width="12.109375" style="61" bestFit="1" customWidth="1"/>
    <col min="16146" max="16156" width="14" style="61" customWidth="1"/>
    <col min="16157" max="16160" width="13.33203125" style="61" customWidth="1"/>
    <col min="16161" max="16384" width="9.109375" style="61"/>
  </cols>
  <sheetData>
    <row r="1" spans="1:27">
      <c r="D1" s="61"/>
      <c r="E1" s="61"/>
      <c r="F1" s="61"/>
    </row>
    <row r="2" spans="1:27">
      <c r="D2" s="61"/>
      <c r="E2" s="61"/>
      <c r="F2" s="61"/>
      <c r="W2"/>
      <c r="X2"/>
      <c r="Y2"/>
      <c r="Z2"/>
      <c r="AA2"/>
    </row>
    <row r="3" spans="1:27" s="63" customFormat="1" ht="15.75" customHeight="1">
      <c r="A3" s="160" t="s">
        <v>102</v>
      </c>
      <c r="B3" s="161"/>
      <c r="C3" s="161"/>
      <c r="D3" s="161"/>
      <c r="E3" s="161"/>
      <c r="F3" s="161"/>
      <c r="G3" s="161"/>
      <c r="H3" s="161"/>
      <c r="I3" s="161"/>
      <c r="J3"/>
      <c r="K3"/>
      <c r="L3"/>
      <c r="M3"/>
      <c r="N3"/>
      <c r="O3"/>
      <c r="P3"/>
      <c r="Q3"/>
      <c r="R3"/>
    </row>
    <row r="4" spans="1:27" ht="44.25" customHeight="1">
      <c r="A4" s="116" t="s">
        <v>69</v>
      </c>
      <c r="B4" s="116" t="s">
        <v>62</v>
      </c>
      <c r="C4" s="116" t="s">
        <v>70</v>
      </c>
      <c r="D4" s="116" t="s">
        <v>108</v>
      </c>
      <c r="E4" s="116" t="s">
        <v>109</v>
      </c>
      <c r="F4" s="116" t="s">
        <v>110</v>
      </c>
      <c r="G4" s="116" t="s">
        <v>111</v>
      </c>
      <c r="H4" s="116" t="s">
        <v>112</v>
      </c>
      <c r="I4" s="116" t="s">
        <v>71</v>
      </c>
      <c r="J4"/>
      <c r="K4"/>
      <c r="L4"/>
      <c r="M4"/>
      <c r="N4"/>
      <c r="O4"/>
      <c r="P4"/>
      <c r="Q4"/>
      <c r="R4"/>
      <c r="S4"/>
      <c r="T4"/>
    </row>
    <row r="5" spans="1:27">
      <c r="A5" s="119">
        <v>2013</v>
      </c>
      <c r="B5" s="117">
        <f>AVERAGE($G$24:$G$35)</f>
        <v>6072.166666666667</v>
      </c>
      <c r="C5" s="117">
        <f>AVERAGE($I$24:$I$35)</f>
        <v>629</v>
      </c>
      <c r="D5" s="117">
        <f>AVERAGE($L$24:$L$35)</f>
        <v>78.666666666666671</v>
      </c>
      <c r="E5" s="117">
        <f>AVERAGE($O$24:$O$35)</f>
        <v>9.3333333333333339</v>
      </c>
      <c r="F5" s="117">
        <f>AVERAGE($R$24:$R$35)</f>
        <v>2.6666666666666665</v>
      </c>
      <c r="G5" s="118">
        <f>AVERAGE($U$24:$U$35)</f>
        <v>60.416666666666664</v>
      </c>
      <c r="H5" s="117">
        <f>AVERAGE($X$24:$X$35)</f>
        <v>125.08333333333333</v>
      </c>
      <c r="I5" s="117">
        <f>AVERAGE($AA$24:$AA$35)</f>
        <v>1</v>
      </c>
      <c r="J5"/>
      <c r="K5"/>
      <c r="L5"/>
      <c r="M5"/>
      <c r="N5"/>
      <c r="O5"/>
      <c r="P5"/>
      <c r="Q5"/>
      <c r="R5"/>
      <c r="S5"/>
      <c r="T5"/>
    </row>
    <row r="6" spans="1:27">
      <c r="A6" s="119">
        <v>2014</v>
      </c>
      <c r="B6" s="117">
        <f>AVERAGE($G$36:$G$47)</f>
        <v>6145.083333333333</v>
      </c>
      <c r="C6" s="117">
        <f>AVERAGE($I$36:$I$47)</f>
        <v>630.16666666666663</v>
      </c>
      <c r="D6" s="117">
        <f>AVERAGE($L$36:$L$47)</f>
        <v>79.25</v>
      </c>
      <c r="E6" s="117">
        <f>AVERAGE($O$36:$O$47)</f>
        <v>10.333333333333334</v>
      </c>
      <c r="F6" s="117">
        <f>AVERAGE($R$36:$R$47)</f>
        <v>2</v>
      </c>
      <c r="G6" s="117">
        <f>AVERAGE($U$36:$U$47)</f>
        <v>59</v>
      </c>
      <c r="H6" s="117">
        <f>AVERAGE($X$36:$X$47)</f>
        <v>124.16666666666667</v>
      </c>
      <c r="I6" s="117">
        <f>AVERAGE($AA$36:$AA$47)</f>
        <v>1</v>
      </c>
      <c r="J6"/>
      <c r="K6"/>
      <c r="L6"/>
      <c r="M6"/>
      <c r="N6"/>
      <c r="O6"/>
      <c r="P6"/>
      <c r="Q6"/>
      <c r="R6"/>
      <c r="S6"/>
      <c r="T6"/>
    </row>
    <row r="7" spans="1:27">
      <c r="A7" s="119">
        <v>2015</v>
      </c>
      <c r="B7" s="117">
        <f>AVERAGE($G$48:$G$59)</f>
        <v>6204.5</v>
      </c>
      <c r="C7" s="117">
        <f>AVERAGE($I$48:$I$59)</f>
        <v>633.75</v>
      </c>
      <c r="D7" s="117">
        <f>AVERAGE($L$48:$L$59)</f>
        <v>79.416666666666671</v>
      </c>
      <c r="E7" s="117">
        <f>AVERAGE($O$48:$O$59)</f>
        <v>10</v>
      </c>
      <c r="F7" s="117">
        <f>AVERAGE($R$48:$R$59)</f>
        <v>2</v>
      </c>
      <c r="G7" s="117">
        <f>AVERAGE($U$48:$U$59)</f>
        <v>59.75</v>
      </c>
      <c r="H7" s="117">
        <f>AVERAGE($X$48:$X$59)</f>
        <v>124.08333333333333</v>
      </c>
      <c r="I7" s="117">
        <f>AVERAGE($AA$48:$AA$59)</f>
        <v>1</v>
      </c>
      <c r="J7"/>
      <c r="K7"/>
      <c r="L7"/>
      <c r="M7"/>
      <c r="N7"/>
      <c r="O7"/>
      <c r="P7"/>
      <c r="Q7"/>
      <c r="R7"/>
      <c r="S7"/>
      <c r="T7"/>
    </row>
    <row r="8" spans="1:27">
      <c r="A8" s="119">
        <v>2016</v>
      </c>
      <c r="B8" s="117">
        <f>AVERAGE($G$60:$G$71)</f>
        <v>6293.916666666667</v>
      </c>
      <c r="C8" s="117">
        <f>AVERAGE($I$60:$I$71)</f>
        <v>637.25</v>
      </c>
      <c r="D8" s="117">
        <f>AVERAGE($L$60:$L$71)</f>
        <v>79.916666666666671</v>
      </c>
      <c r="E8" s="117">
        <f>AVERAGE($O$60:$O$71)</f>
        <v>10</v>
      </c>
      <c r="F8" s="117">
        <f>AVERAGE($R$60:$R$71)</f>
        <v>2</v>
      </c>
      <c r="G8" s="117">
        <f>AVERAGE($U$60:$U$71)</f>
        <v>59.583333333333336</v>
      </c>
      <c r="H8" s="117">
        <f>AVERAGE($X$60:$X$71)</f>
        <v>118.5</v>
      </c>
      <c r="I8" s="117">
        <f>AVERAGE($AA$60:$AA$71)</f>
        <v>1</v>
      </c>
      <c r="J8"/>
      <c r="K8"/>
      <c r="L8"/>
      <c r="M8"/>
      <c r="N8"/>
      <c r="O8"/>
      <c r="P8"/>
      <c r="Q8"/>
      <c r="R8"/>
      <c r="S8"/>
      <c r="T8"/>
    </row>
    <row r="9" spans="1:27">
      <c r="A9" s="119">
        <v>2017</v>
      </c>
      <c r="B9" s="117">
        <f>AVERAGE($G$72:$G$83)</f>
        <v>6408.583333333333</v>
      </c>
      <c r="C9" s="117">
        <f>AVERAGE($I$72:$I$83)</f>
        <v>642.08333333333337</v>
      </c>
      <c r="D9" s="117">
        <f>AVERAGE($L$72:$L$83)</f>
        <v>80.083333333333329</v>
      </c>
      <c r="E9" s="117">
        <f>AVERAGE($O$72:$O$83)</f>
        <v>10.416666666666666</v>
      </c>
      <c r="F9" s="117">
        <f>AVERAGE($R$72:$R$83)</f>
        <v>2</v>
      </c>
      <c r="G9" s="117">
        <f>AVERAGE($U$72:$U$83)</f>
        <v>58.5</v>
      </c>
      <c r="H9" s="117">
        <f>AVERAGE($X$72:$X$83)</f>
        <v>113</v>
      </c>
      <c r="I9" s="117">
        <f>AVERAGE($AA$72:$AA$83)</f>
        <v>1</v>
      </c>
      <c r="J9"/>
      <c r="K9"/>
      <c r="L9"/>
      <c r="M9"/>
      <c r="N9"/>
      <c r="O9"/>
      <c r="P9"/>
      <c r="Q9"/>
      <c r="R9"/>
      <c r="S9"/>
      <c r="T9"/>
    </row>
    <row r="10" spans="1:27">
      <c r="A10" s="119">
        <v>2018</v>
      </c>
      <c r="B10" s="117">
        <f>AVERAGE($G$84:$G$95)</f>
        <v>6516.333333333333</v>
      </c>
      <c r="C10" s="117">
        <f>AVERAGE($I$84:$I$95)</f>
        <v>648</v>
      </c>
      <c r="D10" s="117">
        <f>AVERAGE($L$84:$L$95)</f>
        <v>79.75</v>
      </c>
      <c r="E10" s="117">
        <f>AVERAGE($O$84:$O$95)</f>
        <v>12.333333333333334</v>
      </c>
      <c r="F10" s="117">
        <f>AVERAGE($R$84:$R$95)</f>
        <v>2</v>
      </c>
      <c r="G10" s="117">
        <f>AVERAGE($U$84:$U$95)</f>
        <v>59.25</v>
      </c>
      <c r="H10" s="117">
        <f>AVERAGE($X$84:$X$95)</f>
        <v>112</v>
      </c>
      <c r="I10" s="117">
        <f>AVERAGE($AA$84:$AA$95)</f>
        <v>1</v>
      </c>
      <c r="J10"/>
      <c r="K10"/>
      <c r="L10"/>
      <c r="M10"/>
      <c r="N10"/>
      <c r="O10"/>
      <c r="P10"/>
      <c r="Q10"/>
      <c r="R10"/>
      <c r="S10"/>
      <c r="T10"/>
    </row>
    <row r="11" spans="1:27">
      <c r="A11" s="119">
        <v>2019</v>
      </c>
      <c r="B11" s="117">
        <f>AVERAGE($G$96:$G$107)</f>
        <v>6652</v>
      </c>
      <c r="C11" s="117">
        <f>AVERAGE($I$96:$I$107)</f>
        <v>654.83333333333337</v>
      </c>
      <c r="D11" s="117">
        <f>AVERAGE($L$96:$L$107)</f>
        <v>78.083333333333329</v>
      </c>
      <c r="E11" s="117">
        <f>AVERAGE($O$96:$O$107)</f>
        <v>11.583333333333334</v>
      </c>
      <c r="F11" s="117">
        <f>AVERAGE($R$96:$R$107)</f>
        <v>2</v>
      </c>
      <c r="G11" s="117">
        <f>AVERAGE($U$96:$U$107)</f>
        <v>56.666666666666664</v>
      </c>
      <c r="H11" s="117">
        <f>AVERAGE($X$96:$X$107)</f>
        <v>112</v>
      </c>
      <c r="I11" s="117">
        <f>AVERAGE($AA$96:$AA$107)</f>
        <v>1</v>
      </c>
      <c r="J11"/>
      <c r="K11"/>
      <c r="L11"/>
      <c r="M11"/>
      <c r="N11"/>
      <c r="O11"/>
      <c r="P11"/>
      <c r="Q11"/>
      <c r="R11"/>
      <c r="S11"/>
      <c r="T11"/>
    </row>
    <row r="12" spans="1:27">
      <c r="A12" s="119">
        <v>2020</v>
      </c>
      <c r="B12" s="117">
        <f>AVERAGE($G$108:$G$119)</f>
        <v>6823.416666666667</v>
      </c>
      <c r="C12" s="117">
        <f>AVERAGE($I$108:$I$119)</f>
        <v>664.91666666666663</v>
      </c>
      <c r="D12" s="117">
        <f>AVERAGE($L$108:$L$119)</f>
        <v>81</v>
      </c>
      <c r="E12" s="117">
        <f>AVERAGE($O$108:$O$119)</f>
        <v>8</v>
      </c>
      <c r="F12" s="117">
        <f>AVERAGE($R$108:$R$119)</f>
        <v>2</v>
      </c>
      <c r="G12" s="117">
        <f>AVERAGE($U$108:$U$119)</f>
        <v>56.833333333333336</v>
      </c>
      <c r="H12" s="117">
        <f>AVERAGE($X$108:$X$119)</f>
        <v>112.08333333333333</v>
      </c>
      <c r="I12" s="117">
        <f>AVERAGE($AA$108:$AA$119)</f>
        <v>1</v>
      </c>
      <c r="J12"/>
      <c r="K12"/>
      <c r="L12"/>
      <c r="M12"/>
      <c r="N12"/>
      <c r="O12"/>
      <c r="P12"/>
      <c r="Q12"/>
      <c r="R12"/>
      <c r="S12"/>
      <c r="T12"/>
    </row>
    <row r="13" spans="1:27">
      <c r="A13" s="119">
        <v>2021</v>
      </c>
      <c r="B13" s="117">
        <f>AVERAGE($G$120:$G$131)</f>
        <v>7107.416666666667</v>
      </c>
      <c r="C13" s="117">
        <f>AVERAGE($I$120:$I$131)</f>
        <v>672.33333333333337</v>
      </c>
      <c r="D13" s="117">
        <f>AVERAGE($L$120:$L$131)</f>
        <v>77.333333333333329</v>
      </c>
      <c r="E13" s="117">
        <f>AVERAGE($O$120:$O$131)</f>
        <v>8.5</v>
      </c>
      <c r="F13" s="117">
        <f>AVERAGE($R$120:$R$131)</f>
        <v>2</v>
      </c>
      <c r="G13" s="117">
        <f>AVERAGE($U$120:$U$131)</f>
        <v>56.833333333333336</v>
      </c>
      <c r="H13" s="117">
        <f>AVERAGE($X$120:$X$131)</f>
        <v>112</v>
      </c>
      <c r="I13" s="117">
        <f>AVERAGE($AA$120:$AA$131)</f>
        <v>1</v>
      </c>
      <c r="J13"/>
      <c r="K13"/>
      <c r="L13"/>
      <c r="M13"/>
      <c r="N13"/>
      <c r="O13"/>
      <c r="P13"/>
      <c r="Q13"/>
      <c r="R13"/>
      <c r="S13"/>
      <c r="T13"/>
    </row>
    <row r="14" spans="1:27">
      <c r="A14" s="119">
        <v>2022</v>
      </c>
      <c r="B14" s="117">
        <f>AVERAGE($G$132:$G$143)</f>
        <v>7417.333333333333</v>
      </c>
      <c r="C14" s="117">
        <f>AVERAGE($I$132:$I$143)</f>
        <v>682.25</v>
      </c>
      <c r="D14" s="117">
        <f>AVERAGE($L$132:$L$143)</f>
        <v>74.166666666666671</v>
      </c>
      <c r="E14" s="117">
        <f>AVERAGE($O$132:$O$143)</f>
        <v>6</v>
      </c>
      <c r="F14" s="117">
        <f>AVERAGE($R$132:$R$143)</f>
        <v>2</v>
      </c>
      <c r="G14" s="117">
        <f>AVERAGE($U$132:$U$143)</f>
        <v>55.916666666666664</v>
      </c>
      <c r="H14" s="117">
        <f>AVERAGE($X$132:$X$143)</f>
        <v>116</v>
      </c>
      <c r="I14" s="117">
        <f>AVERAGE($AA$132:$AA$143)</f>
        <v>1</v>
      </c>
      <c r="J14"/>
      <c r="K14"/>
      <c r="L14"/>
      <c r="M14"/>
      <c r="N14"/>
      <c r="O14"/>
      <c r="P14"/>
      <c r="Q14"/>
      <c r="R14"/>
      <c r="S14"/>
      <c r="T14"/>
    </row>
    <row r="15" spans="1:27">
      <c r="A15"/>
      <c r="B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7">
      <c r="A16"/>
      <c r="B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30">
      <c r="A17"/>
      <c r="B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30">
      <c r="A18"/>
      <c r="B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20" spans="1:30" ht="15" customHeight="1">
      <c r="A20" s="165" t="s">
        <v>72</v>
      </c>
      <c r="B20" s="165"/>
      <c r="C20" s="65"/>
      <c r="D20" s="165" t="s">
        <v>73</v>
      </c>
      <c r="E20" s="165"/>
      <c r="F20" s="162" t="s">
        <v>74</v>
      </c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4"/>
      <c r="AB20"/>
      <c r="AC20"/>
      <c r="AD20"/>
    </row>
    <row r="21" spans="1:30" ht="20.399999999999999">
      <c r="A21" s="120"/>
      <c r="B21" s="120"/>
      <c r="C21" s="67"/>
      <c r="D21" s="121" t="s">
        <v>75</v>
      </c>
      <c r="E21" s="122" t="s">
        <v>107</v>
      </c>
      <c r="F21" s="167" t="str">
        <f>B4</f>
        <v>Residential</v>
      </c>
      <c r="G21" s="168"/>
      <c r="H21" s="166" t="str">
        <f>C4</f>
        <v>General Service &lt; 50 kW</v>
      </c>
      <c r="I21" s="168"/>
      <c r="J21" s="166" t="str">
        <f>D4</f>
        <v>General Service 50 to 499 kW</v>
      </c>
      <c r="K21" s="167"/>
      <c r="L21" s="168"/>
      <c r="M21" s="166" t="str">
        <f>E4</f>
        <v>General Service 500 to 1499 kW</v>
      </c>
      <c r="N21" s="167"/>
      <c r="O21" s="168"/>
      <c r="P21" s="166" t="str">
        <f>F4</f>
        <v>General Service 1500-4999 kW</v>
      </c>
      <c r="Q21" s="167"/>
      <c r="R21" s="168"/>
      <c r="S21" s="166" t="str">
        <f>G4</f>
        <v>Unmetered Scattered Load</v>
      </c>
      <c r="T21" s="167"/>
      <c r="U21" s="168"/>
      <c r="V21" s="166" t="str">
        <f>H4</f>
        <v>Sentinel Lighting</v>
      </c>
      <c r="W21" s="167"/>
      <c r="X21" s="168"/>
      <c r="Y21" s="166" t="str">
        <f>I4</f>
        <v xml:space="preserve">Street Lighting </v>
      </c>
      <c r="Z21" s="167"/>
      <c r="AA21" s="168"/>
      <c r="AB21"/>
      <c r="AC21"/>
      <c r="AD21"/>
    </row>
    <row r="22" spans="1:30" ht="31.2" thickBot="1">
      <c r="A22" s="66"/>
      <c r="B22" s="66"/>
      <c r="C22" s="68"/>
      <c r="D22" s="123"/>
      <c r="E22" s="124"/>
      <c r="F22" s="125" t="s">
        <v>53</v>
      </c>
      <c r="G22" s="126" t="s">
        <v>76</v>
      </c>
      <c r="H22" s="123" t="s">
        <v>53</v>
      </c>
      <c r="I22" s="126" t="s">
        <v>76</v>
      </c>
      <c r="J22" s="123" t="s">
        <v>53</v>
      </c>
      <c r="K22" s="127" t="s">
        <v>54</v>
      </c>
      <c r="L22" s="126" t="s">
        <v>76</v>
      </c>
      <c r="M22" s="123" t="s">
        <v>53</v>
      </c>
      <c r="N22" s="127" t="s">
        <v>54</v>
      </c>
      <c r="O22" s="126" t="s">
        <v>76</v>
      </c>
      <c r="P22" s="123" t="s">
        <v>53</v>
      </c>
      <c r="Q22" s="127" t="s">
        <v>54</v>
      </c>
      <c r="R22" s="126" t="s">
        <v>76</v>
      </c>
      <c r="S22" s="123" t="s">
        <v>53</v>
      </c>
      <c r="T22" s="127" t="s">
        <v>54</v>
      </c>
      <c r="U22" s="126" t="s">
        <v>77</v>
      </c>
      <c r="V22" s="123" t="s">
        <v>53</v>
      </c>
      <c r="W22" s="127" t="s">
        <v>54</v>
      </c>
      <c r="X22" s="126" t="s">
        <v>76</v>
      </c>
      <c r="Y22" s="123" t="s">
        <v>53</v>
      </c>
      <c r="Z22" s="127" t="s">
        <v>54</v>
      </c>
      <c r="AA22" s="126" t="s">
        <v>76</v>
      </c>
      <c r="AB22"/>
      <c r="AC22"/>
      <c r="AD22"/>
    </row>
    <row r="23" spans="1:30">
      <c r="A23" s="69" t="s">
        <v>63</v>
      </c>
      <c r="B23" s="69" t="s">
        <v>103</v>
      </c>
      <c r="C23" s="68"/>
      <c r="D23" s="70"/>
      <c r="E23" s="71"/>
      <c r="F23" s="72"/>
      <c r="G23" s="73"/>
      <c r="H23" s="74"/>
      <c r="I23" s="73"/>
      <c r="J23" s="74"/>
      <c r="K23" s="75"/>
      <c r="L23" s="76"/>
      <c r="M23" s="74"/>
      <c r="N23" s="75"/>
      <c r="O23" s="76"/>
      <c r="P23" s="74"/>
      <c r="Q23" s="75"/>
      <c r="R23" s="76"/>
      <c r="S23" s="78"/>
      <c r="T23" s="79"/>
      <c r="U23" s="77"/>
      <c r="V23" s="78"/>
      <c r="W23" s="80"/>
      <c r="X23" s="81"/>
      <c r="Y23" s="78"/>
      <c r="Z23" s="79"/>
      <c r="AA23" s="73"/>
      <c r="AB23"/>
      <c r="AC23"/>
      <c r="AD23"/>
    </row>
    <row r="24" spans="1:30">
      <c r="A24" s="82">
        <v>2013</v>
      </c>
      <c r="B24" s="83" t="s">
        <v>78</v>
      </c>
      <c r="C24" s="84"/>
      <c r="D24" s="128">
        <v>17076832.253063001</v>
      </c>
      <c r="E24" s="128">
        <v>10780.48</v>
      </c>
      <c r="F24" s="128">
        <v>4575673.3500000034</v>
      </c>
      <c r="G24" s="128">
        <v>6048</v>
      </c>
      <c r="H24" s="128">
        <v>1987643.4799999995</v>
      </c>
      <c r="I24" s="128">
        <v>628</v>
      </c>
      <c r="J24" s="128">
        <v>3701441.1100000003</v>
      </c>
      <c r="K24" s="128">
        <v>10429.050000000003</v>
      </c>
      <c r="L24" s="128">
        <v>79</v>
      </c>
      <c r="M24" s="128">
        <v>3068236.34</v>
      </c>
      <c r="N24" s="128">
        <v>7339.39</v>
      </c>
      <c r="O24" s="128">
        <v>9</v>
      </c>
      <c r="P24" s="128">
        <v>2985095.64</v>
      </c>
      <c r="Q24" s="128">
        <v>5545.1799999999994</v>
      </c>
      <c r="R24" s="128">
        <v>3</v>
      </c>
      <c r="S24" s="128">
        <v>30174</v>
      </c>
      <c r="T24" s="128"/>
      <c r="U24" s="128">
        <v>62</v>
      </c>
      <c r="V24" s="128">
        <v>9342.56</v>
      </c>
      <c r="W24" s="128">
        <v>25.319999999999997</v>
      </c>
      <c r="X24" s="128">
        <v>127</v>
      </c>
      <c r="Y24" s="128">
        <v>148460.54999999999</v>
      </c>
      <c r="Z24" s="128">
        <v>319.27</v>
      </c>
      <c r="AA24" s="128">
        <v>1</v>
      </c>
      <c r="AB24"/>
      <c r="AC24" s="131">
        <f>G24+I24+L24+O24+R24+AA24</f>
        <v>6768</v>
      </c>
      <c r="AD24"/>
    </row>
    <row r="25" spans="1:30">
      <c r="A25" s="82">
        <v>2013</v>
      </c>
      <c r="B25" s="83" t="s">
        <v>79</v>
      </c>
      <c r="C25" s="86"/>
      <c r="D25" s="129">
        <v>15658524.621893801</v>
      </c>
      <c r="E25" s="129">
        <v>13557.21</v>
      </c>
      <c r="F25" s="129">
        <v>4170487.8100000066</v>
      </c>
      <c r="G25" s="129">
        <v>6051</v>
      </c>
      <c r="H25" s="129">
        <v>1834093.5499999993</v>
      </c>
      <c r="I25" s="129">
        <v>627</v>
      </c>
      <c r="J25" s="129">
        <v>3422384.03</v>
      </c>
      <c r="K25" s="129">
        <v>10599.599999999999</v>
      </c>
      <c r="L25" s="129">
        <v>79</v>
      </c>
      <c r="M25" s="129">
        <v>2878937.57</v>
      </c>
      <c r="N25" s="129">
        <v>7266.94</v>
      </c>
      <c r="O25" s="129">
        <v>9</v>
      </c>
      <c r="P25" s="129">
        <v>2731725.64</v>
      </c>
      <c r="Q25" s="129">
        <v>5538.2999999999993</v>
      </c>
      <c r="R25" s="129">
        <v>3</v>
      </c>
      <c r="S25" s="129">
        <v>30241</v>
      </c>
      <c r="T25" s="87"/>
      <c r="U25" s="129">
        <v>62</v>
      </c>
      <c r="V25" s="129">
        <v>8247.94</v>
      </c>
      <c r="W25" s="129">
        <v>23.019999999999996</v>
      </c>
      <c r="X25" s="129">
        <v>125</v>
      </c>
      <c r="Y25" s="129">
        <v>134093.4</v>
      </c>
      <c r="Z25" s="129">
        <v>319.27</v>
      </c>
      <c r="AA25" s="129">
        <v>1</v>
      </c>
      <c r="AB25"/>
      <c r="AC25" s="131">
        <f t="shared" ref="AC25:AC88" si="0">G25+I25+L25+O25+R25+AA25</f>
        <v>6770</v>
      </c>
      <c r="AD25"/>
    </row>
    <row r="26" spans="1:30">
      <c r="A26" s="82">
        <v>2013</v>
      </c>
      <c r="B26" s="83" t="s">
        <v>80</v>
      </c>
      <c r="C26" s="86"/>
      <c r="D26" s="129">
        <v>16216012.966664599</v>
      </c>
      <c r="E26" s="129">
        <v>20286.849999999999</v>
      </c>
      <c r="F26" s="129">
        <v>4040513.5000000028</v>
      </c>
      <c r="G26" s="129">
        <v>6056</v>
      </c>
      <c r="H26" s="129">
        <v>1909696.4100000006</v>
      </c>
      <c r="I26" s="129">
        <v>628</v>
      </c>
      <c r="J26" s="129">
        <v>3612606.6199999996</v>
      </c>
      <c r="K26" s="129">
        <v>10864.269999999997</v>
      </c>
      <c r="L26" s="129">
        <v>78</v>
      </c>
      <c r="M26" s="129">
        <v>2959078.8499999996</v>
      </c>
      <c r="N26" s="129">
        <v>7140.7599999999993</v>
      </c>
      <c r="O26" s="129">
        <v>9</v>
      </c>
      <c r="P26" s="129">
        <v>2918433.08</v>
      </c>
      <c r="Q26" s="129">
        <v>5485.37</v>
      </c>
      <c r="R26" s="129">
        <v>3</v>
      </c>
      <c r="S26" s="129">
        <v>35256</v>
      </c>
      <c r="T26" s="87"/>
      <c r="U26" s="129">
        <v>61</v>
      </c>
      <c r="V26" s="129">
        <v>9078.41</v>
      </c>
      <c r="W26" s="129">
        <v>26.129999999999992</v>
      </c>
      <c r="X26" s="129">
        <v>125</v>
      </c>
      <c r="Y26" s="129">
        <v>124116</v>
      </c>
      <c r="Z26" s="129">
        <v>319.27</v>
      </c>
      <c r="AA26" s="129">
        <v>1</v>
      </c>
      <c r="AB26"/>
      <c r="AC26" s="131">
        <f t="shared" si="0"/>
        <v>6775</v>
      </c>
      <c r="AD26"/>
    </row>
    <row r="27" spans="1:30">
      <c r="A27" s="82">
        <v>2013</v>
      </c>
      <c r="B27" s="83" t="s">
        <v>81</v>
      </c>
      <c r="C27" s="86"/>
      <c r="D27" s="129">
        <v>15232077.751890199</v>
      </c>
      <c r="E27" s="129">
        <v>27560.44</v>
      </c>
      <c r="F27" s="129">
        <v>3631054.3899999973</v>
      </c>
      <c r="G27" s="129">
        <v>6059</v>
      </c>
      <c r="H27" s="129">
        <v>1706896.5500000005</v>
      </c>
      <c r="I27" s="129">
        <v>632</v>
      </c>
      <c r="J27" s="129">
        <v>3486015.9799999995</v>
      </c>
      <c r="K27" s="129">
        <v>10371.779999999999</v>
      </c>
      <c r="L27" s="129">
        <v>78</v>
      </c>
      <c r="M27" s="129">
        <v>2807468.62</v>
      </c>
      <c r="N27" s="129">
        <v>7249.8399999999992</v>
      </c>
      <c r="O27" s="129">
        <v>9</v>
      </c>
      <c r="P27" s="129">
        <v>2996605.6799999997</v>
      </c>
      <c r="Q27" s="129">
        <v>5728.67</v>
      </c>
      <c r="R27" s="129">
        <v>3</v>
      </c>
      <c r="S27" s="129">
        <v>31677</v>
      </c>
      <c r="T27" s="87"/>
      <c r="U27" s="129">
        <v>61</v>
      </c>
      <c r="V27" s="129">
        <v>8811.5299999999988</v>
      </c>
      <c r="W27" s="129">
        <v>23.720000000000002</v>
      </c>
      <c r="X27" s="129">
        <v>125</v>
      </c>
      <c r="Y27" s="129">
        <v>105838.37</v>
      </c>
      <c r="Z27" s="129">
        <v>319.27</v>
      </c>
      <c r="AA27" s="129">
        <v>1</v>
      </c>
      <c r="AB27"/>
      <c r="AC27" s="131">
        <f t="shared" si="0"/>
        <v>6782</v>
      </c>
      <c r="AD27"/>
    </row>
    <row r="28" spans="1:30">
      <c r="A28" s="82">
        <v>2013</v>
      </c>
      <c r="B28" s="83" t="s">
        <v>52</v>
      </c>
      <c r="C28" s="86"/>
      <c r="D28" s="129">
        <v>15553380.452143</v>
      </c>
      <c r="E28" s="129">
        <v>35979.17</v>
      </c>
      <c r="F28" s="129">
        <v>3575488.3800000022</v>
      </c>
      <c r="G28" s="129">
        <v>6054</v>
      </c>
      <c r="H28" s="129">
        <v>1705319.2199999997</v>
      </c>
      <c r="I28" s="129">
        <v>631</v>
      </c>
      <c r="J28" s="129">
        <v>3559422.3399999994</v>
      </c>
      <c r="K28" s="129">
        <v>10657.119999999999</v>
      </c>
      <c r="L28" s="129">
        <v>78</v>
      </c>
      <c r="M28" s="129">
        <v>2948236.96</v>
      </c>
      <c r="N28" s="129">
        <v>7715.2499999999991</v>
      </c>
      <c r="O28" s="129">
        <v>9</v>
      </c>
      <c r="P28" s="129">
        <v>3139990</v>
      </c>
      <c r="Q28" s="129">
        <v>5840.1</v>
      </c>
      <c r="R28" s="129">
        <v>3</v>
      </c>
      <c r="S28" s="129">
        <v>33646</v>
      </c>
      <c r="T28" s="87"/>
      <c r="U28" s="129">
        <v>61</v>
      </c>
      <c r="V28" s="129">
        <v>9112.17</v>
      </c>
      <c r="W28" s="129">
        <v>23.83</v>
      </c>
      <c r="X28" s="129">
        <v>125</v>
      </c>
      <c r="Y28" s="129">
        <v>96898.01</v>
      </c>
      <c r="Z28" s="129">
        <v>319.27</v>
      </c>
      <c r="AA28" s="129">
        <v>1</v>
      </c>
      <c r="AB28"/>
      <c r="AC28" s="131">
        <f t="shared" si="0"/>
        <v>6776</v>
      </c>
      <c r="AD28"/>
    </row>
    <row r="29" spans="1:30">
      <c r="A29" s="82">
        <v>2013</v>
      </c>
      <c r="B29" s="83" t="s">
        <v>82</v>
      </c>
      <c r="C29" s="86"/>
      <c r="D29" s="129">
        <v>16186549.925957</v>
      </c>
      <c r="E29" s="129">
        <v>31537.31</v>
      </c>
      <c r="F29" s="129">
        <v>4132859.1599999894</v>
      </c>
      <c r="G29" s="129">
        <v>6065</v>
      </c>
      <c r="H29" s="129">
        <v>1805117.5999999987</v>
      </c>
      <c r="I29" s="129">
        <v>625</v>
      </c>
      <c r="J29" s="129">
        <v>3600427.370000001</v>
      </c>
      <c r="K29" s="129">
        <v>11171.63</v>
      </c>
      <c r="L29" s="129">
        <v>79</v>
      </c>
      <c r="M29" s="129">
        <v>3018081.4299999997</v>
      </c>
      <c r="N29" s="129">
        <v>7802.04</v>
      </c>
      <c r="O29" s="129">
        <v>9</v>
      </c>
      <c r="P29" s="129">
        <v>3132924.8000000003</v>
      </c>
      <c r="Q29" s="129">
        <v>6195.28</v>
      </c>
      <c r="R29" s="129">
        <v>3</v>
      </c>
      <c r="S29" s="129">
        <v>31344</v>
      </c>
      <c r="T29" s="87"/>
      <c r="U29" s="129">
        <v>60</v>
      </c>
      <c r="V29" s="129">
        <v>8823.7999999999993</v>
      </c>
      <c r="W29" s="129">
        <v>24.059999999999995</v>
      </c>
      <c r="X29" s="129">
        <v>125</v>
      </c>
      <c r="Y29" s="129">
        <v>86442.37</v>
      </c>
      <c r="Z29" s="129">
        <v>319.27</v>
      </c>
      <c r="AA29" s="129">
        <v>1</v>
      </c>
      <c r="AB29"/>
      <c r="AC29" s="131">
        <f t="shared" si="0"/>
        <v>6782</v>
      </c>
      <c r="AD29"/>
    </row>
    <row r="30" spans="1:30">
      <c r="A30" s="82">
        <v>2013</v>
      </c>
      <c r="B30" s="83" t="s">
        <v>83</v>
      </c>
      <c r="C30" s="86"/>
      <c r="D30" s="129">
        <v>17945915.653628498</v>
      </c>
      <c r="E30" s="129">
        <v>32177.5</v>
      </c>
      <c r="F30" s="129">
        <v>5032704.3899999978</v>
      </c>
      <c r="G30" s="129">
        <v>6071</v>
      </c>
      <c r="H30" s="129">
        <v>2008282.4000000004</v>
      </c>
      <c r="I30" s="129">
        <v>625</v>
      </c>
      <c r="J30" s="129">
        <v>3757069.4</v>
      </c>
      <c r="K30" s="129">
        <v>10951.679999999995</v>
      </c>
      <c r="L30" s="129">
        <v>79</v>
      </c>
      <c r="M30" s="129">
        <v>3171459.66</v>
      </c>
      <c r="N30" s="129">
        <v>8007.49</v>
      </c>
      <c r="O30" s="129">
        <v>9</v>
      </c>
      <c r="P30" s="129">
        <v>2922192.8</v>
      </c>
      <c r="Q30" s="129">
        <v>6042.57</v>
      </c>
      <c r="R30" s="129">
        <v>3</v>
      </c>
      <c r="S30" s="129">
        <v>32333</v>
      </c>
      <c r="T30" s="87"/>
      <c r="U30" s="129">
        <v>61</v>
      </c>
      <c r="V30" s="129">
        <v>9116.77</v>
      </c>
      <c r="W30" s="129">
        <v>24.580000000000005</v>
      </c>
      <c r="X30" s="129">
        <v>125</v>
      </c>
      <c r="Y30" s="129">
        <v>91471.28</v>
      </c>
      <c r="Z30" s="129">
        <v>319.27</v>
      </c>
      <c r="AA30" s="129">
        <v>1</v>
      </c>
      <c r="AB30"/>
      <c r="AC30" s="131">
        <f t="shared" si="0"/>
        <v>6788</v>
      </c>
      <c r="AD30"/>
    </row>
    <row r="31" spans="1:30">
      <c r="A31" s="82">
        <v>2013</v>
      </c>
      <c r="B31" s="83" t="s">
        <v>84</v>
      </c>
      <c r="C31" s="86"/>
      <c r="D31" s="129">
        <v>17797077.923535999</v>
      </c>
      <c r="E31" s="129">
        <v>34799.1</v>
      </c>
      <c r="F31" s="129">
        <v>4416036.1600000048</v>
      </c>
      <c r="G31" s="129">
        <v>6076</v>
      </c>
      <c r="H31" s="129">
        <v>1905121.7000000002</v>
      </c>
      <c r="I31" s="129">
        <v>628</v>
      </c>
      <c r="J31" s="129">
        <v>3798030.8200000003</v>
      </c>
      <c r="K31" s="129">
        <v>11241.179999999998</v>
      </c>
      <c r="L31" s="129">
        <v>79</v>
      </c>
      <c r="M31" s="129">
        <v>3490890.6500000004</v>
      </c>
      <c r="N31" s="129">
        <v>7981.5</v>
      </c>
      <c r="O31" s="129">
        <v>9</v>
      </c>
      <c r="P31" s="129">
        <v>3445203.3200000003</v>
      </c>
      <c r="Q31" s="129">
        <v>6280.04</v>
      </c>
      <c r="R31" s="129">
        <v>3</v>
      </c>
      <c r="S31" s="129">
        <v>31813</v>
      </c>
      <c r="T31" s="87"/>
      <c r="U31" s="129">
        <v>61</v>
      </c>
      <c r="V31" s="129">
        <v>9114.66</v>
      </c>
      <c r="W31" s="129">
        <v>23.489999999999995</v>
      </c>
      <c r="X31" s="129">
        <v>125</v>
      </c>
      <c r="Y31" s="129">
        <v>103523</v>
      </c>
      <c r="Z31" s="129">
        <v>319.27</v>
      </c>
      <c r="AA31" s="129">
        <v>1</v>
      </c>
      <c r="AB31"/>
      <c r="AC31" s="131">
        <f t="shared" si="0"/>
        <v>6796</v>
      </c>
      <c r="AD31"/>
    </row>
    <row r="32" spans="1:30">
      <c r="A32" s="82">
        <v>2013</v>
      </c>
      <c r="B32" s="83" t="s">
        <v>85</v>
      </c>
      <c r="C32" s="86"/>
      <c r="D32" s="129">
        <v>15969199.9223201</v>
      </c>
      <c r="E32" s="129">
        <v>26269.68</v>
      </c>
      <c r="F32" s="129">
        <v>3790233.0899999947</v>
      </c>
      <c r="G32" s="129">
        <v>6086</v>
      </c>
      <c r="H32" s="129">
        <v>1706282.7700000007</v>
      </c>
      <c r="I32" s="129">
        <v>631</v>
      </c>
      <c r="J32" s="129">
        <v>3622319.6200000006</v>
      </c>
      <c r="K32" s="129">
        <v>10845.889999999998</v>
      </c>
      <c r="L32" s="129">
        <v>79</v>
      </c>
      <c r="M32" s="129">
        <v>3259451.94</v>
      </c>
      <c r="N32" s="129">
        <v>8405.2100000000009</v>
      </c>
      <c r="O32" s="129">
        <v>10</v>
      </c>
      <c r="P32" s="129">
        <v>3200628.7600000002</v>
      </c>
      <c r="Q32" s="129">
        <v>5669.4400000000005</v>
      </c>
      <c r="R32" s="129">
        <v>2</v>
      </c>
      <c r="S32" s="129">
        <v>32098</v>
      </c>
      <c r="T32" s="87"/>
      <c r="U32" s="129">
        <v>61</v>
      </c>
      <c r="V32" s="129">
        <v>8817.3700000000008</v>
      </c>
      <c r="W32" s="129">
        <v>24.189999999999998</v>
      </c>
      <c r="X32" s="129">
        <v>125</v>
      </c>
      <c r="Y32" s="129">
        <v>112143.97</v>
      </c>
      <c r="Z32" s="129">
        <v>319.27</v>
      </c>
      <c r="AA32" s="129">
        <v>1</v>
      </c>
      <c r="AB32"/>
      <c r="AC32" s="131">
        <f t="shared" si="0"/>
        <v>6809</v>
      </c>
      <c r="AD32"/>
    </row>
    <row r="33" spans="1:30">
      <c r="A33" s="82">
        <v>2013</v>
      </c>
      <c r="B33" s="83" t="s">
        <v>86</v>
      </c>
      <c r="C33" s="86"/>
      <c r="D33" s="129">
        <v>16546569.8756111</v>
      </c>
      <c r="E33" s="129">
        <v>18717.009999999998</v>
      </c>
      <c r="F33" s="129">
        <v>3593451.0199999767</v>
      </c>
      <c r="G33" s="129">
        <v>6091</v>
      </c>
      <c r="H33" s="129">
        <v>1661346.9499999995</v>
      </c>
      <c r="I33" s="129">
        <v>632</v>
      </c>
      <c r="J33" s="129">
        <v>3812498.2000000007</v>
      </c>
      <c r="K33" s="129">
        <v>10787.059999999998</v>
      </c>
      <c r="L33" s="129">
        <v>79</v>
      </c>
      <c r="M33" s="129">
        <v>3377135.0400000005</v>
      </c>
      <c r="N33" s="129">
        <v>8117.2900000000018</v>
      </c>
      <c r="O33" s="129">
        <v>10</v>
      </c>
      <c r="P33" s="129">
        <v>3414392.12</v>
      </c>
      <c r="Q33" s="129">
        <v>5780.32</v>
      </c>
      <c r="R33" s="129">
        <v>2</v>
      </c>
      <c r="S33" s="129">
        <v>34369</v>
      </c>
      <c r="T33" s="87"/>
      <c r="U33" s="129">
        <v>61</v>
      </c>
      <c r="V33" s="129">
        <v>9099.44</v>
      </c>
      <c r="W33" s="129">
        <v>24.349999999999994</v>
      </c>
      <c r="X33" s="129">
        <v>125</v>
      </c>
      <c r="Y33" s="129">
        <v>130661</v>
      </c>
      <c r="Z33" s="129">
        <v>319.27</v>
      </c>
      <c r="AA33" s="129">
        <v>1</v>
      </c>
      <c r="AB33"/>
      <c r="AC33" s="131">
        <f t="shared" si="0"/>
        <v>6815</v>
      </c>
      <c r="AD33"/>
    </row>
    <row r="34" spans="1:30">
      <c r="A34" s="82">
        <v>2013</v>
      </c>
      <c r="B34" s="83" t="s">
        <v>87</v>
      </c>
      <c r="C34" s="86"/>
      <c r="D34" s="129">
        <v>16546580.2343011</v>
      </c>
      <c r="E34" s="129">
        <v>11195.41</v>
      </c>
      <c r="F34" s="129">
        <v>4015119.3700000141</v>
      </c>
      <c r="G34" s="129">
        <v>6102</v>
      </c>
      <c r="H34" s="129">
        <v>1750420.1899999988</v>
      </c>
      <c r="I34" s="129">
        <v>632</v>
      </c>
      <c r="J34" s="129">
        <v>3826971.8699999996</v>
      </c>
      <c r="K34" s="129">
        <v>10508.039999999999</v>
      </c>
      <c r="L34" s="129">
        <v>79</v>
      </c>
      <c r="M34" s="129">
        <v>3097236.1</v>
      </c>
      <c r="N34" s="129">
        <v>7609.5600000000013</v>
      </c>
      <c r="O34" s="129">
        <v>10</v>
      </c>
      <c r="P34" s="129">
        <v>3259899.68</v>
      </c>
      <c r="Q34" s="129">
        <v>5617.6</v>
      </c>
      <c r="R34" s="129">
        <v>2</v>
      </c>
      <c r="S34" s="129">
        <v>30826</v>
      </c>
      <c r="T34" s="87"/>
      <c r="U34" s="129">
        <v>52</v>
      </c>
      <c r="V34" s="129">
        <v>9318.6500000000015</v>
      </c>
      <c r="W34" s="129">
        <v>26.130000000000003</v>
      </c>
      <c r="X34" s="129">
        <v>125</v>
      </c>
      <c r="Y34" s="129">
        <v>138483.83000000002</v>
      </c>
      <c r="Z34" s="129">
        <v>319.27</v>
      </c>
      <c r="AA34" s="129">
        <v>1</v>
      </c>
      <c r="AB34"/>
      <c r="AC34" s="131">
        <f t="shared" si="0"/>
        <v>6826</v>
      </c>
      <c r="AD34"/>
    </row>
    <row r="35" spans="1:30">
      <c r="A35" s="82">
        <v>2013</v>
      </c>
      <c r="B35" s="83" t="s">
        <v>88</v>
      </c>
      <c r="C35" s="86"/>
      <c r="D35" s="129">
        <v>16673730.4556378</v>
      </c>
      <c r="E35" s="129">
        <v>6160.73</v>
      </c>
      <c r="F35" s="129">
        <v>4733214.2499999972</v>
      </c>
      <c r="G35" s="129">
        <v>6107</v>
      </c>
      <c r="H35" s="129">
        <v>1963769.6200000013</v>
      </c>
      <c r="I35" s="129">
        <v>629</v>
      </c>
      <c r="J35" s="129">
        <v>3817066.3399999994</v>
      </c>
      <c r="K35" s="129">
        <v>10928.169999999995</v>
      </c>
      <c r="L35" s="129">
        <v>78</v>
      </c>
      <c r="M35" s="129">
        <v>2787126.9599999995</v>
      </c>
      <c r="N35" s="129">
        <v>7589.4900000000007</v>
      </c>
      <c r="O35" s="129">
        <v>10</v>
      </c>
      <c r="P35" s="129">
        <v>2691530.7199999997</v>
      </c>
      <c r="Q35" s="129">
        <v>5738.5599999999995</v>
      </c>
      <c r="R35" s="129">
        <v>2</v>
      </c>
      <c r="S35" s="129">
        <v>33248</v>
      </c>
      <c r="T35" s="87"/>
      <c r="U35" s="129">
        <v>62</v>
      </c>
      <c r="V35" s="129">
        <v>10140.98</v>
      </c>
      <c r="W35" s="129">
        <v>28.919999999999995</v>
      </c>
      <c r="X35" s="129">
        <v>124</v>
      </c>
      <c r="Y35" s="129">
        <v>150695.51999999999</v>
      </c>
      <c r="Z35" s="129">
        <v>319.27</v>
      </c>
      <c r="AA35" s="129">
        <v>1</v>
      </c>
      <c r="AB35"/>
      <c r="AC35" s="131">
        <f t="shared" si="0"/>
        <v>6827</v>
      </c>
      <c r="AD35"/>
    </row>
    <row r="36" spans="1:30">
      <c r="A36" s="82">
        <v>2014</v>
      </c>
      <c r="B36" s="83" t="s">
        <v>78</v>
      </c>
      <c r="C36" s="86"/>
      <c r="D36" s="128">
        <v>18474800.579061899</v>
      </c>
      <c r="E36" s="128">
        <v>8538.07</v>
      </c>
      <c r="F36" s="128">
        <v>4870979.7900000056</v>
      </c>
      <c r="G36" s="128">
        <v>6106</v>
      </c>
      <c r="H36" s="128">
        <v>2079737.4599999995</v>
      </c>
      <c r="I36" s="128">
        <v>629</v>
      </c>
      <c r="J36" s="128">
        <v>4283830.0299999993</v>
      </c>
      <c r="K36" s="128">
        <v>11350.089999999997</v>
      </c>
      <c r="L36" s="128">
        <v>78</v>
      </c>
      <c r="M36" s="128">
        <v>3131849.04</v>
      </c>
      <c r="N36" s="128">
        <v>7487.41</v>
      </c>
      <c r="O36" s="128">
        <v>10</v>
      </c>
      <c r="P36" s="128">
        <v>3209998.24</v>
      </c>
      <c r="Q36" s="128">
        <v>5569.17</v>
      </c>
      <c r="R36" s="128">
        <v>2</v>
      </c>
      <c r="S36" s="128">
        <v>29733.86</v>
      </c>
      <c r="T36" s="85"/>
      <c r="U36" s="128">
        <v>59</v>
      </c>
      <c r="V36" s="128">
        <v>9108.09</v>
      </c>
      <c r="W36" s="128">
        <v>23.829999999999995</v>
      </c>
      <c r="X36" s="128">
        <v>124</v>
      </c>
      <c r="Y36" s="128">
        <v>148460.54999999999</v>
      </c>
      <c r="Z36" s="128">
        <v>319.27</v>
      </c>
      <c r="AA36" s="128">
        <v>1</v>
      </c>
      <c r="AB36"/>
      <c r="AC36" s="131">
        <f t="shared" si="0"/>
        <v>6826</v>
      </c>
      <c r="AD36"/>
    </row>
    <row r="37" spans="1:30">
      <c r="A37" s="82">
        <v>2014</v>
      </c>
      <c r="B37" s="83" t="s">
        <v>79</v>
      </c>
      <c r="C37" s="86"/>
      <c r="D37" s="129">
        <v>16627641.0667389</v>
      </c>
      <c r="E37" s="129">
        <v>12721.86</v>
      </c>
      <c r="F37" s="129">
        <v>4282879.730000007</v>
      </c>
      <c r="G37" s="129">
        <v>6116</v>
      </c>
      <c r="H37" s="129">
        <v>1886824.34</v>
      </c>
      <c r="I37" s="129">
        <v>630</v>
      </c>
      <c r="J37" s="129">
        <v>3917690.2199999993</v>
      </c>
      <c r="K37" s="129">
        <v>10976.75</v>
      </c>
      <c r="L37" s="129">
        <v>78</v>
      </c>
      <c r="M37" s="129">
        <v>2917663.5200000005</v>
      </c>
      <c r="N37" s="129">
        <v>7582.7300000000005</v>
      </c>
      <c r="O37" s="129">
        <v>10</v>
      </c>
      <c r="P37" s="129">
        <v>2990229.5600000005</v>
      </c>
      <c r="Q37" s="129">
        <v>5532.16</v>
      </c>
      <c r="R37" s="129">
        <v>2</v>
      </c>
      <c r="S37" s="129">
        <v>31852.91</v>
      </c>
      <c r="T37" s="87"/>
      <c r="U37" s="129">
        <v>59</v>
      </c>
      <c r="V37" s="129">
        <v>8161.41</v>
      </c>
      <c r="W37" s="129">
        <v>23.660000000000004</v>
      </c>
      <c r="X37" s="129">
        <v>124</v>
      </c>
      <c r="Y37" s="129">
        <v>134093</v>
      </c>
      <c r="Z37" s="129">
        <v>319.27</v>
      </c>
      <c r="AA37" s="129">
        <v>1</v>
      </c>
      <c r="AB37"/>
      <c r="AC37" s="131">
        <f t="shared" si="0"/>
        <v>6837</v>
      </c>
      <c r="AD37"/>
    </row>
    <row r="38" spans="1:30">
      <c r="A38" s="82">
        <v>2014</v>
      </c>
      <c r="B38" s="83" t="s">
        <v>80</v>
      </c>
      <c r="C38" s="86"/>
      <c r="D38" s="129">
        <v>17703765.753800001</v>
      </c>
      <c r="E38" s="129">
        <v>25883.119999999999</v>
      </c>
      <c r="F38" s="129">
        <v>4305122.0499999877</v>
      </c>
      <c r="G38" s="129">
        <v>6124</v>
      </c>
      <c r="H38" s="129">
        <v>1962382.76</v>
      </c>
      <c r="I38" s="129">
        <v>631</v>
      </c>
      <c r="J38" s="129">
        <v>4249950.1500000004</v>
      </c>
      <c r="K38" s="129">
        <v>11789.170000000004</v>
      </c>
      <c r="L38" s="129">
        <v>79</v>
      </c>
      <c r="M38" s="129">
        <v>3273206.92</v>
      </c>
      <c r="N38" s="129">
        <v>7791.13</v>
      </c>
      <c r="O38" s="129">
        <v>10</v>
      </c>
      <c r="P38" s="129">
        <v>3169745</v>
      </c>
      <c r="Q38" s="129">
        <v>5533.2800000000007</v>
      </c>
      <c r="R38" s="129">
        <v>2</v>
      </c>
      <c r="S38" s="129">
        <v>35843.94</v>
      </c>
      <c r="T38" s="87"/>
      <c r="U38" s="129">
        <v>59</v>
      </c>
      <c r="V38" s="129">
        <v>9037.57</v>
      </c>
      <c r="W38" s="129">
        <v>26.490000000000009</v>
      </c>
      <c r="X38" s="129">
        <v>124</v>
      </c>
      <c r="Y38" s="129">
        <v>124116.4</v>
      </c>
      <c r="Z38" s="129">
        <v>319.27</v>
      </c>
      <c r="AA38" s="129">
        <v>1</v>
      </c>
      <c r="AB38"/>
      <c r="AC38" s="131">
        <f t="shared" si="0"/>
        <v>6847</v>
      </c>
      <c r="AD38"/>
    </row>
    <row r="39" spans="1:30">
      <c r="A39" s="82">
        <v>2014</v>
      </c>
      <c r="B39" s="83" t="s">
        <v>81</v>
      </c>
      <c r="C39" s="86"/>
      <c r="D39" s="129">
        <v>15585905.142968001</v>
      </c>
      <c r="E39" s="129">
        <v>29655.1</v>
      </c>
      <c r="F39" s="129">
        <v>3631743.8699999843</v>
      </c>
      <c r="G39" s="129">
        <v>6126</v>
      </c>
      <c r="H39" s="129">
        <v>1666312.9000000001</v>
      </c>
      <c r="I39" s="129">
        <v>635</v>
      </c>
      <c r="J39" s="129">
        <v>3804996.29</v>
      </c>
      <c r="K39" s="129">
        <v>10729.079999999998</v>
      </c>
      <c r="L39" s="129">
        <v>80</v>
      </c>
      <c r="M39" s="129">
        <v>3032701.2900000005</v>
      </c>
      <c r="N39" s="129">
        <v>7794.13</v>
      </c>
      <c r="O39" s="129">
        <v>10</v>
      </c>
      <c r="P39" s="129">
        <v>2955904.84</v>
      </c>
      <c r="Q39" s="129">
        <v>5493.2800000000007</v>
      </c>
      <c r="R39" s="129">
        <v>2</v>
      </c>
      <c r="S39" s="129">
        <v>31225.390000000003</v>
      </c>
      <c r="T39" s="87"/>
      <c r="U39" s="129">
        <v>59</v>
      </c>
      <c r="V39" s="129">
        <v>8743.25</v>
      </c>
      <c r="W39" s="129">
        <v>23.209999999999994</v>
      </c>
      <c r="X39" s="129">
        <v>124</v>
      </c>
      <c r="Y39" s="129">
        <v>102326.37</v>
      </c>
      <c r="Z39" s="129">
        <v>319.27</v>
      </c>
      <c r="AA39" s="129">
        <v>1</v>
      </c>
      <c r="AB39"/>
      <c r="AC39" s="131">
        <f t="shared" si="0"/>
        <v>6854</v>
      </c>
      <c r="AD39"/>
    </row>
    <row r="40" spans="1:30">
      <c r="A40" s="82">
        <v>2014</v>
      </c>
      <c r="B40" s="83" t="s">
        <v>52</v>
      </c>
      <c r="C40" s="86"/>
      <c r="D40" s="129">
        <v>15699359.7465881</v>
      </c>
      <c r="E40" s="129">
        <v>33479.81</v>
      </c>
      <c r="F40" s="129">
        <v>3518702.3499999894</v>
      </c>
      <c r="G40" s="129">
        <v>6134</v>
      </c>
      <c r="H40" s="129">
        <v>1682666.6300000001</v>
      </c>
      <c r="I40" s="129">
        <v>629</v>
      </c>
      <c r="J40" s="129">
        <v>3222350.649999999</v>
      </c>
      <c r="K40" s="129">
        <v>10400.400000000001</v>
      </c>
      <c r="L40" s="129">
        <v>80</v>
      </c>
      <c r="M40" s="129">
        <v>3575264.5199999996</v>
      </c>
      <c r="N40" s="129">
        <v>9243.380000000001</v>
      </c>
      <c r="O40" s="129">
        <v>11</v>
      </c>
      <c r="P40" s="129">
        <v>3187772.5999999996</v>
      </c>
      <c r="Q40" s="129">
        <v>5690.08</v>
      </c>
      <c r="R40" s="129">
        <v>2</v>
      </c>
      <c r="S40" s="129">
        <v>34241.229999999996</v>
      </c>
      <c r="T40" s="87"/>
      <c r="U40" s="129">
        <v>59</v>
      </c>
      <c r="V40" s="129">
        <v>9039.73</v>
      </c>
      <c r="W40" s="129">
        <v>24.869999999999997</v>
      </c>
      <c r="X40" s="129">
        <v>124</v>
      </c>
      <c r="Y40" s="129">
        <v>96268.999999999985</v>
      </c>
      <c r="Z40" s="129">
        <v>346.64</v>
      </c>
      <c r="AA40" s="129">
        <v>1</v>
      </c>
      <c r="AB40"/>
      <c r="AC40" s="131">
        <f t="shared" si="0"/>
        <v>6857</v>
      </c>
      <c r="AD40"/>
    </row>
    <row r="41" spans="1:30">
      <c r="A41" s="82">
        <v>2014</v>
      </c>
      <c r="B41" s="83" t="s">
        <v>82</v>
      </c>
      <c r="C41" s="86"/>
      <c r="D41" s="129">
        <v>17137936.4018654</v>
      </c>
      <c r="E41" s="129">
        <v>36363.160000000003</v>
      </c>
      <c r="F41" s="129">
        <v>4127003.2700000163</v>
      </c>
      <c r="G41" s="129">
        <v>6144</v>
      </c>
      <c r="H41" s="129">
        <v>1835389.8100000003</v>
      </c>
      <c r="I41" s="129">
        <v>627</v>
      </c>
      <c r="J41" s="129">
        <v>3472185.680000002</v>
      </c>
      <c r="K41" s="129">
        <v>10293.02</v>
      </c>
      <c r="L41" s="129">
        <v>79</v>
      </c>
      <c r="M41" s="129">
        <v>3787814.85</v>
      </c>
      <c r="N41" s="129">
        <v>9425.93</v>
      </c>
      <c r="O41" s="129">
        <v>11</v>
      </c>
      <c r="P41" s="129">
        <v>3104946.7600000002</v>
      </c>
      <c r="Q41" s="129">
        <v>5866.08</v>
      </c>
      <c r="R41" s="129">
        <v>2</v>
      </c>
      <c r="S41" s="129">
        <v>28927.989999999998</v>
      </c>
      <c r="T41" s="87"/>
      <c r="U41" s="129">
        <v>59</v>
      </c>
      <c r="V41" s="129">
        <v>8738.16</v>
      </c>
      <c r="W41" s="129">
        <v>22.67</v>
      </c>
      <c r="X41" s="129">
        <v>126</v>
      </c>
      <c r="Y41" s="129">
        <v>87092.29</v>
      </c>
      <c r="Z41" s="129">
        <v>273.66000000000003</v>
      </c>
      <c r="AA41" s="129">
        <v>1</v>
      </c>
      <c r="AB41"/>
      <c r="AC41" s="131">
        <f t="shared" si="0"/>
        <v>6864</v>
      </c>
      <c r="AD41"/>
    </row>
    <row r="42" spans="1:30">
      <c r="A42" s="82">
        <v>2014</v>
      </c>
      <c r="B42" s="83" t="s">
        <v>83</v>
      </c>
      <c r="C42" s="86"/>
      <c r="D42" s="129">
        <v>17172508.619147401</v>
      </c>
      <c r="E42" s="129">
        <v>35017.25</v>
      </c>
      <c r="F42" s="129">
        <v>4441328.9800000032</v>
      </c>
      <c r="G42" s="129">
        <v>6149</v>
      </c>
      <c r="H42" s="129">
        <v>1890335.900000002</v>
      </c>
      <c r="I42" s="129">
        <v>628</v>
      </c>
      <c r="J42" s="129">
        <v>3471940.1900000004</v>
      </c>
      <c r="K42" s="129">
        <v>10349.509999999997</v>
      </c>
      <c r="L42" s="129">
        <v>79</v>
      </c>
      <c r="M42" s="129">
        <v>3929445.6400000006</v>
      </c>
      <c r="N42" s="129">
        <v>9743.26</v>
      </c>
      <c r="O42" s="129">
        <v>11</v>
      </c>
      <c r="P42" s="129">
        <v>2943110.2</v>
      </c>
      <c r="Q42" s="129">
        <v>5543.2</v>
      </c>
      <c r="R42" s="129">
        <v>2</v>
      </c>
      <c r="S42" s="129">
        <v>32498.650000000005</v>
      </c>
      <c r="T42" s="87"/>
      <c r="U42" s="129">
        <v>59</v>
      </c>
      <c r="V42" s="129">
        <v>9037.3700000000008</v>
      </c>
      <c r="W42" s="129">
        <v>24.670000000000009</v>
      </c>
      <c r="X42" s="129">
        <v>124</v>
      </c>
      <c r="Y42" s="129">
        <v>91821.97</v>
      </c>
      <c r="Z42" s="129">
        <v>348.52</v>
      </c>
      <c r="AA42" s="129">
        <v>1</v>
      </c>
      <c r="AB42"/>
      <c r="AC42" s="131">
        <f t="shared" si="0"/>
        <v>6870</v>
      </c>
      <c r="AD42"/>
    </row>
    <row r="43" spans="1:30">
      <c r="A43" s="82">
        <v>2014</v>
      </c>
      <c r="B43" s="83" t="s">
        <v>84</v>
      </c>
      <c r="C43" s="86"/>
      <c r="D43" s="129">
        <v>17464591.131454099</v>
      </c>
      <c r="E43" s="129">
        <v>92196.03</v>
      </c>
      <c r="F43" s="129">
        <v>4265749.3300000038</v>
      </c>
      <c r="G43" s="129">
        <v>6153</v>
      </c>
      <c r="H43" s="129">
        <v>1831405.369999998</v>
      </c>
      <c r="I43" s="129">
        <v>632</v>
      </c>
      <c r="J43" s="129">
        <v>3429223.1899999995</v>
      </c>
      <c r="K43" s="129">
        <v>10833.789999999997</v>
      </c>
      <c r="L43" s="129">
        <v>79</v>
      </c>
      <c r="M43" s="129">
        <v>4177143.89</v>
      </c>
      <c r="N43" s="129">
        <v>9799.7500000000018</v>
      </c>
      <c r="O43" s="129">
        <v>11</v>
      </c>
      <c r="P43" s="129">
        <v>3102925.6</v>
      </c>
      <c r="Q43" s="129">
        <v>5672.32</v>
      </c>
      <c r="R43" s="129">
        <v>2</v>
      </c>
      <c r="S43" s="129">
        <v>34599.18</v>
      </c>
      <c r="T43" s="87"/>
      <c r="U43" s="129">
        <v>59</v>
      </c>
      <c r="V43" s="129">
        <v>9037.369999999999</v>
      </c>
      <c r="W43" s="129">
        <v>25.770000000000003</v>
      </c>
      <c r="X43" s="129">
        <v>124</v>
      </c>
      <c r="Y43" s="129">
        <v>104194.64</v>
      </c>
      <c r="Z43" s="129">
        <v>339.15999999999997</v>
      </c>
      <c r="AA43" s="129">
        <v>1</v>
      </c>
      <c r="AB43"/>
      <c r="AC43" s="131">
        <f t="shared" si="0"/>
        <v>6878</v>
      </c>
      <c r="AD43"/>
    </row>
    <row r="44" spans="1:30">
      <c r="A44" s="82">
        <v>2014</v>
      </c>
      <c r="B44" s="83" t="s">
        <v>85</v>
      </c>
      <c r="C44" s="86"/>
      <c r="D44" s="129">
        <v>16494037.3646926</v>
      </c>
      <c r="E44" s="129">
        <v>132131.48000000001</v>
      </c>
      <c r="F44" s="129">
        <v>3731446.629999978</v>
      </c>
      <c r="G44" s="129">
        <v>6164</v>
      </c>
      <c r="H44" s="129">
        <v>1663735.1399999959</v>
      </c>
      <c r="I44" s="129">
        <v>631</v>
      </c>
      <c r="J44" s="129">
        <v>3472848.830000001</v>
      </c>
      <c r="K44" s="129">
        <v>10813.269999999993</v>
      </c>
      <c r="L44" s="129">
        <v>80</v>
      </c>
      <c r="M44" s="129">
        <v>3970646.96</v>
      </c>
      <c r="N44" s="129">
        <v>9419.06</v>
      </c>
      <c r="O44" s="129">
        <v>10</v>
      </c>
      <c r="P44" s="129">
        <v>3150678.8</v>
      </c>
      <c r="Q44" s="129">
        <v>5621.28</v>
      </c>
      <c r="R44" s="129">
        <v>2</v>
      </c>
      <c r="S44" s="129">
        <v>32668.059999999994</v>
      </c>
      <c r="T44" s="87"/>
      <c r="U44" s="129">
        <v>59</v>
      </c>
      <c r="V44" s="129">
        <v>8745.840000000002</v>
      </c>
      <c r="W44" s="129">
        <v>24.269999999999996</v>
      </c>
      <c r="X44" s="129">
        <v>124</v>
      </c>
      <c r="Y44" s="129">
        <v>111962.8</v>
      </c>
      <c r="Z44" s="129">
        <v>309.64999999999998</v>
      </c>
      <c r="AA44" s="129">
        <v>1</v>
      </c>
      <c r="AB44"/>
      <c r="AC44" s="131">
        <f t="shared" si="0"/>
        <v>6888</v>
      </c>
      <c r="AD44"/>
    </row>
    <row r="45" spans="1:30">
      <c r="A45" s="82">
        <v>2014</v>
      </c>
      <c r="B45" s="83" t="s">
        <v>86</v>
      </c>
      <c r="C45" s="86"/>
      <c r="D45" s="129">
        <v>16323745.332645901</v>
      </c>
      <c r="E45" s="129">
        <v>118902.48</v>
      </c>
      <c r="F45" s="129">
        <v>3546933.130000026</v>
      </c>
      <c r="G45" s="129">
        <v>6169</v>
      </c>
      <c r="H45" s="129">
        <v>1637580.5400000028</v>
      </c>
      <c r="I45" s="129">
        <v>630</v>
      </c>
      <c r="J45" s="129">
        <v>3520495.1900000009</v>
      </c>
      <c r="K45" s="129">
        <v>10539.819999999998</v>
      </c>
      <c r="L45" s="129">
        <v>80</v>
      </c>
      <c r="M45" s="129">
        <v>3777409.91</v>
      </c>
      <c r="N45" s="129">
        <v>8572.2800000000007</v>
      </c>
      <c r="O45" s="129">
        <v>10</v>
      </c>
      <c r="P45" s="129">
        <v>3269695.04</v>
      </c>
      <c r="Q45" s="129">
        <v>5782.88</v>
      </c>
      <c r="R45" s="129">
        <v>2</v>
      </c>
      <c r="S45" s="129">
        <v>33955.69</v>
      </c>
      <c r="T45" s="87"/>
      <c r="U45" s="129">
        <v>59</v>
      </c>
      <c r="V45" s="129">
        <v>9037.369999999999</v>
      </c>
      <c r="W45" s="129">
        <v>25.049999999999997</v>
      </c>
      <c r="X45" s="129">
        <v>124</v>
      </c>
      <c r="Y45" s="129">
        <v>130831.40999999999</v>
      </c>
      <c r="Z45" s="129">
        <v>331.02</v>
      </c>
      <c r="AA45" s="129">
        <v>1</v>
      </c>
      <c r="AB45"/>
      <c r="AC45" s="131">
        <f t="shared" si="0"/>
        <v>6892</v>
      </c>
      <c r="AD45"/>
    </row>
    <row r="46" spans="1:30">
      <c r="A46" s="82">
        <v>2014</v>
      </c>
      <c r="B46" s="83" t="s">
        <v>87</v>
      </c>
      <c r="C46" s="86"/>
      <c r="D46" s="129">
        <v>16439064.630017299</v>
      </c>
      <c r="E46" s="129">
        <v>111854.87</v>
      </c>
      <c r="F46" s="129">
        <v>4012620.699999989</v>
      </c>
      <c r="G46" s="129">
        <v>6173</v>
      </c>
      <c r="H46" s="129">
        <v>1773162.1100000003</v>
      </c>
      <c r="I46" s="129">
        <v>631</v>
      </c>
      <c r="J46" s="129">
        <v>3502006.669999999</v>
      </c>
      <c r="K46" s="129">
        <v>10714.550000000001</v>
      </c>
      <c r="L46" s="129">
        <v>80</v>
      </c>
      <c r="M46" s="129">
        <v>3475559.3299999996</v>
      </c>
      <c r="N46" s="129">
        <v>8299.67</v>
      </c>
      <c r="O46" s="129">
        <v>10</v>
      </c>
      <c r="P46" s="129">
        <v>3063106.7600000002</v>
      </c>
      <c r="Q46" s="129">
        <v>5627.2</v>
      </c>
      <c r="R46" s="129">
        <v>2</v>
      </c>
      <c r="S46" s="129">
        <v>34194.93</v>
      </c>
      <c r="T46" s="87"/>
      <c r="U46" s="129">
        <v>59</v>
      </c>
      <c r="V46" s="129">
        <v>9347.380000000001</v>
      </c>
      <c r="W46" s="129">
        <v>27.490000000000002</v>
      </c>
      <c r="X46" s="129">
        <v>124</v>
      </c>
      <c r="Y46" s="129">
        <v>138259.51999999999</v>
      </c>
      <c r="Z46" s="129">
        <v>326.14999999999998</v>
      </c>
      <c r="AA46" s="129">
        <v>1</v>
      </c>
      <c r="AB46"/>
      <c r="AC46" s="131">
        <f t="shared" si="0"/>
        <v>6897</v>
      </c>
      <c r="AD46"/>
    </row>
    <row r="47" spans="1:30">
      <c r="A47" s="82">
        <v>2014</v>
      </c>
      <c r="B47" s="83" t="s">
        <v>88</v>
      </c>
      <c r="C47" s="86"/>
      <c r="D47" s="129">
        <v>16217636.362502901</v>
      </c>
      <c r="E47" s="129">
        <v>48311.07</v>
      </c>
      <c r="F47" s="129">
        <v>4535463.2099999981</v>
      </c>
      <c r="G47" s="129">
        <v>6183</v>
      </c>
      <c r="H47" s="129">
        <v>1943512.549999998</v>
      </c>
      <c r="I47" s="129">
        <v>629</v>
      </c>
      <c r="J47" s="129">
        <v>3544833.2899999986</v>
      </c>
      <c r="K47" s="129">
        <v>10544.059999999996</v>
      </c>
      <c r="L47" s="129">
        <v>79</v>
      </c>
      <c r="M47" s="129">
        <v>3233263.6900000004</v>
      </c>
      <c r="N47" s="129">
        <v>8184.63</v>
      </c>
      <c r="O47" s="129">
        <v>10</v>
      </c>
      <c r="P47" s="129">
        <v>2482484.2000000002</v>
      </c>
      <c r="Q47" s="129">
        <v>5655.68</v>
      </c>
      <c r="R47" s="129">
        <v>2</v>
      </c>
      <c r="S47" s="129">
        <v>32465.480000000003</v>
      </c>
      <c r="T47" s="87"/>
      <c r="U47" s="129">
        <v>59</v>
      </c>
      <c r="V47" s="129">
        <v>10134.290000000001</v>
      </c>
      <c r="W47" s="129">
        <v>28.010000000000005</v>
      </c>
      <c r="X47" s="129">
        <v>124</v>
      </c>
      <c r="Y47" s="129">
        <v>149671.87</v>
      </c>
      <c r="Z47" s="129">
        <v>311.29000000000002</v>
      </c>
      <c r="AA47" s="129">
        <v>1</v>
      </c>
      <c r="AB47"/>
      <c r="AC47" s="131">
        <f t="shared" si="0"/>
        <v>6904</v>
      </c>
      <c r="AD47"/>
    </row>
    <row r="48" spans="1:30">
      <c r="A48" s="82">
        <v>2015</v>
      </c>
      <c r="B48" s="83" t="s">
        <v>78</v>
      </c>
      <c r="C48" s="86"/>
      <c r="D48" s="128">
        <v>17723115.783311199</v>
      </c>
      <c r="E48" s="128">
        <v>50373.66</v>
      </c>
      <c r="F48" s="128">
        <v>4695139.8099999661</v>
      </c>
      <c r="G48" s="128">
        <v>6182</v>
      </c>
      <c r="H48" s="128">
        <v>2037897.9599999983</v>
      </c>
      <c r="I48" s="128">
        <v>633</v>
      </c>
      <c r="J48" s="128">
        <v>3819072.810000001</v>
      </c>
      <c r="K48" s="128">
        <v>10588.13</v>
      </c>
      <c r="L48" s="128">
        <v>79</v>
      </c>
      <c r="M48" s="128">
        <v>3551711.27</v>
      </c>
      <c r="N48" s="128">
        <v>8233.4600000000009</v>
      </c>
      <c r="O48" s="128">
        <v>10</v>
      </c>
      <c r="P48" s="128">
        <v>2775397.6399999997</v>
      </c>
      <c r="Q48" s="128">
        <v>5612</v>
      </c>
      <c r="R48" s="128">
        <v>2</v>
      </c>
      <c r="S48" s="128">
        <v>30681.91</v>
      </c>
      <c r="T48" s="85"/>
      <c r="U48" s="128">
        <v>59</v>
      </c>
      <c r="V48" s="128">
        <v>9178.91</v>
      </c>
      <c r="W48" s="128">
        <v>24.699999999999996</v>
      </c>
      <c r="X48" s="128">
        <v>124</v>
      </c>
      <c r="Y48" s="128">
        <v>148676.06</v>
      </c>
      <c r="Z48" s="128">
        <v>329.90999999999997</v>
      </c>
      <c r="AA48" s="128">
        <v>1</v>
      </c>
      <c r="AB48"/>
      <c r="AC48" s="131">
        <f t="shared" si="0"/>
        <v>6907</v>
      </c>
      <c r="AD48"/>
    </row>
    <row r="49" spans="1:30">
      <c r="A49" s="82">
        <v>2015</v>
      </c>
      <c r="B49" s="83" t="s">
        <v>79</v>
      </c>
      <c r="C49" s="86"/>
      <c r="D49" s="129">
        <v>16726909.162339199</v>
      </c>
      <c r="E49" s="129">
        <v>23402.92</v>
      </c>
      <c r="F49" s="129">
        <v>4274784.3600000171</v>
      </c>
      <c r="G49" s="129">
        <v>6185</v>
      </c>
      <c r="H49" s="129">
        <v>1924391.1200000027</v>
      </c>
      <c r="I49" s="129">
        <v>630</v>
      </c>
      <c r="J49" s="129">
        <v>3620665.6799999992</v>
      </c>
      <c r="K49" s="129">
        <v>10826.78</v>
      </c>
      <c r="L49" s="129">
        <v>79</v>
      </c>
      <c r="M49" s="129">
        <v>3240281.38</v>
      </c>
      <c r="N49" s="129">
        <v>8319.630000000001</v>
      </c>
      <c r="O49" s="129">
        <v>10</v>
      </c>
      <c r="P49" s="129">
        <v>2837396.48</v>
      </c>
      <c r="Q49" s="129">
        <v>5629.12</v>
      </c>
      <c r="R49" s="129">
        <v>2</v>
      </c>
      <c r="S49" s="129">
        <v>29243.62</v>
      </c>
      <c r="T49" s="87"/>
      <c r="U49" s="129">
        <v>59</v>
      </c>
      <c r="V49" s="129">
        <v>8160.5400000000009</v>
      </c>
      <c r="W49" s="129">
        <v>23.060000000000002</v>
      </c>
      <c r="X49" s="129">
        <v>125</v>
      </c>
      <c r="Y49" s="129">
        <v>132644.87</v>
      </c>
      <c r="Z49" s="129">
        <v>300.34999999999997</v>
      </c>
      <c r="AA49" s="129">
        <v>1</v>
      </c>
      <c r="AB49"/>
      <c r="AC49" s="131">
        <f t="shared" si="0"/>
        <v>6907</v>
      </c>
      <c r="AD49"/>
    </row>
    <row r="50" spans="1:30">
      <c r="A50" s="82">
        <v>2015</v>
      </c>
      <c r="B50" s="83" t="s">
        <v>80</v>
      </c>
      <c r="C50" s="86"/>
      <c r="D50" s="129">
        <v>17336606.376991</v>
      </c>
      <c r="E50" s="129">
        <v>131340</v>
      </c>
      <c r="F50" s="129">
        <v>4123564.6899999985</v>
      </c>
      <c r="G50" s="129">
        <v>6190</v>
      </c>
      <c r="H50" s="129">
        <v>1925951.4100000001</v>
      </c>
      <c r="I50" s="129">
        <v>635</v>
      </c>
      <c r="J50" s="129">
        <v>3798796.98</v>
      </c>
      <c r="K50" s="129">
        <v>10779.610000000002</v>
      </c>
      <c r="L50" s="129">
        <v>79</v>
      </c>
      <c r="M50" s="129">
        <v>3716589.4899999998</v>
      </c>
      <c r="N50" s="129">
        <v>8528.2300000000014</v>
      </c>
      <c r="O50" s="129">
        <v>10</v>
      </c>
      <c r="P50" s="129">
        <v>3256216.5200000005</v>
      </c>
      <c r="Q50" s="129">
        <v>5737.4400000000005</v>
      </c>
      <c r="R50" s="129">
        <v>2</v>
      </c>
      <c r="S50" s="129">
        <v>36533.78</v>
      </c>
      <c r="T50" s="87"/>
      <c r="U50" s="129">
        <v>59</v>
      </c>
      <c r="V50" s="129">
        <v>9030.73</v>
      </c>
      <c r="W50" s="129">
        <v>25.939999999999998</v>
      </c>
      <c r="X50" s="129">
        <v>124</v>
      </c>
      <c r="Y50" s="129">
        <v>123300.95999999999</v>
      </c>
      <c r="Z50" s="129">
        <v>353.67</v>
      </c>
      <c r="AA50" s="129">
        <v>1</v>
      </c>
      <c r="AB50"/>
      <c r="AC50" s="131">
        <f t="shared" si="0"/>
        <v>6917</v>
      </c>
      <c r="AD50"/>
    </row>
    <row r="51" spans="1:30">
      <c r="A51" s="82">
        <v>2015</v>
      </c>
      <c r="B51" s="83" t="s">
        <v>81</v>
      </c>
      <c r="C51" s="86"/>
      <c r="D51" s="129">
        <v>15431602.3445752</v>
      </c>
      <c r="E51" s="129">
        <v>188838.86</v>
      </c>
      <c r="F51" s="129">
        <v>3537708.0300000045</v>
      </c>
      <c r="G51" s="129">
        <v>6194</v>
      </c>
      <c r="H51" s="129">
        <v>1686666.4800000007</v>
      </c>
      <c r="I51" s="129">
        <v>631</v>
      </c>
      <c r="J51" s="129">
        <v>3384965.1000000006</v>
      </c>
      <c r="K51" s="129">
        <v>10577.369999999999</v>
      </c>
      <c r="L51" s="129">
        <v>79</v>
      </c>
      <c r="M51" s="129">
        <v>3527505.4499999997</v>
      </c>
      <c r="N51" s="129">
        <v>8348.1299999999992</v>
      </c>
      <c r="O51" s="129">
        <v>10</v>
      </c>
      <c r="P51" s="129">
        <v>2983757.04</v>
      </c>
      <c r="Q51" s="129">
        <v>5737.15</v>
      </c>
      <c r="R51" s="129">
        <v>2</v>
      </c>
      <c r="S51" s="129">
        <v>31811.719999999998</v>
      </c>
      <c r="T51" s="87"/>
      <c r="U51" s="129">
        <v>60</v>
      </c>
      <c r="V51" s="129">
        <v>8998.5600000000013</v>
      </c>
      <c r="W51" s="129">
        <v>23.97</v>
      </c>
      <c r="X51" s="129">
        <v>124</v>
      </c>
      <c r="Y51" s="129">
        <v>107069.81999999999</v>
      </c>
      <c r="Z51" s="129">
        <v>294.25000000000006</v>
      </c>
      <c r="AA51" s="129">
        <v>1</v>
      </c>
      <c r="AB51"/>
      <c r="AC51" s="131">
        <f t="shared" si="0"/>
        <v>6917</v>
      </c>
      <c r="AD51"/>
    </row>
    <row r="52" spans="1:30">
      <c r="A52" s="82">
        <v>2015</v>
      </c>
      <c r="B52" s="83" t="s">
        <v>52</v>
      </c>
      <c r="C52" s="86"/>
      <c r="D52" s="129">
        <v>15714580.900030101</v>
      </c>
      <c r="E52" s="129">
        <v>234490.39</v>
      </c>
      <c r="F52" s="129">
        <v>3656146.6399999973</v>
      </c>
      <c r="G52" s="129">
        <v>6200</v>
      </c>
      <c r="H52" s="129">
        <v>1712420.3199999998</v>
      </c>
      <c r="I52" s="129">
        <v>634</v>
      </c>
      <c r="J52" s="129">
        <v>3463271.2499999991</v>
      </c>
      <c r="K52" s="129">
        <v>11495.159999999998</v>
      </c>
      <c r="L52" s="129">
        <v>79</v>
      </c>
      <c r="M52" s="129">
        <v>3624782.2500000005</v>
      </c>
      <c r="N52" s="129">
        <v>8754.2799999999988</v>
      </c>
      <c r="O52" s="129">
        <v>10</v>
      </c>
      <c r="P52" s="129">
        <v>3158199.88</v>
      </c>
      <c r="Q52" s="129">
        <v>5727.4699999999993</v>
      </c>
      <c r="R52" s="129">
        <v>2</v>
      </c>
      <c r="S52" s="129">
        <v>37784.219999999994</v>
      </c>
      <c r="T52" s="87"/>
      <c r="U52" s="129">
        <v>60</v>
      </c>
      <c r="V52" s="129">
        <v>11282.570000000003</v>
      </c>
      <c r="W52" s="129">
        <v>28.130000000000003</v>
      </c>
      <c r="X52" s="129">
        <v>124</v>
      </c>
      <c r="Y52" s="129">
        <v>96938.49</v>
      </c>
      <c r="Z52" s="129">
        <v>331.85</v>
      </c>
      <c r="AA52" s="129">
        <v>1</v>
      </c>
      <c r="AB52"/>
      <c r="AC52" s="131">
        <f t="shared" si="0"/>
        <v>6926</v>
      </c>
      <c r="AD52"/>
    </row>
    <row r="53" spans="1:30">
      <c r="A53" s="82">
        <v>2015</v>
      </c>
      <c r="B53" s="83" t="s">
        <v>82</v>
      </c>
      <c r="C53" s="86"/>
      <c r="D53" s="129">
        <v>16466478.565145399</v>
      </c>
      <c r="E53" s="129">
        <v>216211.88</v>
      </c>
      <c r="F53" s="129">
        <v>3935900.3399999961</v>
      </c>
      <c r="G53" s="129">
        <v>6202</v>
      </c>
      <c r="H53" s="129">
        <v>1762963.579999998</v>
      </c>
      <c r="I53" s="129">
        <v>636</v>
      </c>
      <c r="J53" s="129">
        <v>3546221.68</v>
      </c>
      <c r="K53" s="129">
        <v>11402.939999999999</v>
      </c>
      <c r="L53" s="129">
        <v>79</v>
      </c>
      <c r="M53" s="129">
        <v>3799701.67</v>
      </c>
      <c r="N53" s="129">
        <v>8919.57</v>
      </c>
      <c r="O53" s="129">
        <v>10</v>
      </c>
      <c r="P53" s="129">
        <v>3005670.84</v>
      </c>
      <c r="Q53" s="129">
        <v>5822.57</v>
      </c>
      <c r="R53" s="129">
        <v>2</v>
      </c>
      <c r="S53" s="129">
        <v>26689.610000000004</v>
      </c>
      <c r="T53" s="87"/>
      <c r="U53" s="129">
        <v>60</v>
      </c>
      <c r="V53" s="129">
        <v>8738.64</v>
      </c>
      <c r="W53" s="129">
        <v>21.340000000000003</v>
      </c>
      <c r="X53" s="129">
        <v>124</v>
      </c>
      <c r="Y53" s="129">
        <v>87434.36</v>
      </c>
      <c r="Z53" s="129">
        <v>273.66000000000003</v>
      </c>
      <c r="AA53" s="129">
        <v>1</v>
      </c>
      <c r="AB53"/>
      <c r="AC53" s="131">
        <f t="shared" si="0"/>
        <v>6930</v>
      </c>
      <c r="AD53"/>
    </row>
    <row r="54" spans="1:30">
      <c r="A54" s="82">
        <v>2015</v>
      </c>
      <c r="B54" s="83" t="s">
        <v>83</v>
      </c>
      <c r="C54" s="86"/>
      <c r="D54" s="129">
        <v>17832468.7705051</v>
      </c>
      <c r="E54" s="129">
        <v>236496.12</v>
      </c>
      <c r="F54" s="129">
        <v>4680090.2299999828</v>
      </c>
      <c r="G54" s="129">
        <v>6202</v>
      </c>
      <c r="H54" s="129">
        <v>1907170.04</v>
      </c>
      <c r="I54" s="129">
        <v>635</v>
      </c>
      <c r="J54" s="129">
        <v>3600214.8199999984</v>
      </c>
      <c r="K54" s="129">
        <v>11132.81</v>
      </c>
      <c r="L54" s="129">
        <v>80</v>
      </c>
      <c r="M54" s="129">
        <v>3690877.3899999997</v>
      </c>
      <c r="N54" s="129">
        <v>9369</v>
      </c>
      <c r="O54" s="129">
        <v>10</v>
      </c>
      <c r="P54" s="129">
        <v>3166679.56</v>
      </c>
      <c r="Q54" s="129">
        <v>6191.52</v>
      </c>
      <c r="R54" s="129">
        <v>2</v>
      </c>
      <c r="S54" s="129">
        <v>31727.78</v>
      </c>
      <c r="T54" s="87"/>
      <c r="U54" s="129">
        <v>60</v>
      </c>
      <c r="V54" s="129">
        <v>9029.93</v>
      </c>
      <c r="W54" s="129">
        <v>23.559999999999995</v>
      </c>
      <c r="X54" s="129">
        <v>124</v>
      </c>
      <c r="Y54" s="129">
        <v>91470.93</v>
      </c>
      <c r="Z54" s="129">
        <v>319.27</v>
      </c>
      <c r="AA54" s="129">
        <v>1</v>
      </c>
      <c r="AB54"/>
      <c r="AC54" s="131">
        <f t="shared" si="0"/>
        <v>6930</v>
      </c>
      <c r="AD54"/>
    </row>
    <row r="55" spans="1:30">
      <c r="A55" s="82">
        <v>2015</v>
      </c>
      <c r="B55" s="83" t="s">
        <v>84</v>
      </c>
      <c r="C55" s="86"/>
      <c r="D55" s="129">
        <v>17689334.808662601</v>
      </c>
      <c r="E55" s="129">
        <v>224002.43</v>
      </c>
      <c r="F55" s="129">
        <v>4797702.5799999861</v>
      </c>
      <c r="G55" s="129">
        <v>6204</v>
      </c>
      <c r="H55" s="129">
        <v>1963632.5699999991</v>
      </c>
      <c r="I55" s="129">
        <v>634</v>
      </c>
      <c r="J55" s="129">
        <v>3708371.2100000014</v>
      </c>
      <c r="K55" s="129">
        <v>11822.209999999995</v>
      </c>
      <c r="L55" s="129">
        <v>80</v>
      </c>
      <c r="M55" s="129">
        <v>3914746.11</v>
      </c>
      <c r="N55" s="129">
        <v>9172.51</v>
      </c>
      <c r="O55" s="129">
        <v>10</v>
      </c>
      <c r="P55" s="129">
        <v>3191882.2399999998</v>
      </c>
      <c r="Q55" s="129">
        <v>6200.1</v>
      </c>
      <c r="R55" s="129">
        <v>2</v>
      </c>
      <c r="S55" s="129">
        <v>32838.099999999991</v>
      </c>
      <c r="T55" s="87"/>
      <c r="U55" s="129">
        <v>60</v>
      </c>
      <c r="V55" s="129">
        <v>9029.92</v>
      </c>
      <c r="W55" s="129">
        <v>25.04999999999999</v>
      </c>
      <c r="X55" s="129">
        <v>124</v>
      </c>
      <c r="Y55" s="129">
        <v>103523.45</v>
      </c>
      <c r="Z55" s="129">
        <v>319.27</v>
      </c>
      <c r="AA55" s="129">
        <v>1</v>
      </c>
      <c r="AB55"/>
      <c r="AC55" s="131">
        <f t="shared" si="0"/>
        <v>6931</v>
      </c>
      <c r="AD55"/>
    </row>
    <row r="56" spans="1:30">
      <c r="A56" s="82">
        <v>2015</v>
      </c>
      <c r="B56" s="83" t="s">
        <v>85</v>
      </c>
      <c r="C56" s="86"/>
      <c r="D56" s="129">
        <v>16970033.974765901</v>
      </c>
      <c r="E56" s="129">
        <v>187769.36</v>
      </c>
      <c r="F56" s="129">
        <v>4028041.5599999945</v>
      </c>
      <c r="G56" s="129">
        <v>6212</v>
      </c>
      <c r="H56" s="129">
        <v>1732582.709999999</v>
      </c>
      <c r="I56" s="129">
        <v>634</v>
      </c>
      <c r="J56" s="129">
        <v>3532410.75</v>
      </c>
      <c r="K56" s="129">
        <v>11894.63</v>
      </c>
      <c r="L56" s="129">
        <v>80</v>
      </c>
      <c r="M56" s="129">
        <v>3823911.58</v>
      </c>
      <c r="N56" s="129">
        <v>9518.1799999999985</v>
      </c>
      <c r="O56" s="129">
        <v>10</v>
      </c>
      <c r="P56" s="129">
        <v>3067332.24</v>
      </c>
      <c r="Q56" s="129">
        <v>5920.34</v>
      </c>
      <c r="R56" s="129">
        <v>2</v>
      </c>
      <c r="S56" s="129">
        <v>32358.910000000003</v>
      </c>
      <c r="T56" s="87"/>
      <c r="U56" s="129">
        <v>60</v>
      </c>
      <c r="V56" s="129">
        <v>8738.6400000000031</v>
      </c>
      <c r="W56" s="129">
        <v>23.829999999999991</v>
      </c>
      <c r="X56" s="129">
        <v>124</v>
      </c>
      <c r="Y56" s="129">
        <v>112143.52</v>
      </c>
      <c r="Z56" s="129">
        <v>319.27</v>
      </c>
      <c r="AA56" s="129">
        <v>1</v>
      </c>
      <c r="AB56"/>
      <c r="AC56" s="131">
        <f t="shared" si="0"/>
        <v>6939</v>
      </c>
      <c r="AD56"/>
    </row>
    <row r="57" spans="1:30">
      <c r="A57" s="82">
        <v>2015</v>
      </c>
      <c r="B57" s="83" t="s">
        <v>86</v>
      </c>
      <c r="C57" s="86"/>
      <c r="D57" s="129">
        <v>15849535.585155601</v>
      </c>
      <c r="E57" s="129">
        <v>130211.77</v>
      </c>
      <c r="F57" s="129">
        <v>3542901.6800000225</v>
      </c>
      <c r="G57" s="129">
        <v>6220</v>
      </c>
      <c r="H57" s="129">
        <v>1631935.7400000012</v>
      </c>
      <c r="I57" s="129">
        <v>635</v>
      </c>
      <c r="J57" s="129">
        <v>3546711.65</v>
      </c>
      <c r="K57" s="129">
        <v>11199.719999999998</v>
      </c>
      <c r="L57" s="129">
        <v>80</v>
      </c>
      <c r="M57" s="129">
        <v>3535831.24</v>
      </c>
      <c r="N57" s="129">
        <v>8372.26</v>
      </c>
      <c r="O57" s="129">
        <v>10</v>
      </c>
      <c r="P57" s="129">
        <v>3116402.4800000004</v>
      </c>
      <c r="Q57" s="129">
        <v>5873.75</v>
      </c>
      <c r="R57" s="129">
        <v>2</v>
      </c>
      <c r="S57" s="129">
        <v>33349.020000000004</v>
      </c>
      <c r="T57" s="87"/>
      <c r="U57" s="129">
        <v>60</v>
      </c>
      <c r="V57" s="129">
        <v>9029.93</v>
      </c>
      <c r="W57" s="129">
        <v>24.770000000000003</v>
      </c>
      <c r="X57" s="129">
        <v>124</v>
      </c>
      <c r="Y57" s="129">
        <v>130661.32</v>
      </c>
      <c r="Z57" s="129">
        <v>319.27</v>
      </c>
      <c r="AA57" s="129">
        <v>1</v>
      </c>
      <c r="AB57"/>
      <c r="AC57" s="131">
        <f t="shared" si="0"/>
        <v>6948</v>
      </c>
      <c r="AD57"/>
    </row>
    <row r="58" spans="1:30">
      <c r="A58" s="82">
        <v>2015</v>
      </c>
      <c r="B58" s="83" t="s">
        <v>87</v>
      </c>
      <c r="C58" s="86"/>
      <c r="D58" s="129">
        <v>15784734.9306246</v>
      </c>
      <c r="E58" s="129">
        <v>103572.1</v>
      </c>
      <c r="F58" s="129">
        <v>3617783.4499999997</v>
      </c>
      <c r="G58" s="129">
        <v>6228</v>
      </c>
      <c r="H58" s="129">
        <v>1625274.3500000006</v>
      </c>
      <c r="I58" s="129">
        <v>630</v>
      </c>
      <c r="J58" s="129">
        <v>3527888.4</v>
      </c>
      <c r="K58" s="129">
        <v>10856.439999999997</v>
      </c>
      <c r="L58" s="129">
        <v>80</v>
      </c>
      <c r="M58" s="129">
        <v>3490400.7700000005</v>
      </c>
      <c r="N58" s="129">
        <v>8181.5499999999993</v>
      </c>
      <c r="O58" s="129">
        <v>10</v>
      </c>
      <c r="P58" s="129">
        <v>2939661.24</v>
      </c>
      <c r="Q58" s="129">
        <v>5722.23</v>
      </c>
      <c r="R58" s="129">
        <v>2</v>
      </c>
      <c r="S58" s="129">
        <v>32492.949999999997</v>
      </c>
      <c r="T58" s="87"/>
      <c r="U58" s="129">
        <v>60</v>
      </c>
      <c r="V58" s="129">
        <v>9199.4499999999989</v>
      </c>
      <c r="W58" s="129">
        <v>26.79</v>
      </c>
      <c r="X58" s="129">
        <v>124</v>
      </c>
      <c r="Y58" s="129">
        <v>138483.51</v>
      </c>
      <c r="Z58" s="129">
        <v>319.27</v>
      </c>
      <c r="AA58" s="129">
        <v>1</v>
      </c>
      <c r="AB58"/>
      <c r="AC58" s="131">
        <f t="shared" si="0"/>
        <v>6951</v>
      </c>
      <c r="AD58"/>
    </row>
    <row r="59" spans="1:30">
      <c r="A59" s="82">
        <v>2015</v>
      </c>
      <c r="B59" s="83" t="s">
        <v>88</v>
      </c>
      <c r="C59" s="86"/>
      <c r="D59" s="129">
        <v>15614760.4172771</v>
      </c>
      <c r="E59" s="129">
        <v>39308.550000000003</v>
      </c>
      <c r="F59" s="129">
        <v>4217729.2200000202</v>
      </c>
      <c r="G59" s="129">
        <v>6235</v>
      </c>
      <c r="H59" s="129">
        <v>1749663.3200000005</v>
      </c>
      <c r="I59" s="129">
        <v>638</v>
      </c>
      <c r="J59" s="129">
        <v>3450080.5900000008</v>
      </c>
      <c r="K59" s="129">
        <v>11523.019999999997</v>
      </c>
      <c r="L59" s="129">
        <v>79</v>
      </c>
      <c r="M59" s="129">
        <v>3168435.9599999995</v>
      </c>
      <c r="N59" s="129">
        <v>8083.1</v>
      </c>
      <c r="O59" s="129">
        <v>10</v>
      </c>
      <c r="P59" s="129">
        <v>2447870.88</v>
      </c>
      <c r="Q59" s="129">
        <v>5780.2</v>
      </c>
      <c r="R59" s="129">
        <v>2</v>
      </c>
      <c r="S59" s="129">
        <v>32152.57</v>
      </c>
      <c r="T59" s="87"/>
      <c r="U59" s="129">
        <v>60</v>
      </c>
      <c r="V59" s="129">
        <v>10128.770000000002</v>
      </c>
      <c r="W59" s="129">
        <v>28.11</v>
      </c>
      <c r="X59" s="129">
        <v>124</v>
      </c>
      <c r="Y59" s="129">
        <v>150695.51999999999</v>
      </c>
      <c r="Z59" s="129">
        <v>319.27</v>
      </c>
      <c r="AA59" s="129">
        <v>1</v>
      </c>
      <c r="AB59"/>
      <c r="AC59" s="131">
        <f t="shared" si="0"/>
        <v>6965</v>
      </c>
      <c r="AD59"/>
    </row>
    <row r="60" spans="1:30">
      <c r="A60" s="82">
        <v>2016</v>
      </c>
      <c r="B60" s="83" t="s">
        <v>78</v>
      </c>
      <c r="C60" s="86"/>
      <c r="D60" s="128">
        <v>17214578.510000002</v>
      </c>
      <c r="E60" s="128">
        <v>62079.97</v>
      </c>
      <c r="F60" s="128">
        <v>4397742.4300000183</v>
      </c>
      <c r="G60" s="128">
        <v>6244</v>
      </c>
      <c r="H60" s="128">
        <v>1888735.4900000005</v>
      </c>
      <c r="I60" s="128">
        <v>637</v>
      </c>
      <c r="J60" s="128">
        <v>3722105.9899999998</v>
      </c>
      <c r="K60" s="128">
        <v>12046.69</v>
      </c>
      <c r="L60" s="128">
        <v>79</v>
      </c>
      <c r="M60" s="128">
        <v>3623683.77</v>
      </c>
      <c r="N60" s="128">
        <v>8753.4599999999991</v>
      </c>
      <c r="O60" s="128">
        <v>10</v>
      </c>
      <c r="P60" s="128">
        <v>2887485.56</v>
      </c>
      <c r="Q60" s="128">
        <v>5844.63</v>
      </c>
      <c r="R60" s="128">
        <v>2</v>
      </c>
      <c r="S60" s="128">
        <v>30721.310000000005</v>
      </c>
      <c r="T60" s="85"/>
      <c r="U60" s="128">
        <v>60</v>
      </c>
      <c r="V60" s="128">
        <v>9136.27</v>
      </c>
      <c r="W60" s="128">
        <v>25.5</v>
      </c>
      <c r="X60" s="128">
        <v>124</v>
      </c>
      <c r="Y60" s="128">
        <v>148460.54999999999</v>
      </c>
      <c r="Z60" s="128">
        <v>319.27</v>
      </c>
      <c r="AA60" s="128">
        <v>1</v>
      </c>
      <c r="AB60"/>
      <c r="AC60" s="131">
        <f t="shared" si="0"/>
        <v>6973</v>
      </c>
      <c r="AD60"/>
    </row>
    <row r="61" spans="1:30">
      <c r="A61" s="82">
        <v>2016</v>
      </c>
      <c r="B61" s="83" t="s">
        <v>79</v>
      </c>
      <c r="C61" s="86"/>
      <c r="D61" s="129">
        <v>16327741.550000001</v>
      </c>
      <c r="E61" s="129">
        <v>71513.490000000005</v>
      </c>
      <c r="F61" s="129">
        <v>3933873.240000003</v>
      </c>
      <c r="G61" s="129">
        <v>6250</v>
      </c>
      <c r="H61" s="129">
        <v>1703905.6099999999</v>
      </c>
      <c r="I61" s="129">
        <v>634</v>
      </c>
      <c r="J61" s="129">
        <v>3723329.1099999989</v>
      </c>
      <c r="K61" s="129">
        <v>11203.300000000001</v>
      </c>
      <c r="L61" s="129">
        <v>79</v>
      </c>
      <c r="M61" s="129">
        <v>3366180.46</v>
      </c>
      <c r="N61" s="129">
        <v>8109.31</v>
      </c>
      <c r="O61" s="129">
        <v>10</v>
      </c>
      <c r="P61" s="129">
        <v>2979480.16</v>
      </c>
      <c r="Q61" s="129">
        <v>5930.29</v>
      </c>
      <c r="R61" s="129">
        <v>2</v>
      </c>
      <c r="S61" s="129">
        <v>33104.85</v>
      </c>
      <c r="T61" s="87"/>
      <c r="U61" s="129">
        <v>60</v>
      </c>
      <c r="V61" s="129">
        <v>8459.59</v>
      </c>
      <c r="W61" s="129">
        <v>23.97</v>
      </c>
      <c r="X61" s="129">
        <v>124</v>
      </c>
      <c r="Y61" s="129">
        <v>138882.45000000001</v>
      </c>
      <c r="Z61" s="129">
        <v>319.27</v>
      </c>
      <c r="AA61" s="129">
        <v>1</v>
      </c>
      <c r="AB61"/>
      <c r="AC61" s="131">
        <f t="shared" si="0"/>
        <v>6976</v>
      </c>
      <c r="AD61"/>
    </row>
    <row r="62" spans="1:30">
      <c r="A62" s="82">
        <v>2016</v>
      </c>
      <c r="B62" s="83" t="s">
        <v>80</v>
      </c>
      <c r="C62" s="86"/>
      <c r="D62" s="129">
        <v>16387708.84</v>
      </c>
      <c r="E62" s="129">
        <v>128194.3</v>
      </c>
      <c r="F62" s="129">
        <v>3845895.6700000078</v>
      </c>
      <c r="G62" s="129">
        <v>6256</v>
      </c>
      <c r="H62" s="129">
        <v>1726375.2499999988</v>
      </c>
      <c r="I62" s="129">
        <v>635</v>
      </c>
      <c r="J62" s="129">
        <v>3711937.100000001</v>
      </c>
      <c r="K62" s="129">
        <v>11169.310000000003</v>
      </c>
      <c r="L62" s="129">
        <v>80</v>
      </c>
      <c r="M62" s="129">
        <v>3564151.5799999996</v>
      </c>
      <c r="N62" s="129">
        <v>8601.66</v>
      </c>
      <c r="O62" s="129">
        <v>10</v>
      </c>
      <c r="P62" s="129">
        <v>3070518</v>
      </c>
      <c r="Q62" s="129">
        <v>5839.4699999999993</v>
      </c>
      <c r="R62" s="129">
        <v>2</v>
      </c>
      <c r="S62" s="129">
        <v>32186.86</v>
      </c>
      <c r="T62" s="87"/>
      <c r="U62" s="129">
        <v>60</v>
      </c>
      <c r="V62" s="129">
        <v>9017.6899999999987</v>
      </c>
      <c r="W62" s="129">
        <v>23.47</v>
      </c>
      <c r="X62" s="129">
        <v>124</v>
      </c>
      <c r="Y62" s="129">
        <v>124116.37</v>
      </c>
      <c r="Z62" s="129">
        <v>319.27</v>
      </c>
      <c r="AA62" s="129">
        <v>1</v>
      </c>
      <c r="AB62"/>
      <c r="AC62" s="131">
        <f t="shared" si="0"/>
        <v>6984</v>
      </c>
      <c r="AD62"/>
    </row>
    <row r="63" spans="1:30">
      <c r="A63" s="82">
        <v>2016</v>
      </c>
      <c r="B63" s="83" t="s">
        <v>81</v>
      </c>
      <c r="C63" s="86"/>
      <c r="D63" s="129">
        <v>15295315.789999999</v>
      </c>
      <c r="E63" s="129">
        <v>189041.49</v>
      </c>
      <c r="F63" s="129">
        <v>3501905.9500000034</v>
      </c>
      <c r="G63" s="129">
        <v>6264</v>
      </c>
      <c r="H63" s="129">
        <v>1601602.3099999994</v>
      </c>
      <c r="I63" s="129">
        <v>638</v>
      </c>
      <c r="J63" s="129">
        <v>3534708.46</v>
      </c>
      <c r="K63" s="129">
        <v>11312.249999999996</v>
      </c>
      <c r="L63" s="129">
        <v>80</v>
      </c>
      <c r="M63" s="129">
        <v>3312879.07</v>
      </c>
      <c r="N63" s="129">
        <v>8122.57</v>
      </c>
      <c r="O63" s="129">
        <v>10</v>
      </c>
      <c r="P63" s="129">
        <v>2913184.6</v>
      </c>
      <c r="Q63" s="129">
        <v>5839.25</v>
      </c>
      <c r="R63" s="129">
        <v>2</v>
      </c>
      <c r="S63" s="129">
        <v>31215.839999999997</v>
      </c>
      <c r="T63" s="87"/>
      <c r="U63" s="129">
        <v>60</v>
      </c>
      <c r="V63" s="129">
        <v>8738.64</v>
      </c>
      <c r="W63" s="129">
        <v>24.029999999999994</v>
      </c>
      <c r="X63" s="129">
        <v>124</v>
      </c>
      <c r="Y63" s="129">
        <v>105838.01</v>
      </c>
      <c r="Z63" s="129">
        <v>319.27</v>
      </c>
      <c r="AA63" s="129">
        <v>1</v>
      </c>
      <c r="AB63"/>
      <c r="AC63" s="131">
        <f t="shared" si="0"/>
        <v>6995</v>
      </c>
      <c r="AD63"/>
    </row>
    <row r="64" spans="1:30">
      <c r="A64" s="82">
        <v>2016</v>
      </c>
      <c r="B64" s="83" t="s">
        <v>52</v>
      </c>
      <c r="C64" s="86"/>
      <c r="D64" s="129">
        <v>15349497.890000001</v>
      </c>
      <c r="E64" s="129">
        <v>239387.64</v>
      </c>
      <c r="F64" s="129">
        <v>3623309.4000000046</v>
      </c>
      <c r="G64" s="129">
        <v>6273</v>
      </c>
      <c r="H64" s="129">
        <v>1672462.5900000024</v>
      </c>
      <c r="I64" s="129">
        <v>637</v>
      </c>
      <c r="J64" s="129">
        <v>3562102.0099999988</v>
      </c>
      <c r="K64" s="129">
        <v>11882.21</v>
      </c>
      <c r="L64" s="129">
        <v>80</v>
      </c>
      <c r="M64" s="129">
        <v>3262764.68</v>
      </c>
      <c r="N64" s="129">
        <v>8731.82</v>
      </c>
      <c r="O64" s="129">
        <v>10</v>
      </c>
      <c r="P64" s="129">
        <v>2921383.6</v>
      </c>
      <c r="Q64" s="129">
        <v>5978.58</v>
      </c>
      <c r="R64" s="129">
        <v>2</v>
      </c>
      <c r="S64" s="129">
        <v>33198.14</v>
      </c>
      <c r="T64" s="87"/>
      <c r="U64" s="129">
        <v>60</v>
      </c>
      <c r="V64" s="129">
        <v>9029.93</v>
      </c>
      <c r="W64" s="129">
        <v>22.96</v>
      </c>
      <c r="X64" s="129">
        <v>124</v>
      </c>
      <c r="Y64" s="129">
        <v>96898.37</v>
      </c>
      <c r="Z64" s="129">
        <v>319.27</v>
      </c>
      <c r="AA64" s="129">
        <v>1</v>
      </c>
      <c r="AB64"/>
      <c r="AC64" s="131">
        <f t="shared" si="0"/>
        <v>7003</v>
      </c>
      <c r="AD64"/>
    </row>
    <row r="65" spans="1:30">
      <c r="A65" s="82">
        <v>2016</v>
      </c>
      <c r="B65" s="83" t="s">
        <v>82</v>
      </c>
      <c r="C65" s="86"/>
      <c r="D65" s="129">
        <v>16760016.93</v>
      </c>
      <c r="E65" s="129">
        <v>264615.24</v>
      </c>
      <c r="F65" s="129">
        <v>4296970.3100000033</v>
      </c>
      <c r="G65" s="129">
        <v>6281</v>
      </c>
      <c r="H65" s="129">
        <v>1815810.249999996</v>
      </c>
      <c r="I65" s="129">
        <v>641</v>
      </c>
      <c r="J65" s="129">
        <v>3681403.96</v>
      </c>
      <c r="K65" s="129">
        <v>12218.379999999997</v>
      </c>
      <c r="L65" s="129">
        <v>80</v>
      </c>
      <c r="M65" s="129">
        <v>3633908.46</v>
      </c>
      <c r="N65" s="129">
        <v>9026.08</v>
      </c>
      <c r="O65" s="129">
        <v>10</v>
      </c>
      <c r="P65" s="129">
        <v>3020883.92</v>
      </c>
      <c r="Q65" s="129">
        <v>5998.06</v>
      </c>
      <c r="R65" s="129">
        <v>2</v>
      </c>
      <c r="S65" s="129">
        <v>33714.42</v>
      </c>
      <c r="T65" s="87"/>
      <c r="U65" s="129">
        <v>60</v>
      </c>
      <c r="V65" s="129">
        <v>7997.7599999999993</v>
      </c>
      <c r="W65" s="129">
        <v>23.599999999999994</v>
      </c>
      <c r="X65" s="129">
        <v>124</v>
      </c>
      <c r="Y65" s="129">
        <v>86442.35</v>
      </c>
      <c r="Z65" s="129">
        <v>319.27</v>
      </c>
      <c r="AA65" s="129">
        <v>1</v>
      </c>
      <c r="AB65"/>
      <c r="AC65" s="131">
        <f t="shared" si="0"/>
        <v>7015</v>
      </c>
      <c r="AD65"/>
    </row>
    <row r="66" spans="1:30">
      <c r="A66" s="82">
        <v>2016</v>
      </c>
      <c r="B66" s="83" t="s">
        <v>83</v>
      </c>
      <c r="C66" s="86"/>
      <c r="D66" s="129">
        <v>17584612.699999999</v>
      </c>
      <c r="E66" s="129">
        <v>249446.96</v>
      </c>
      <c r="F66" s="129">
        <v>5416576.4199999822</v>
      </c>
      <c r="G66" s="129">
        <v>6298</v>
      </c>
      <c r="H66" s="129">
        <v>2073749.650000002</v>
      </c>
      <c r="I66" s="129">
        <v>638</v>
      </c>
      <c r="J66" s="129">
        <v>3673170.86</v>
      </c>
      <c r="K66" s="129">
        <v>11995.239999999998</v>
      </c>
      <c r="L66" s="129">
        <v>80</v>
      </c>
      <c r="M66" s="129">
        <v>3494999.31</v>
      </c>
      <c r="N66" s="129">
        <v>9183.7099999999991</v>
      </c>
      <c r="O66" s="129">
        <v>10</v>
      </c>
      <c r="P66" s="129">
        <v>2561864.04</v>
      </c>
      <c r="Q66" s="129">
        <v>5893.38</v>
      </c>
      <c r="R66" s="129">
        <v>2</v>
      </c>
      <c r="S66" s="129">
        <v>30918.379999999997</v>
      </c>
      <c r="T66" s="87"/>
      <c r="U66" s="129">
        <v>60</v>
      </c>
      <c r="V66" s="129">
        <v>8209.6600000000017</v>
      </c>
      <c r="W66" s="129">
        <v>21.47</v>
      </c>
      <c r="X66" s="129">
        <v>113</v>
      </c>
      <c r="Y66" s="129">
        <v>91470.93</v>
      </c>
      <c r="Z66" s="129">
        <v>319.27</v>
      </c>
      <c r="AA66" s="129">
        <v>1</v>
      </c>
      <c r="AB66"/>
      <c r="AC66" s="131">
        <f t="shared" si="0"/>
        <v>7029</v>
      </c>
      <c r="AD66"/>
    </row>
    <row r="67" spans="1:30">
      <c r="A67" s="82">
        <v>2016</v>
      </c>
      <c r="B67" s="83" t="s">
        <v>84</v>
      </c>
      <c r="C67" s="86"/>
      <c r="D67" s="129">
        <v>20027554.73</v>
      </c>
      <c r="E67" s="129">
        <v>228668.65</v>
      </c>
      <c r="F67" s="129">
        <v>5556671.6299999896</v>
      </c>
      <c r="G67" s="129">
        <v>6314</v>
      </c>
      <c r="H67" s="129">
        <v>2079463.1900000013</v>
      </c>
      <c r="I67" s="129">
        <v>638</v>
      </c>
      <c r="J67" s="129">
        <v>4128897.6199999996</v>
      </c>
      <c r="K67" s="129">
        <v>12670.659999999996</v>
      </c>
      <c r="L67" s="129">
        <v>80</v>
      </c>
      <c r="M67" s="129">
        <v>4182277.77</v>
      </c>
      <c r="N67" s="129">
        <v>9395.3799999999992</v>
      </c>
      <c r="O67" s="129">
        <v>10</v>
      </c>
      <c r="P67" s="129">
        <v>3271533.7199999997</v>
      </c>
      <c r="Q67" s="129">
        <v>6354.89</v>
      </c>
      <c r="R67" s="129">
        <v>2</v>
      </c>
      <c r="S67" s="129">
        <v>32738.05</v>
      </c>
      <c r="T67" s="87"/>
      <c r="U67" s="129">
        <v>60</v>
      </c>
      <c r="V67" s="129">
        <v>8209.6700000000019</v>
      </c>
      <c r="W67" s="129">
        <v>21.810000000000002</v>
      </c>
      <c r="X67" s="129">
        <v>113</v>
      </c>
      <c r="Y67" s="129">
        <v>103523.45</v>
      </c>
      <c r="Z67" s="129">
        <v>319.27</v>
      </c>
      <c r="AA67" s="129">
        <v>1</v>
      </c>
      <c r="AB67"/>
      <c r="AC67" s="131">
        <f t="shared" si="0"/>
        <v>7045</v>
      </c>
      <c r="AD67"/>
    </row>
    <row r="68" spans="1:30">
      <c r="A68" s="82">
        <v>2016</v>
      </c>
      <c r="B68" s="83" t="s">
        <v>85</v>
      </c>
      <c r="C68" s="86"/>
      <c r="D68" s="129">
        <v>17024200.449999999</v>
      </c>
      <c r="E68" s="129">
        <v>191588.72</v>
      </c>
      <c r="F68" s="129">
        <v>4174777.4699999993</v>
      </c>
      <c r="G68" s="129">
        <v>6325</v>
      </c>
      <c r="H68" s="129">
        <v>1772221.5199999954</v>
      </c>
      <c r="I68" s="129">
        <v>635</v>
      </c>
      <c r="J68" s="129">
        <v>3841411.4</v>
      </c>
      <c r="K68" s="129">
        <v>12621.550000000005</v>
      </c>
      <c r="L68" s="129">
        <v>80</v>
      </c>
      <c r="M68" s="129">
        <v>3737242.69</v>
      </c>
      <c r="N68" s="129">
        <v>9159.4600000000009</v>
      </c>
      <c r="O68" s="129">
        <v>10</v>
      </c>
      <c r="P68" s="129">
        <v>3185018.4400000004</v>
      </c>
      <c r="Q68" s="129">
        <v>6312.26</v>
      </c>
      <c r="R68" s="129">
        <v>2</v>
      </c>
      <c r="S68" s="129">
        <v>29396.040000000005</v>
      </c>
      <c r="T68" s="87"/>
      <c r="U68" s="129">
        <v>58</v>
      </c>
      <c r="V68" s="129">
        <v>7944.8399999999992</v>
      </c>
      <c r="W68" s="129">
        <v>21.52</v>
      </c>
      <c r="X68" s="129">
        <v>113</v>
      </c>
      <c r="Y68" s="129">
        <v>112143.52</v>
      </c>
      <c r="Z68" s="129">
        <v>319.27</v>
      </c>
      <c r="AA68" s="129">
        <v>1</v>
      </c>
      <c r="AB68"/>
      <c r="AC68" s="131">
        <f t="shared" si="0"/>
        <v>7053</v>
      </c>
      <c r="AD68"/>
    </row>
    <row r="69" spans="1:30">
      <c r="A69" s="82">
        <v>2016</v>
      </c>
      <c r="B69" s="83" t="s">
        <v>86</v>
      </c>
      <c r="C69" s="86"/>
      <c r="D69" s="129">
        <v>15911420.27</v>
      </c>
      <c r="E69" s="129">
        <v>132639.69</v>
      </c>
      <c r="F69" s="129">
        <v>3531378.7600000123</v>
      </c>
      <c r="G69" s="129">
        <v>6333</v>
      </c>
      <c r="H69" s="129">
        <v>1628253.7000000039</v>
      </c>
      <c r="I69" s="129">
        <v>638</v>
      </c>
      <c r="J69" s="129">
        <v>3659081.5800000019</v>
      </c>
      <c r="K69" s="129">
        <v>12296.610000000004</v>
      </c>
      <c r="L69" s="129">
        <v>80</v>
      </c>
      <c r="M69" s="129">
        <v>3484256.5899999994</v>
      </c>
      <c r="N69" s="129">
        <v>8461.18</v>
      </c>
      <c r="O69" s="129">
        <v>10</v>
      </c>
      <c r="P69" s="129">
        <v>3187346.16</v>
      </c>
      <c r="Q69" s="129">
        <v>6099.12</v>
      </c>
      <c r="R69" s="129">
        <v>2</v>
      </c>
      <c r="S69" s="129">
        <v>32154.43</v>
      </c>
      <c r="T69" s="87"/>
      <c r="U69" s="129">
        <v>59</v>
      </c>
      <c r="V69" s="129">
        <v>8209.6700000000019</v>
      </c>
      <c r="W69" s="129">
        <v>22.79</v>
      </c>
      <c r="X69" s="129">
        <v>113</v>
      </c>
      <c r="Y69" s="129">
        <v>130661.32</v>
      </c>
      <c r="Z69" s="129">
        <v>319.27</v>
      </c>
      <c r="AA69" s="129">
        <v>1</v>
      </c>
      <c r="AB69"/>
      <c r="AC69" s="131">
        <f t="shared" si="0"/>
        <v>7064</v>
      </c>
      <c r="AD69"/>
    </row>
    <row r="70" spans="1:30">
      <c r="A70" s="82">
        <v>2016</v>
      </c>
      <c r="B70" s="83" t="s">
        <v>87</v>
      </c>
      <c r="C70" s="86"/>
      <c r="D70" s="129">
        <v>15908144.58</v>
      </c>
      <c r="E70" s="129">
        <v>91505.37</v>
      </c>
      <c r="F70" s="129">
        <v>3644423.7999999896</v>
      </c>
      <c r="G70" s="129">
        <v>6337</v>
      </c>
      <c r="H70" s="129">
        <v>1614348.1899999997</v>
      </c>
      <c r="I70" s="129">
        <v>637</v>
      </c>
      <c r="J70" s="129">
        <v>3741617.45</v>
      </c>
      <c r="K70" s="129">
        <v>12191.800000000003</v>
      </c>
      <c r="L70" s="129">
        <v>80</v>
      </c>
      <c r="M70" s="129">
        <v>3462572.47</v>
      </c>
      <c r="N70" s="129">
        <v>8016.9999999999991</v>
      </c>
      <c r="O70" s="129">
        <v>10</v>
      </c>
      <c r="P70" s="129">
        <v>3037130</v>
      </c>
      <c r="Q70" s="129">
        <v>5992.49</v>
      </c>
      <c r="R70" s="129">
        <v>2</v>
      </c>
      <c r="S70" s="129">
        <v>35077.42</v>
      </c>
      <c r="T70" s="87"/>
      <c r="U70" s="129">
        <v>59</v>
      </c>
      <c r="V70" s="129">
        <v>8444.6399999999976</v>
      </c>
      <c r="W70" s="129">
        <v>25.270000000000007</v>
      </c>
      <c r="X70" s="129">
        <v>113</v>
      </c>
      <c r="Y70" s="129">
        <v>138483.51</v>
      </c>
      <c r="Z70" s="129">
        <v>319.27</v>
      </c>
      <c r="AA70" s="129">
        <v>1</v>
      </c>
      <c r="AB70"/>
      <c r="AC70" s="131">
        <f t="shared" si="0"/>
        <v>7067</v>
      </c>
      <c r="AD70"/>
    </row>
    <row r="71" spans="1:30">
      <c r="A71" s="82">
        <v>2016</v>
      </c>
      <c r="B71" s="83" t="s">
        <v>88</v>
      </c>
      <c r="C71" s="86"/>
      <c r="D71" s="129">
        <v>16116946.359999999</v>
      </c>
      <c r="E71" s="129">
        <v>14828.03</v>
      </c>
      <c r="F71" s="129">
        <v>4382364.5199999977</v>
      </c>
      <c r="G71" s="129">
        <v>6352</v>
      </c>
      <c r="H71" s="129">
        <v>1804478.2900000007</v>
      </c>
      <c r="I71" s="129">
        <v>639</v>
      </c>
      <c r="J71" s="129">
        <v>3689353.2000000011</v>
      </c>
      <c r="K71" s="129">
        <v>11614.890000000005</v>
      </c>
      <c r="L71" s="129">
        <v>81</v>
      </c>
      <c r="M71" s="129">
        <v>2998426.3400000003</v>
      </c>
      <c r="N71" s="129">
        <v>7873.72</v>
      </c>
      <c r="O71" s="129">
        <v>10</v>
      </c>
      <c r="P71" s="129">
        <v>2506220.7199999997</v>
      </c>
      <c r="Q71" s="129">
        <v>6024.26</v>
      </c>
      <c r="R71" s="129">
        <v>2</v>
      </c>
      <c r="S71" s="129">
        <v>31775.13</v>
      </c>
      <c r="T71" s="87"/>
      <c r="U71" s="129">
        <v>59</v>
      </c>
      <c r="V71" s="129">
        <v>9242.59</v>
      </c>
      <c r="W71" s="129">
        <v>25.62</v>
      </c>
      <c r="X71" s="129">
        <v>113</v>
      </c>
      <c r="Y71" s="129">
        <v>150695.51999999999</v>
      </c>
      <c r="Z71" s="129">
        <v>319.27</v>
      </c>
      <c r="AA71" s="129">
        <v>1</v>
      </c>
      <c r="AB71"/>
      <c r="AC71" s="131">
        <f t="shared" si="0"/>
        <v>7085</v>
      </c>
      <c r="AD71"/>
    </row>
    <row r="72" spans="1:30">
      <c r="A72" s="82">
        <v>2017</v>
      </c>
      <c r="B72" s="83" t="s">
        <v>78</v>
      </c>
      <c r="C72" s="86"/>
      <c r="D72" s="128">
        <v>17123786.129999999</v>
      </c>
      <c r="E72" s="128">
        <v>40918.46</v>
      </c>
      <c r="F72" s="128">
        <v>4376145.9499999937</v>
      </c>
      <c r="G72" s="128">
        <v>6363</v>
      </c>
      <c r="H72" s="128">
        <v>1769149.6400000001</v>
      </c>
      <c r="I72" s="128">
        <v>638</v>
      </c>
      <c r="J72" s="128">
        <v>4066069.5799999991</v>
      </c>
      <c r="K72" s="128">
        <v>12886.109999999999</v>
      </c>
      <c r="L72" s="128">
        <v>81</v>
      </c>
      <c r="M72" s="128">
        <v>3211513</v>
      </c>
      <c r="N72" s="128">
        <v>7384.65</v>
      </c>
      <c r="O72" s="128">
        <v>9</v>
      </c>
      <c r="P72" s="128">
        <v>2979218.44</v>
      </c>
      <c r="Q72" s="128">
        <v>5892.54</v>
      </c>
      <c r="R72" s="128">
        <v>2</v>
      </c>
      <c r="S72" s="128">
        <v>28729.180000000004</v>
      </c>
      <c r="T72" s="85"/>
      <c r="U72" s="128">
        <v>59</v>
      </c>
      <c r="V72" s="128">
        <v>8342.9500000000007</v>
      </c>
      <c r="W72" s="128">
        <v>22.199999999999996</v>
      </c>
      <c r="X72" s="128">
        <v>113</v>
      </c>
      <c r="Y72" s="128">
        <v>148460.54999999999</v>
      </c>
      <c r="Z72" s="128">
        <v>319.27</v>
      </c>
      <c r="AA72" s="128">
        <v>1</v>
      </c>
      <c r="AB72"/>
      <c r="AC72" s="131">
        <f t="shared" si="0"/>
        <v>7094</v>
      </c>
      <c r="AD72"/>
    </row>
    <row r="73" spans="1:30">
      <c r="A73" s="82">
        <v>2017</v>
      </c>
      <c r="B73" s="83" t="s">
        <v>79</v>
      </c>
      <c r="C73" s="86"/>
      <c r="D73" s="129">
        <v>15034182.73</v>
      </c>
      <c r="E73" s="129">
        <v>98842.77</v>
      </c>
      <c r="F73" s="129">
        <v>3729949.6100000027</v>
      </c>
      <c r="G73" s="129">
        <v>6378</v>
      </c>
      <c r="H73" s="129">
        <v>1575224.0899999987</v>
      </c>
      <c r="I73" s="129">
        <v>638</v>
      </c>
      <c r="J73" s="129">
        <v>3622137.8600000008</v>
      </c>
      <c r="K73" s="129">
        <v>12297.220000000007</v>
      </c>
      <c r="L73" s="129">
        <v>83</v>
      </c>
      <c r="M73" s="129">
        <v>2991324.83</v>
      </c>
      <c r="N73" s="129">
        <v>7619.4499999999989</v>
      </c>
      <c r="O73" s="129">
        <v>9</v>
      </c>
      <c r="P73" s="129">
        <v>2681537.48</v>
      </c>
      <c r="Q73" s="129">
        <v>5861.13</v>
      </c>
      <c r="R73" s="129">
        <v>2</v>
      </c>
      <c r="S73" s="129">
        <v>31406.98</v>
      </c>
      <c r="T73" s="87"/>
      <c r="U73" s="129">
        <v>59</v>
      </c>
      <c r="V73" s="129">
        <v>7415.18</v>
      </c>
      <c r="W73" s="129">
        <v>21.68</v>
      </c>
      <c r="X73" s="129">
        <v>113</v>
      </c>
      <c r="Y73" s="129">
        <v>134093.4</v>
      </c>
      <c r="Z73" s="129">
        <v>319.27</v>
      </c>
      <c r="AA73" s="129">
        <v>1</v>
      </c>
      <c r="AB73"/>
      <c r="AC73" s="131">
        <f t="shared" si="0"/>
        <v>7111</v>
      </c>
      <c r="AD73"/>
    </row>
    <row r="74" spans="1:30">
      <c r="A74" s="82">
        <v>2017</v>
      </c>
      <c r="B74" s="83" t="s">
        <v>80</v>
      </c>
      <c r="C74" s="86"/>
      <c r="D74" s="129">
        <v>16518332.300000001</v>
      </c>
      <c r="E74" s="129">
        <v>144381.45000000001</v>
      </c>
      <c r="F74" s="129">
        <v>3913903.030000004</v>
      </c>
      <c r="G74" s="129">
        <v>6382</v>
      </c>
      <c r="H74" s="129">
        <v>1675490.9000000001</v>
      </c>
      <c r="I74" s="129">
        <v>637</v>
      </c>
      <c r="J74" s="129">
        <v>3912988.7199999997</v>
      </c>
      <c r="K74" s="129">
        <v>11887.400000000005</v>
      </c>
      <c r="L74" s="129">
        <v>84</v>
      </c>
      <c r="M74" s="129">
        <v>3377815.4399999995</v>
      </c>
      <c r="N74" s="129">
        <v>7496.5099999999993</v>
      </c>
      <c r="O74" s="129">
        <v>9</v>
      </c>
      <c r="P74" s="129">
        <v>2974539.04</v>
      </c>
      <c r="Q74" s="129">
        <v>5903.63</v>
      </c>
      <c r="R74" s="129">
        <v>2</v>
      </c>
      <c r="S74" s="129">
        <v>32606.12</v>
      </c>
      <c r="T74" s="87"/>
      <c r="U74" s="129">
        <v>59</v>
      </c>
      <c r="V74" s="129">
        <v>8209.6700000000019</v>
      </c>
      <c r="W74" s="129">
        <v>21.800000000000004</v>
      </c>
      <c r="X74" s="129">
        <v>113</v>
      </c>
      <c r="Y74" s="129">
        <v>124116.37</v>
      </c>
      <c r="Z74" s="129">
        <v>319.27</v>
      </c>
      <c r="AA74" s="129">
        <v>1</v>
      </c>
      <c r="AB74"/>
      <c r="AC74" s="131">
        <f t="shared" si="0"/>
        <v>7115</v>
      </c>
      <c r="AD74"/>
    </row>
    <row r="75" spans="1:30">
      <c r="A75" s="82">
        <v>2017</v>
      </c>
      <c r="B75" s="83" t="s">
        <v>81</v>
      </c>
      <c r="C75" s="86"/>
      <c r="D75" s="129">
        <v>13982812.939999999</v>
      </c>
      <c r="E75" s="129">
        <v>180225.96</v>
      </c>
      <c r="F75" s="129">
        <v>3385568.1200000127</v>
      </c>
      <c r="G75" s="129">
        <v>6385</v>
      </c>
      <c r="H75" s="129">
        <v>1517633.3400000005</v>
      </c>
      <c r="I75" s="129">
        <v>638</v>
      </c>
      <c r="J75" s="129">
        <v>3485274.7399999998</v>
      </c>
      <c r="K75" s="129">
        <v>11992.53</v>
      </c>
      <c r="L75" s="129">
        <v>84</v>
      </c>
      <c r="M75" s="129">
        <v>2985386.66</v>
      </c>
      <c r="N75" s="129">
        <v>7880.28</v>
      </c>
      <c r="O75" s="129">
        <v>9</v>
      </c>
      <c r="P75" s="129">
        <v>2423398.7599999998</v>
      </c>
      <c r="Q75" s="129">
        <v>5741.84</v>
      </c>
      <c r="R75" s="129">
        <v>2</v>
      </c>
      <c r="S75" s="129">
        <v>30517.85</v>
      </c>
      <c r="T75" s="87"/>
      <c r="U75" s="129">
        <v>59</v>
      </c>
      <c r="V75" s="129">
        <v>7944.8399999999992</v>
      </c>
      <c r="W75" s="129">
        <v>18.440000000000001</v>
      </c>
      <c r="X75" s="129">
        <v>113</v>
      </c>
      <c r="Y75" s="129">
        <v>105838.01</v>
      </c>
      <c r="Z75" s="129">
        <v>319.27</v>
      </c>
      <c r="AA75" s="129">
        <v>1</v>
      </c>
      <c r="AB75"/>
      <c r="AC75" s="131">
        <f t="shared" si="0"/>
        <v>7119</v>
      </c>
      <c r="AD75"/>
    </row>
    <row r="76" spans="1:30">
      <c r="A76" s="82">
        <v>2017</v>
      </c>
      <c r="B76" s="83" t="s">
        <v>52</v>
      </c>
      <c r="C76" s="86"/>
      <c r="D76" s="129">
        <v>15061646.42</v>
      </c>
      <c r="E76" s="129">
        <v>211937.72</v>
      </c>
      <c r="F76" s="129">
        <v>3515790.5399999912</v>
      </c>
      <c r="G76" s="129">
        <v>6390</v>
      </c>
      <c r="H76" s="129">
        <v>1643832.059999997</v>
      </c>
      <c r="I76" s="129">
        <v>643</v>
      </c>
      <c r="J76" s="129">
        <v>3609022.5200000014</v>
      </c>
      <c r="K76" s="129">
        <v>11838.509999999998</v>
      </c>
      <c r="L76" s="129">
        <v>80</v>
      </c>
      <c r="M76" s="129">
        <v>3274293.02</v>
      </c>
      <c r="N76" s="129">
        <v>8059.4900000000007</v>
      </c>
      <c r="O76" s="129">
        <v>9</v>
      </c>
      <c r="P76" s="129">
        <v>2782606.28</v>
      </c>
      <c r="Q76" s="129">
        <v>5709.75</v>
      </c>
      <c r="R76" s="129">
        <v>2</v>
      </c>
      <c r="S76" s="129">
        <v>31603.15</v>
      </c>
      <c r="T76" s="87"/>
      <c r="U76" s="129">
        <v>59</v>
      </c>
      <c r="V76" s="129">
        <v>8209.6699999999983</v>
      </c>
      <c r="W76" s="129">
        <v>19.37</v>
      </c>
      <c r="X76" s="129">
        <v>113</v>
      </c>
      <c r="Y76" s="129">
        <v>96898.37</v>
      </c>
      <c r="Z76" s="129">
        <v>319.27</v>
      </c>
      <c r="AA76" s="129">
        <v>1</v>
      </c>
      <c r="AB76"/>
      <c r="AC76" s="131">
        <f t="shared" si="0"/>
        <v>7125</v>
      </c>
      <c r="AD76"/>
    </row>
    <row r="77" spans="1:30">
      <c r="A77" s="82">
        <v>2017</v>
      </c>
      <c r="B77" s="83" t="s">
        <v>82</v>
      </c>
      <c r="C77" s="86"/>
      <c r="D77" s="129">
        <v>16237904.83</v>
      </c>
      <c r="E77" s="129">
        <v>236828.58</v>
      </c>
      <c r="F77" s="129">
        <v>4046125.9299999992</v>
      </c>
      <c r="G77" s="129">
        <v>6399</v>
      </c>
      <c r="H77" s="129">
        <v>1769600.6900000034</v>
      </c>
      <c r="I77" s="129">
        <v>644</v>
      </c>
      <c r="J77" s="129">
        <v>3657694.3</v>
      </c>
      <c r="K77" s="129">
        <v>13110.090000000006</v>
      </c>
      <c r="L77" s="129">
        <v>80</v>
      </c>
      <c r="M77" s="129">
        <v>3410905.1300000004</v>
      </c>
      <c r="N77" s="129">
        <v>9080.9100000000017</v>
      </c>
      <c r="O77" s="129">
        <v>10</v>
      </c>
      <c r="P77" s="129">
        <v>2685962.16</v>
      </c>
      <c r="Q77" s="129">
        <v>5834.63</v>
      </c>
      <c r="R77" s="129">
        <v>2</v>
      </c>
      <c r="S77" s="129">
        <v>31332.819999999996</v>
      </c>
      <c r="T77" s="87"/>
      <c r="U77" s="129">
        <v>59</v>
      </c>
      <c r="V77" s="129">
        <v>7944.8399999999992</v>
      </c>
      <c r="W77" s="129">
        <v>22.039999999999992</v>
      </c>
      <c r="X77" s="129">
        <v>113</v>
      </c>
      <c r="Y77" s="129">
        <v>86442.35</v>
      </c>
      <c r="Z77" s="129">
        <v>319.27</v>
      </c>
      <c r="AA77" s="129">
        <v>1</v>
      </c>
      <c r="AB77"/>
      <c r="AC77" s="131">
        <f t="shared" si="0"/>
        <v>7136</v>
      </c>
      <c r="AD77"/>
    </row>
    <row r="78" spans="1:30">
      <c r="A78" s="82">
        <v>2017</v>
      </c>
      <c r="B78" s="83" t="s">
        <v>83</v>
      </c>
      <c r="C78" s="86"/>
      <c r="D78" s="129">
        <v>16605648.27</v>
      </c>
      <c r="E78" s="129">
        <v>225248.93</v>
      </c>
      <c r="F78" s="129">
        <v>5004682.5799999991</v>
      </c>
      <c r="G78" s="129">
        <v>6413</v>
      </c>
      <c r="H78" s="129">
        <v>1989601.2900000007</v>
      </c>
      <c r="I78" s="129">
        <v>640</v>
      </c>
      <c r="J78" s="129">
        <v>3366992.9099999992</v>
      </c>
      <c r="K78" s="129">
        <v>11005.470000000001</v>
      </c>
      <c r="L78" s="129">
        <v>78</v>
      </c>
      <c r="M78" s="129">
        <v>3642576.83</v>
      </c>
      <c r="N78" s="129">
        <v>10386.329999999998</v>
      </c>
      <c r="O78" s="129">
        <v>11</v>
      </c>
      <c r="P78" s="129">
        <v>2112781.12</v>
      </c>
      <c r="Q78" s="129">
        <v>5429.4500000000007</v>
      </c>
      <c r="R78" s="129">
        <v>2</v>
      </c>
      <c r="S78" s="129">
        <v>30218.59</v>
      </c>
      <c r="T78" s="87"/>
      <c r="U78" s="129">
        <v>59</v>
      </c>
      <c r="V78" s="129">
        <v>8209.66</v>
      </c>
      <c r="W78" s="129">
        <v>21.85</v>
      </c>
      <c r="X78" s="129">
        <v>113</v>
      </c>
      <c r="Y78" s="129">
        <v>91470.93</v>
      </c>
      <c r="Z78" s="129">
        <v>319.27</v>
      </c>
      <c r="AA78" s="129">
        <v>1</v>
      </c>
      <c r="AB78"/>
      <c r="AC78" s="131">
        <f t="shared" si="0"/>
        <v>7145</v>
      </c>
      <c r="AD78"/>
    </row>
    <row r="79" spans="1:30">
      <c r="A79" s="82">
        <v>2017</v>
      </c>
      <c r="B79" s="83" t="s">
        <v>84</v>
      </c>
      <c r="C79" s="86"/>
      <c r="D79" s="129">
        <v>16791868.32</v>
      </c>
      <c r="E79" s="129">
        <v>209082.47</v>
      </c>
      <c r="F79" s="129">
        <v>4440652.400000019</v>
      </c>
      <c r="G79" s="129">
        <v>6425</v>
      </c>
      <c r="H79" s="129">
        <v>1869892.280000001</v>
      </c>
      <c r="I79" s="129">
        <v>643</v>
      </c>
      <c r="J79" s="129">
        <v>3466864.9999999995</v>
      </c>
      <c r="K79" s="129">
        <v>10723.880000000005</v>
      </c>
      <c r="L79" s="129">
        <v>78</v>
      </c>
      <c r="M79" s="129">
        <v>3756647.91</v>
      </c>
      <c r="N79" s="129">
        <v>10151.31</v>
      </c>
      <c r="O79" s="129">
        <v>11</v>
      </c>
      <c r="P79" s="129">
        <v>2661718.96</v>
      </c>
      <c r="Q79" s="129">
        <v>5723.32</v>
      </c>
      <c r="R79" s="129">
        <v>2</v>
      </c>
      <c r="S79" s="129">
        <v>31052.339999999997</v>
      </c>
      <c r="T79" s="87"/>
      <c r="U79" s="129">
        <v>58</v>
      </c>
      <c r="V79" s="129">
        <v>8209.67</v>
      </c>
      <c r="W79" s="129">
        <v>22.299999999999994</v>
      </c>
      <c r="X79" s="129">
        <v>113</v>
      </c>
      <c r="Y79" s="129">
        <v>103523.45</v>
      </c>
      <c r="Z79" s="129">
        <v>319.27</v>
      </c>
      <c r="AA79" s="129">
        <v>1</v>
      </c>
      <c r="AB79"/>
      <c r="AC79" s="131">
        <f t="shared" si="0"/>
        <v>7160</v>
      </c>
      <c r="AD79"/>
    </row>
    <row r="80" spans="1:30">
      <c r="A80" s="82">
        <v>2017</v>
      </c>
      <c r="B80" s="83" t="s">
        <v>85</v>
      </c>
      <c r="C80" s="86"/>
      <c r="D80" s="129">
        <v>15184922.210000001</v>
      </c>
      <c r="E80" s="129">
        <v>202752.04</v>
      </c>
      <c r="F80" s="129">
        <v>3962647.9499999858</v>
      </c>
      <c r="G80" s="129">
        <v>6431</v>
      </c>
      <c r="H80" s="129">
        <v>1721550.6999999976</v>
      </c>
      <c r="I80" s="129">
        <v>643</v>
      </c>
      <c r="J80" s="129">
        <v>3260137.9000000008</v>
      </c>
      <c r="K80" s="129">
        <v>10778.630000000008</v>
      </c>
      <c r="L80" s="129">
        <v>78</v>
      </c>
      <c r="M80" s="129">
        <v>3341534.2699999996</v>
      </c>
      <c r="N80" s="129">
        <v>10017.82</v>
      </c>
      <c r="O80" s="129">
        <v>12</v>
      </c>
      <c r="P80" s="129">
        <v>2359314.4</v>
      </c>
      <c r="Q80" s="129">
        <v>5697.7000000000007</v>
      </c>
      <c r="R80" s="129">
        <v>2</v>
      </c>
      <c r="S80" s="129">
        <v>28484.880000000001</v>
      </c>
      <c r="T80" s="87"/>
      <c r="U80" s="129">
        <v>58</v>
      </c>
      <c r="V80" s="129">
        <v>7944.8300000000008</v>
      </c>
      <c r="W80" s="129">
        <v>21.569999999999997</v>
      </c>
      <c r="X80" s="129">
        <v>113</v>
      </c>
      <c r="Y80" s="129">
        <v>112143.52</v>
      </c>
      <c r="Z80" s="129">
        <v>319.27</v>
      </c>
      <c r="AA80" s="129">
        <v>1</v>
      </c>
      <c r="AB80"/>
      <c r="AC80" s="131">
        <f t="shared" si="0"/>
        <v>7167</v>
      </c>
      <c r="AD80"/>
    </row>
    <row r="81" spans="1:30">
      <c r="A81" s="82">
        <v>2017</v>
      </c>
      <c r="B81" s="83" t="s">
        <v>86</v>
      </c>
      <c r="C81" s="86"/>
      <c r="D81" s="129">
        <v>14823920.949999999</v>
      </c>
      <c r="E81" s="129">
        <v>127443.61</v>
      </c>
      <c r="F81" s="129">
        <v>3727637.3900000011</v>
      </c>
      <c r="G81" s="129">
        <v>6436</v>
      </c>
      <c r="H81" s="129">
        <v>1675304.3100000026</v>
      </c>
      <c r="I81" s="129">
        <v>648</v>
      </c>
      <c r="J81" s="129">
        <v>3314278.77</v>
      </c>
      <c r="K81" s="129">
        <v>10855.48</v>
      </c>
      <c r="L81" s="129">
        <v>78</v>
      </c>
      <c r="M81" s="129">
        <v>3408829.4699999997</v>
      </c>
      <c r="N81" s="129">
        <v>9733.4500000000007</v>
      </c>
      <c r="O81" s="129">
        <v>12</v>
      </c>
      <c r="P81" s="129">
        <v>2488544.56</v>
      </c>
      <c r="Q81" s="129">
        <v>5643.5599999999995</v>
      </c>
      <c r="R81" s="129">
        <v>2</v>
      </c>
      <c r="S81" s="129">
        <v>31219.799999999996</v>
      </c>
      <c r="T81" s="87"/>
      <c r="U81" s="129">
        <v>58</v>
      </c>
      <c r="V81" s="129">
        <v>8209.6700000000019</v>
      </c>
      <c r="W81" s="129">
        <v>22.6</v>
      </c>
      <c r="X81" s="129">
        <v>113</v>
      </c>
      <c r="Y81" s="129">
        <v>130661.32</v>
      </c>
      <c r="Z81" s="129">
        <v>319.27</v>
      </c>
      <c r="AA81" s="129">
        <v>1</v>
      </c>
      <c r="AB81"/>
      <c r="AC81" s="131">
        <f t="shared" si="0"/>
        <v>7177</v>
      </c>
      <c r="AD81"/>
    </row>
    <row r="82" spans="1:30">
      <c r="A82" s="82">
        <v>2017</v>
      </c>
      <c r="B82" s="83" t="s">
        <v>87</v>
      </c>
      <c r="C82" s="86"/>
      <c r="D82" s="129">
        <v>15176795.18</v>
      </c>
      <c r="E82" s="129">
        <v>76466.039999999994</v>
      </c>
      <c r="F82" s="129">
        <v>3825209.1699999915</v>
      </c>
      <c r="G82" s="129">
        <v>6451</v>
      </c>
      <c r="H82" s="129">
        <v>1664761.0899999966</v>
      </c>
      <c r="I82" s="129">
        <v>647</v>
      </c>
      <c r="J82" s="129">
        <v>3414745.8499999996</v>
      </c>
      <c r="K82" s="129">
        <v>10436.410000000002</v>
      </c>
      <c r="L82" s="129">
        <v>78</v>
      </c>
      <c r="M82" s="129">
        <v>3144378.7300000004</v>
      </c>
      <c r="N82" s="129">
        <v>9259.5499999999993</v>
      </c>
      <c r="O82" s="129">
        <v>12</v>
      </c>
      <c r="P82" s="129">
        <v>2610689.3600000003</v>
      </c>
      <c r="Q82" s="129">
        <v>5535.12</v>
      </c>
      <c r="R82" s="129">
        <v>2</v>
      </c>
      <c r="S82" s="129">
        <v>29773.030000000002</v>
      </c>
      <c r="T82" s="87"/>
      <c r="U82" s="129">
        <v>57</v>
      </c>
      <c r="V82" s="129">
        <v>8500.1700000000019</v>
      </c>
      <c r="W82" s="129">
        <v>24.550000000000004</v>
      </c>
      <c r="X82" s="129">
        <v>113</v>
      </c>
      <c r="Y82" s="129">
        <v>138483.51</v>
      </c>
      <c r="Z82" s="129">
        <v>319.27</v>
      </c>
      <c r="AA82" s="129">
        <v>1</v>
      </c>
      <c r="AB82"/>
      <c r="AC82" s="131">
        <f t="shared" si="0"/>
        <v>7191</v>
      </c>
      <c r="AD82"/>
    </row>
    <row r="83" spans="1:30">
      <c r="A83" s="82">
        <v>2017</v>
      </c>
      <c r="B83" s="83" t="s">
        <v>88</v>
      </c>
      <c r="C83" s="86"/>
      <c r="D83" s="129">
        <v>15312049.84</v>
      </c>
      <c r="E83" s="129">
        <v>29462.42</v>
      </c>
      <c r="F83" s="129">
        <v>4595954.4399999995</v>
      </c>
      <c r="G83" s="129">
        <v>6450</v>
      </c>
      <c r="H83" s="129">
        <v>1879594.5</v>
      </c>
      <c r="I83" s="129">
        <v>646</v>
      </c>
      <c r="J83" s="129">
        <v>3417405.0899999994</v>
      </c>
      <c r="K83" s="129">
        <v>9815.6999999999989</v>
      </c>
      <c r="L83" s="129">
        <v>79</v>
      </c>
      <c r="M83" s="129">
        <v>2747179.61</v>
      </c>
      <c r="N83" s="129">
        <v>9091.16</v>
      </c>
      <c r="O83" s="129">
        <v>12</v>
      </c>
      <c r="P83" s="129">
        <v>2015539.2</v>
      </c>
      <c r="Q83" s="129">
        <v>5652.17</v>
      </c>
      <c r="R83" s="129">
        <v>2</v>
      </c>
      <c r="S83" s="129">
        <v>30198.030000000002</v>
      </c>
      <c r="T83" s="87"/>
      <c r="U83" s="129">
        <v>58</v>
      </c>
      <c r="V83" s="129">
        <v>9255.9900000000016</v>
      </c>
      <c r="W83" s="129">
        <v>24.45</v>
      </c>
      <c r="X83" s="129">
        <v>113</v>
      </c>
      <c r="Y83" s="129">
        <v>150696.76</v>
      </c>
      <c r="Z83" s="129">
        <v>319.27</v>
      </c>
      <c r="AA83" s="129">
        <v>1</v>
      </c>
      <c r="AB83"/>
      <c r="AC83" s="131">
        <f t="shared" si="0"/>
        <v>7190</v>
      </c>
      <c r="AD83"/>
    </row>
    <row r="84" spans="1:30">
      <c r="A84" s="82">
        <v>2018</v>
      </c>
      <c r="B84" s="83" t="s">
        <v>78</v>
      </c>
      <c r="C84" s="86"/>
      <c r="D84" s="128">
        <v>16892328.899999995</v>
      </c>
      <c r="E84" s="128">
        <v>37099.270000000004</v>
      </c>
      <c r="F84" s="128">
        <v>4679737.5899999831</v>
      </c>
      <c r="G84" s="128">
        <v>6457</v>
      </c>
      <c r="H84" s="128">
        <v>1869572.2500000014</v>
      </c>
      <c r="I84" s="128">
        <v>648</v>
      </c>
      <c r="J84" s="128">
        <v>3652943.4300000011</v>
      </c>
      <c r="K84" s="128">
        <v>9763.9599999999991</v>
      </c>
      <c r="L84" s="128">
        <v>79</v>
      </c>
      <c r="M84" s="128">
        <v>3281582.99</v>
      </c>
      <c r="N84" s="128">
        <v>9179.11</v>
      </c>
      <c r="O84" s="128">
        <v>12</v>
      </c>
      <c r="P84" s="128">
        <v>2617422.3199999998</v>
      </c>
      <c r="Q84" s="128">
        <v>5636.39</v>
      </c>
      <c r="R84" s="128">
        <v>2</v>
      </c>
      <c r="S84" s="128">
        <v>27404.590000000004</v>
      </c>
      <c r="T84" s="85"/>
      <c r="U84" s="128">
        <v>89</v>
      </c>
      <c r="V84" s="128">
        <v>8173.7</v>
      </c>
      <c r="W84" s="128">
        <v>17.709999999999997</v>
      </c>
      <c r="X84" s="128">
        <v>112</v>
      </c>
      <c r="Y84" s="128">
        <v>148460.54999999999</v>
      </c>
      <c r="Z84" s="128">
        <v>319.27</v>
      </c>
      <c r="AA84" s="128">
        <v>1</v>
      </c>
      <c r="AB84"/>
      <c r="AC84" s="131">
        <f t="shared" si="0"/>
        <v>7199</v>
      </c>
      <c r="AD84"/>
    </row>
    <row r="85" spans="1:30">
      <c r="A85" s="82">
        <v>2018</v>
      </c>
      <c r="B85" s="83" t="s">
        <v>79</v>
      </c>
      <c r="C85" s="86"/>
      <c r="D85" s="129">
        <v>14940711.98</v>
      </c>
      <c r="E85" s="129">
        <v>50870.44</v>
      </c>
      <c r="F85" s="129">
        <v>3899916.5800000266</v>
      </c>
      <c r="G85" s="129">
        <v>6461</v>
      </c>
      <c r="H85" s="129">
        <v>1527996.4600000002</v>
      </c>
      <c r="I85" s="129">
        <v>647</v>
      </c>
      <c r="J85" s="129">
        <v>3249207.33</v>
      </c>
      <c r="K85" s="129">
        <v>10594.639999999998</v>
      </c>
      <c r="L85" s="129">
        <v>79</v>
      </c>
      <c r="M85" s="129">
        <v>2914549.9299999997</v>
      </c>
      <c r="N85" s="129">
        <v>9242.9599999999991</v>
      </c>
      <c r="O85" s="129">
        <v>12</v>
      </c>
      <c r="P85" s="129">
        <v>2491632.7200000002</v>
      </c>
      <c r="Q85" s="129">
        <v>5773.58</v>
      </c>
      <c r="R85" s="129">
        <v>2</v>
      </c>
      <c r="S85" s="129">
        <v>27894.91</v>
      </c>
      <c r="T85" s="87"/>
      <c r="U85" s="129">
        <v>57</v>
      </c>
      <c r="V85" s="129">
        <v>7351.3400000000011</v>
      </c>
      <c r="W85" s="129">
        <v>20.880000000000003</v>
      </c>
      <c r="X85" s="129">
        <v>112</v>
      </c>
      <c r="Y85" s="129">
        <v>134093.4</v>
      </c>
      <c r="Z85" s="129">
        <v>319.27</v>
      </c>
      <c r="AA85" s="129">
        <v>1</v>
      </c>
      <c r="AB85"/>
      <c r="AC85" s="131">
        <f t="shared" si="0"/>
        <v>7202</v>
      </c>
      <c r="AD85"/>
    </row>
    <row r="86" spans="1:30">
      <c r="A86" s="82">
        <v>2018</v>
      </c>
      <c r="B86" s="83" t="s">
        <v>80</v>
      </c>
      <c r="C86" s="86"/>
      <c r="D86" s="129">
        <v>15870053.460000001</v>
      </c>
      <c r="E86" s="129">
        <v>157401.99</v>
      </c>
      <c r="F86" s="129">
        <v>4086281.3600000017</v>
      </c>
      <c r="G86" s="129">
        <v>6473</v>
      </c>
      <c r="H86" s="129">
        <v>1937484.5500000049</v>
      </c>
      <c r="I86" s="129">
        <v>645</v>
      </c>
      <c r="J86" s="129">
        <v>3600836.7899999991</v>
      </c>
      <c r="K86" s="129">
        <v>10840.199999999997</v>
      </c>
      <c r="L86" s="129">
        <v>79</v>
      </c>
      <c r="M86" s="129">
        <v>3256687.47</v>
      </c>
      <c r="N86" s="129">
        <v>9171.18</v>
      </c>
      <c r="O86" s="129">
        <v>12</v>
      </c>
      <c r="P86" s="129">
        <v>2648442.16</v>
      </c>
      <c r="Q86" s="129">
        <v>5849.93</v>
      </c>
      <c r="R86" s="129">
        <v>2</v>
      </c>
      <c r="S86" s="129">
        <v>30285.46</v>
      </c>
      <c r="T86" s="87"/>
      <c r="U86" s="129">
        <v>57</v>
      </c>
      <c r="V86" s="129">
        <v>8138.9799999999987</v>
      </c>
      <c r="W86" s="129">
        <v>22.910000000000004</v>
      </c>
      <c r="X86" s="129">
        <v>112</v>
      </c>
      <c r="Y86" s="129">
        <v>124116.37</v>
      </c>
      <c r="Z86" s="129">
        <v>319.27</v>
      </c>
      <c r="AA86" s="129">
        <v>1</v>
      </c>
      <c r="AB86"/>
      <c r="AC86" s="131">
        <f t="shared" si="0"/>
        <v>7212</v>
      </c>
      <c r="AD86"/>
    </row>
    <row r="87" spans="1:30">
      <c r="A87" s="82">
        <v>2018</v>
      </c>
      <c r="B87" s="83" t="s">
        <v>81</v>
      </c>
      <c r="C87" s="86"/>
      <c r="D87" s="129">
        <v>14690754.840000002</v>
      </c>
      <c r="E87" s="129">
        <v>155665.48000000001</v>
      </c>
      <c r="F87" s="129">
        <v>3764974.6000000113</v>
      </c>
      <c r="G87" s="129">
        <v>6481</v>
      </c>
      <c r="H87" s="129">
        <v>1599821.1799999992</v>
      </c>
      <c r="I87" s="129">
        <v>645</v>
      </c>
      <c r="J87" s="129">
        <v>3425443.4700000007</v>
      </c>
      <c r="K87" s="129">
        <v>10491.81</v>
      </c>
      <c r="L87" s="129">
        <v>79</v>
      </c>
      <c r="M87" s="129">
        <v>2888116.2</v>
      </c>
      <c r="N87" s="129">
        <v>8976.25</v>
      </c>
      <c r="O87" s="129">
        <v>12</v>
      </c>
      <c r="P87" s="129">
        <v>2507678.6399999997</v>
      </c>
      <c r="Q87" s="129">
        <v>5611.2199999999993</v>
      </c>
      <c r="R87" s="129">
        <v>2</v>
      </c>
      <c r="S87" s="129">
        <v>27623.82</v>
      </c>
      <c r="T87" s="87"/>
      <c r="U87" s="129">
        <v>57</v>
      </c>
      <c r="V87" s="129">
        <v>7876.44</v>
      </c>
      <c r="W87" s="129">
        <v>20.890000000000004</v>
      </c>
      <c r="X87" s="129">
        <v>112</v>
      </c>
      <c r="Y87" s="129">
        <v>105838.01</v>
      </c>
      <c r="Z87" s="129">
        <v>319.27</v>
      </c>
      <c r="AA87" s="129">
        <v>1</v>
      </c>
      <c r="AB87"/>
      <c r="AC87" s="131">
        <f t="shared" si="0"/>
        <v>7220</v>
      </c>
      <c r="AD87"/>
    </row>
    <row r="88" spans="1:30">
      <c r="A88" s="82">
        <v>2018</v>
      </c>
      <c r="B88" s="83" t="s">
        <v>52</v>
      </c>
      <c r="C88" s="86"/>
      <c r="D88" s="129">
        <v>15199975.959999999</v>
      </c>
      <c r="E88" s="129">
        <v>229192.52000000002</v>
      </c>
      <c r="F88" s="129">
        <v>3776753.9099999913</v>
      </c>
      <c r="G88" s="129">
        <v>6487</v>
      </c>
      <c r="H88" s="129">
        <v>1677138.7700000003</v>
      </c>
      <c r="I88" s="129">
        <v>649</v>
      </c>
      <c r="J88" s="129">
        <v>3475570.7899999996</v>
      </c>
      <c r="K88" s="129">
        <v>11082.58</v>
      </c>
      <c r="L88" s="129">
        <v>79</v>
      </c>
      <c r="M88" s="129">
        <v>3328251.6100000003</v>
      </c>
      <c r="N88" s="129">
        <v>9165.19</v>
      </c>
      <c r="O88" s="129">
        <v>12</v>
      </c>
      <c r="P88" s="129">
        <v>2564934.16</v>
      </c>
      <c r="Q88" s="129">
        <v>5781.2</v>
      </c>
      <c r="R88" s="129">
        <v>2</v>
      </c>
      <c r="S88" s="129">
        <v>29949.27</v>
      </c>
      <c r="T88" s="87"/>
      <c r="U88" s="129">
        <v>57</v>
      </c>
      <c r="V88" s="129">
        <v>8138.989999999998</v>
      </c>
      <c r="W88" s="129">
        <v>21.48</v>
      </c>
      <c r="X88" s="129">
        <v>112</v>
      </c>
      <c r="Y88" s="129">
        <v>96898.37</v>
      </c>
      <c r="Z88" s="129">
        <v>319.27</v>
      </c>
      <c r="AA88" s="129">
        <v>1</v>
      </c>
      <c r="AB88"/>
      <c r="AC88" s="131">
        <f t="shared" si="0"/>
        <v>7230</v>
      </c>
      <c r="AD88"/>
    </row>
    <row r="89" spans="1:30">
      <c r="A89" s="82">
        <v>2018</v>
      </c>
      <c r="B89" s="83" t="s">
        <v>82</v>
      </c>
      <c r="C89" s="86"/>
      <c r="D89" s="129">
        <v>15726339.940000001</v>
      </c>
      <c r="E89" s="129">
        <v>208452.3</v>
      </c>
      <c r="F89" s="129">
        <v>4629952.9899999797</v>
      </c>
      <c r="G89" s="129">
        <v>6505</v>
      </c>
      <c r="H89" s="129">
        <v>1809140.7700000014</v>
      </c>
      <c r="I89" s="129">
        <v>648</v>
      </c>
      <c r="J89" s="129">
        <v>3558355.0699999994</v>
      </c>
      <c r="K89" s="129">
        <v>11506.579999999994</v>
      </c>
      <c r="L89" s="129">
        <v>79</v>
      </c>
      <c r="M89" s="129">
        <v>3170218.95</v>
      </c>
      <c r="N89" s="129">
        <v>9773.130000000001</v>
      </c>
      <c r="O89" s="129">
        <v>12</v>
      </c>
      <c r="P89" s="129">
        <v>2400446.16</v>
      </c>
      <c r="Q89" s="129">
        <v>5598.5</v>
      </c>
      <c r="R89" s="129">
        <v>2</v>
      </c>
      <c r="S89" s="129">
        <v>27960.320000000003</v>
      </c>
      <c r="T89" s="87"/>
      <c r="U89" s="129">
        <v>57</v>
      </c>
      <c r="V89" s="129">
        <v>7876.44</v>
      </c>
      <c r="W89" s="129">
        <v>21.47</v>
      </c>
      <c r="X89" s="129">
        <v>112</v>
      </c>
      <c r="Y89" s="129">
        <v>77475.11</v>
      </c>
      <c r="Z89" s="129">
        <v>286.14999999999998</v>
      </c>
      <c r="AA89" s="129">
        <v>1</v>
      </c>
      <c r="AB89"/>
      <c r="AC89" s="131">
        <f t="shared" ref="AC89:AC143" si="1">G89+I89+L89+O89+R89+AA89</f>
        <v>7247</v>
      </c>
      <c r="AD89"/>
    </row>
    <row r="90" spans="1:30">
      <c r="A90" s="82">
        <v>2018</v>
      </c>
      <c r="B90" s="83" t="s">
        <v>83</v>
      </c>
      <c r="C90" s="86"/>
      <c r="D90" s="129">
        <v>17253025.84</v>
      </c>
      <c r="E90" s="129">
        <v>237873.48</v>
      </c>
      <c r="F90" s="129">
        <v>5586071.3299999796</v>
      </c>
      <c r="G90" s="129">
        <v>6526</v>
      </c>
      <c r="H90" s="129">
        <v>2081147.2800000003</v>
      </c>
      <c r="I90" s="129">
        <v>649</v>
      </c>
      <c r="J90" s="129">
        <v>3660394.26</v>
      </c>
      <c r="K90" s="129">
        <v>11704.979999999996</v>
      </c>
      <c r="L90" s="129">
        <v>80</v>
      </c>
      <c r="M90" s="129">
        <v>3045205.3699999996</v>
      </c>
      <c r="N90" s="129">
        <v>9992.44</v>
      </c>
      <c r="O90" s="129">
        <v>12</v>
      </c>
      <c r="P90" s="129">
        <v>2238738.4</v>
      </c>
      <c r="Q90" s="129">
        <v>5481.81</v>
      </c>
      <c r="R90" s="129">
        <v>2</v>
      </c>
      <c r="S90" s="129">
        <v>29743.329999999998</v>
      </c>
      <c r="T90" s="87"/>
      <c r="U90" s="129">
        <v>57</v>
      </c>
      <c r="V90" s="129">
        <v>8134.4299999999994</v>
      </c>
      <c r="W90" s="129">
        <v>21.58</v>
      </c>
      <c r="X90" s="129">
        <v>112</v>
      </c>
      <c r="Y90" s="129">
        <v>69227.070000000007</v>
      </c>
      <c r="Z90" s="129">
        <v>241.63</v>
      </c>
      <c r="AA90" s="129">
        <v>1</v>
      </c>
      <c r="AB90"/>
      <c r="AC90" s="131">
        <f t="shared" si="1"/>
        <v>7270</v>
      </c>
      <c r="AD90"/>
    </row>
    <row r="91" spans="1:30">
      <c r="A91" s="82">
        <v>2018</v>
      </c>
      <c r="B91" s="83" t="s">
        <v>84</v>
      </c>
      <c r="C91" s="86"/>
      <c r="D91" s="129">
        <v>17560844.650000006</v>
      </c>
      <c r="E91" s="129">
        <v>198710.13</v>
      </c>
      <c r="F91" s="129">
        <v>5518344.8000000231</v>
      </c>
      <c r="G91" s="129">
        <v>6544</v>
      </c>
      <c r="H91" s="129">
        <v>2046841.330000001</v>
      </c>
      <c r="I91" s="129">
        <v>649</v>
      </c>
      <c r="J91" s="129">
        <v>3787770.97</v>
      </c>
      <c r="K91" s="129">
        <v>11642.560000000003</v>
      </c>
      <c r="L91" s="129">
        <v>81</v>
      </c>
      <c r="M91" s="129">
        <v>3330568.88</v>
      </c>
      <c r="N91" s="129">
        <v>9748.69</v>
      </c>
      <c r="O91" s="129">
        <v>12</v>
      </c>
      <c r="P91" s="129">
        <v>2311146.7199999997</v>
      </c>
      <c r="Q91" s="129">
        <v>5295.31</v>
      </c>
      <c r="R91" s="129">
        <v>2</v>
      </c>
      <c r="S91" s="129">
        <v>28630.95</v>
      </c>
      <c r="T91" s="87"/>
      <c r="U91" s="129">
        <v>56</v>
      </c>
      <c r="V91" s="129">
        <v>8138.99</v>
      </c>
      <c r="W91" s="129">
        <v>21.750000000000004</v>
      </c>
      <c r="X91" s="129">
        <v>112</v>
      </c>
      <c r="Y91" s="129">
        <v>69940.73</v>
      </c>
      <c r="Z91" s="129">
        <v>215.7</v>
      </c>
      <c r="AA91" s="129">
        <v>1</v>
      </c>
      <c r="AB91"/>
      <c r="AC91" s="131">
        <f t="shared" si="1"/>
        <v>7289</v>
      </c>
      <c r="AD91"/>
    </row>
    <row r="92" spans="1:30">
      <c r="A92" s="82">
        <v>2018</v>
      </c>
      <c r="B92" s="83" t="s">
        <v>85</v>
      </c>
      <c r="C92" s="86"/>
      <c r="D92" s="129">
        <v>15504314.149999997</v>
      </c>
      <c r="E92" s="129">
        <v>151817.58000000002</v>
      </c>
      <c r="F92" s="129">
        <v>4480226.4400000181</v>
      </c>
      <c r="G92" s="129">
        <v>6552</v>
      </c>
      <c r="H92" s="129">
        <v>1756996.7300000004</v>
      </c>
      <c r="I92" s="129">
        <v>648</v>
      </c>
      <c r="J92" s="129">
        <v>3478371.86</v>
      </c>
      <c r="K92" s="129">
        <v>11886.309999999994</v>
      </c>
      <c r="L92" s="129">
        <v>81</v>
      </c>
      <c r="M92" s="129">
        <v>3113097.5199999996</v>
      </c>
      <c r="N92" s="129">
        <v>10124.74</v>
      </c>
      <c r="O92" s="129">
        <v>13</v>
      </c>
      <c r="P92" s="129">
        <v>2261266.7999999998</v>
      </c>
      <c r="Q92" s="129">
        <v>5635.6</v>
      </c>
      <c r="R92" s="129">
        <v>2</v>
      </c>
      <c r="S92" s="129">
        <v>27365.969999999998</v>
      </c>
      <c r="T92" s="87"/>
      <c r="U92" s="129">
        <v>56</v>
      </c>
      <c r="V92" s="129">
        <v>7876.4400000000005</v>
      </c>
      <c r="W92" s="129">
        <v>22.410000000000004</v>
      </c>
      <c r="X92" s="129">
        <v>112</v>
      </c>
      <c r="Y92" s="129">
        <v>68142.5</v>
      </c>
      <c r="Z92" s="129">
        <v>194</v>
      </c>
      <c r="AA92" s="129">
        <v>1</v>
      </c>
      <c r="AB92"/>
      <c r="AC92" s="131">
        <f t="shared" si="1"/>
        <v>7297</v>
      </c>
      <c r="AD92"/>
    </row>
    <row r="93" spans="1:30">
      <c r="A93" s="82">
        <v>2018</v>
      </c>
      <c r="B93" s="83" t="s">
        <v>86</v>
      </c>
      <c r="C93" s="86"/>
      <c r="D93" s="129">
        <v>15079922.620000003</v>
      </c>
      <c r="E93" s="129">
        <v>103570.98</v>
      </c>
      <c r="F93" s="129">
        <v>3896481.059999974</v>
      </c>
      <c r="G93" s="129">
        <v>6565</v>
      </c>
      <c r="H93" s="129">
        <v>1605720.5299999986</v>
      </c>
      <c r="I93" s="129">
        <v>648</v>
      </c>
      <c r="J93" s="129">
        <v>3574917.6999999988</v>
      </c>
      <c r="K93" s="129">
        <v>11094.33</v>
      </c>
      <c r="L93" s="129">
        <v>80</v>
      </c>
      <c r="M93" s="129">
        <v>3158443.5300000003</v>
      </c>
      <c r="N93" s="129">
        <v>9774.24</v>
      </c>
      <c r="O93" s="129">
        <v>13</v>
      </c>
      <c r="P93" s="129">
        <v>2412551.6</v>
      </c>
      <c r="Q93" s="129">
        <v>5405.08</v>
      </c>
      <c r="R93" s="129">
        <v>2</v>
      </c>
      <c r="S93" s="129">
        <v>29565.97</v>
      </c>
      <c r="T93" s="87"/>
      <c r="U93" s="129">
        <v>56</v>
      </c>
      <c r="V93" s="129">
        <v>8138.99</v>
      </c>
      <c r="W93" s="129">
        <v>21.930000000000003</v>
      </c>
      <c r="X93" s="129">
        <v>112</v>
      </c>
      <c r="Y93" s="129">
        <v>75302</v>
      </c>
      <c r="Z93" s="129">
        <v>184</v>
      </c>
      <c r="AA93" s="129">
        <v>1</v>
      </c>
      <c r="AB93"/>
      <c r="AC93" s="131">
        <f t="shared" si="1"/>
        <v>7309</v>
      </c>
      <c r="AD93"/>
    </row>
    <row r="94" spans="1:30">
      <c r="A94" s="82">
        <v>2018</v>
      </c>
      <c r="B94" s="83" t="s">
        <v>87</v>
      </c>
      <c r="C94" s="86"/>
      <c r="D94" s="129">
        <v>15240429.750000002</v>
      </c>
      <c r="E94" s="129">
        <v>36530.949999999997</v>
      </c>
      <c r="F94" s="129">
        <v>4052050.9199999864</v>
      </c>
      <c r="G94" s="129">
        <v>6566</v>
      </c>
      <c r="H94" s="129">
        <v>1671900.7100000009</v>
      </c>
      <c r="I94" s="129">
        <v>647</v>
      </c>
      <c r="J94" s="129">
        <v>3593017</v>
      </c>
      <c r="K94" s="129">
        <v>10378.86</v>
      </c>
      <c r="L94" s="129">
        <v>80</v>
      </c>
      <c r="M94" s="129">
        <v>2992505.92</v>
      </c>
      <c r="N94" s="129">
        <v>9186.0299999999988</v>
      </c>
      <c r="O94" s="129">
        <v>13</v>
      </c>
      <c r="P94" s="129">
        <v>2379631.5999999996</v>
      </c>
      <c r="Q94" s="129">
        <v>5305.7199999999993</v>
      </c>
      <c r="R94" s="129">
        <v>2</v>
      </c>
      <c r="S94" s="129">
        <v>27753.599999999999</v>
      </c>
      <c r="T94" s="87"/>
      <c r="U94" s="129">
        <v>56</v>
      </c>
      <c r="V94" s="129">
        <v>7876.4400000000005</v>
      </c>
      <c r="W94" s="129">
        <v>21.73</v>
      </c>
      <c r="X94" s="129">
        <v>112</v>
      </c>
      <c r="Y94" s="129">
        <v>70701.25</v>
      </c>
      <c r="Z94" s="129">
        <v>163</v>
      </c>
      <c r="AA94" s="129">
        <v>1</v>
      </c>
      <c r="AB94"/>
      <c r="AC94" s="131">
        <f t="shared" si="1"/>
        <v>7309</v>
      </c>
      <c r="AD94"/>
    </row>
    <row r="95" spans="1:30">
      <c r="A95" s="82">
        <v>2018</v>
      </c>
      <c r="B95" s="83" t="s">
        <v>88</v>
      </c>
      <c r="C95" s="86"/>
      <c r="D95" s="129">
        <v>14436070.189999999</v>
      </c>
      <c r="E95" s="129">
        <v>31997.420000000002</v>
      </c>
      <c r="F95" s="129">
        <v>4498644.7799999975</v>
      </c>
      <c r="G95" s="129">
        <v>6579</v>
      </c>
      <c r="H95" s="129">
        <v>1734915.8199999994</v>
      </c>
      <c r="I95" s="129">
        <v>653</v>
      </c>
      <c r="J95" s="129">
        <v>3338000.5400000005</v>
      </c>
      <c r="K95" s="129">
        <v>10478.92</v>
      </c>
      <c r="L95" s="129">
        <v>81</v>
      </c>
      <c r="M95" s="129">
        <v>2445992.8499999996</v>
      </c>
      <c r="N95" s="129">
        <v>9107.02</v>
      </c>
      <c r="O95" s="129">
        <v>13</v>
      </c>
      <c r="P95" s="129">
        <v>1853633.2000000002</v>
      </c>
      <c r="Q95" s="129">
        <v>5211.66</v>
      </c>
      <c r="R95" s="129">
        <v>2</v>
      </c>
      <c r="S95" s="129">
        <v>27687.63</v>
      </c>
      <c r="T95" s="87"/>
      <c r="U95" s="129">
        <v>56</v>
      </c>
      <c r="V95" s="129">
        <v>8093.3899999999994</v>
      </c>
      <c r="W95" s="129">
        <v>21.700000000000006</v>
      </c>
      <c r="X95" s="129">
        <v>112</v>
      </c>
      <c r="Y95" s="129">
        <v>76936</v>
      </c>
      <c r="Z95" s="129">
        <v>163</v>
      </c>
      <c r="AA95" s="129">
        <v>1</v>
      </c>
      <c r="AB95"/>
      <c r="AC95" s="131">
        <f t="shared" si="1"/>
        <v>7329</v>
      </c>
      <c r="AD95"/>
    </row>
    <row r="96" spans="1:30">
      <c r="A96" s="82">
        <v>2019</v>
      </c>
      <c r="B96" s="83" t="s">
        <v>78</v>
      </c>
      <c r="C96" s="86"/>
      <c r="D96" s="128">
        <v>16295154.600000001</v>
      </c>
      <c r="E96" s="128">
        <v>46539.969999999994</v>
      </c>
      <c r="F96" s="128">
        <v>4708105.3399999971</v>
      </c>
      <c r="G96" s="128">
        <v>6592</v>
      </c>
      <c r="H96" s="128">
        <v>1935959.6399999994</v>
      </c>
      <c r="I96" s="128">
        <v>652</v>
      </c>
      <c r="J96" s="128">
        <v>3894827.92</v>
      </c>
      <c r="K96" s="128">
        <v>11129.14</v>
      </c>
      <c r="L96" s="128">
        <v>76</v>
      </c>
      <c r="M96" s="128">
        <v>2615008.4900000002</v>
      </c>
      <c r="N96" s="128">
        <v>7760.8799999999992</v>
      </c>
      <c r="O96" s="128">
        <v>12</v>
      </c>
      <c r="P96" s="128">
        <v>2526074.4</v>
      </c>
      <c r="Q96" s="128">
        <v>5390.05</v>
      </c>
      <c r="R96" s="128">
        <v>2</v>
      </c>
      <c r="S96" s="128">
        <v>29538.05</v>
      </c>
      <c r="T96" s="85"/>
      <c r="U96" s="128">
        <v>56</v>
      </c>
      <c r="V96" s="128">
        <v>6726.7599999999993</v>
      </c>
      <c r="W96" s="128">
        <v>18.199999999999996</v>
      </c>
      <c r="X96" s="128">
        <v>112</v>
      </c>
      <c r="Y96" s="128">
        <v>72435</v>
      </c>
      <c r="Z96" s="128">
        <v>163</v>
      </c>
      <c r="AA96" s="128">
        <v>1</v>
      </c>
      <c r="AB96"/>
      <c r="AC96" s="131">
        <f t="shared" si="1"/>
        <v>7335</v>
      </c>
      <c r="AD96"/>
    </row>
    <row r="97" spans="1:30">
      <c r="A97" s="82">
        <v>2019</v>
      </c>
      <c r="B97" s="83" t="s">
        <v>79</v>
      </c>
      <c r="C97" s="86"/>
      <c r="D97" s="129">
        <v>14247811.720000001</v>
      </c>
      <c r="E97" s="129">
        <v>62626.71</v>
      </c>
      <c r="F97" s="129">
        <v>4224617.4700000053</v>
      </c>
      <c r="G97" s="129">
        <v>6600</v>
      </c>
      <c r="H97" s="129">
        <v>1728345.7500000023</v>
      </c>
      <c r="I97" s="129">
        <v>652</v>
      </c>
      <c r="J97" s="129">
        <v>3473628.4799999991</v>
      </c>
      <c r="K97" s="129">
        <v>10989.490000000002</v>
      </c>
      <c r="L97" s="129">
        <v>76</v>
      </c>
      <c r="M97" s="129">
        <v>2171919.0699999998</v>
      </c>
      <c r="N97" s="129">
        <v>7545.66</v>
      </c>
      <c r="O97" s="129">
        <v>12</v>
      </c>
      <c r="P97" s="129">
        <v>2249014.7999999998</v>
      </c>
      <c r="Q97" s="129">
        <v>5480.15</v>
      </c>
      <c r="R97" s="129">
        <v>2</v>
      </c>
      <c r="S97" s="129">
        <v>25493.49</v>
      </c>
      <c r="T97" s="87"/>
      <c r="U97" s="129">
        <v>56</v>
      </c>
      <c r="V97" s="129">
        <v>6112.84</v>
      </c>
      <c r="W97" s="129">
        <v>17.899999999999999</v>
      </c>
      <c r="X97" s="129">
        <v>112</v>
      </c>
      <c r="Y97" s="129">
        <v>51780</v>
      </c>
      <c r="Z97" s="129">
        <v>155</v>
      </c>
      <c r="AA97" s="129">
        <v>1</v>
      </c>
      <c r="AB97"/>
      <c r="AC97" s="131">
        <f t="shared" si="1"/>
        <v>7343</v>
      </c>
      <c r="AD97"/>
    </row>
    <row r="98" spans="1:30">
      <c r="A98" s="82">
        <v>2019</v>
      </c>
      <c r="B98" s="83" t="s">
        <v>80</v>
      </c>
      <c r="C98" s="86"/>
      <c r="D98" s="129">
        <v>14861723.25</v>
      </c>
      <c r="E98" s="129">
        <v>152139.06</v>
      </c>
      <c r="F98" s="129">
        <v>4226400.349999995</v>
      </c>
      <c r="G98" s="129">
        <v>6604</v>
      </c>
      <c r="H98" s="129">
        <v>1803161.4900000009</v>
      </c>
      <c r="I98" s="129">
        <v>652</v>
      </c>
      <c r="J98" s="129">
        <v>3702294.6899999985</v>
      </c>
      <c r="K98" s="129">
        <v>10554.819999999998</v>
      </c>
      <c r="L98" s="129">
        <v>76</v>
      </c>
      <c r="M98" s="129">
        <v>2315287.04</v>
      </c>
      <c r="N98" s="129">
        <v>7718.45</v>
      </c>
      <c r="O98" s="129">
        <v>12</v>
      </c>
      <c r="P98" s="129">
        <v>2386074.7999999998</v>
      </c>
      <c r="Q98" s="129">
        <v>5118.68</v>
      </c>
      <c r="R98" s="129">
        <v>2</v>
      </c>
      <c r="S98" s="129">
        <v>30062.19</v>
      </c>
      <c r="T98" s="87"/>
      <c r="U98" s="129">
        <v>56</v>
      </c>
      <c r="V98" s="129">
        <v>6767.79</v>
      </c>
      <c r="W98" s="129">
        <v>19.420000000000005</v>
      </c>
      <c r="X98" s="129">
        <v>112</v>
      </c>
      <c r="Y98" s="129">
        <v>45872.5</v>
      </c>
      <c r="Z98" s="129">
        <v>118</v>
      </c>
      <c r="AA98" s="129">
        <v>1</v>
      </c>
      <c r="AB98"/>
      <c r="AC98" s="131">
        <f t="shared" si="1"/>
        <v>7347</v>
      </c>
      <c r="AD98"/>
    </row>
    <row r="99" spans="1:30">
      <c r="A99" s="82">
        <v>2019</v>
      </c>
      <c r="B99" s="83" t="s">
        <v>81</v>
      </c>
      <c r="C99" s="86"/>
      <c r="D99" s="129">
        <v>13124081.850000001</v>
      </c>
      <c r="E99" s="129">
        <v>151196.49</v>
      </c>
      <c r="F99" s="129">
        <v>3673267.4599999925</v>
      </c>
      <c r="G99" s="129">
        <v>6614</v>
      </c>
      <c r="H99" s="129">
        <v>1568546.8799999985</v>
      </c>
      <c r="I99" s="129">
        <v>652</v>
      </c>
      <c r="J99" s="129">
        <v>3297536.370000001</v>
      </c>
      <c r="K99" s="129">
        <v>10435.070000000002</v>
      </c>
      <c r="L99" s="129">
        <v>77</v>
      </c>
      <c r="M99" s="129">
        <v>2098894.3099999996</v>
      </c>
      <c r="N99" s="129">
        <v>6914.69</v>
      </c>
      <c r="O99" s="129">
        <v>12</v>
      </c>
      <c r="P99" s="129">
        <v>2189873.2000000002</v>
      </c>
      <c r="Q99" s="129">
        <v>5108.18</v>
      </c>
      <c r="R99" s="129">
        <v>2</v>
      </c>
      <c r="S99" s="129">
        <v>27866.39</v>
      </c>
      <c r="T99" s="87"/>
      <c r="U99" s="129">
        <v>56</v>
      </c>
      <c r="V99" s="129">
        <v>6549.4900000000007</v>
      </c>
      <c r="W99" s="129">
        <v>17.929999999999996</v>
      </c>
      <c r="X99" s="129">
        <v>112</v>
      </c>
      <c r="Y99" s="129">
        <v>39117</v>
      </c>
      <c r="Z99" s="129">
        <v>118</v>
      </c>
      <c r="AA99" s="129">
        <v>1</v>
      </c>
      <c r="AB99"/>
      <c r="AC99" s="131">
        <f t="shared" si="1"/>
        <v>7358</v>
      </c>
      <c r="AD99"/>
    </row>
    <row r="100" spans="1:30">
      <c r="A100" s="82">
        <v>2019</v>
      </c>
      <c r="B100" s="83" t="s">
        <v>52</v>
      </c>
      <c r="C100" s="86"/>
      <c r="D100" s="129">
        <v>13301422.26</v>
      </c>
      <c r="E100" s="129">
        <v>191845.86</v>
      </c>
      <c r="F100" s="129">
        <v>3577125.600000001</v>
      </c>
      <c r="G100" s="129">
        <v>6622</v>
      </c>
      <c r="H100" s="129">
        <v>1574248.0599999998</v>
      </c>
      <c r="I100" s="129">
        <v>652</v>
      </c>
      <c r="J100" s="129">
        <v>3458084.4299999983</v>
      </c>
      <c r="K100" s="129">
        <v>10843.6</v>
      </c>
      <c r="L100" s="129">
        <v>78</v>
      </c>
      <c r="M100" s="129">
        <v>2095932.86</v>
      </c>
      <c r="N100" s="129">
        <v>7625.23</v>
      </c>
      <c r="O100" s="129">
        <v>12</v>
      </c>
      <c r="P100" s="129">
        <v>2322234.7999999998</v>
      </c>
      <c r="Q100" s="129">
        <v>4998.4399999999996</v>
      </c>
      <c r="R100" s="129">
        <v>2</v>
      </c>
      <c r="S100" s="129">
        <v>29206.83</v>
      </c>
      <c r="T100" s="87"/>
      <c r="U100" s="129">
        <v>57</v>
      </c>
      <c r="V100" s="129">
        <v>6767.7900000000009</v>
      </c>
      <c r="W100" s="129">
        <v>18.259999999999998</v>
      </c>
      <c r="X100" s="129">
        <v>112</v>
      </c>
      <c r="Y100" s="129">
        <v>35813</v>
      </c>
      <c r="Z100" s="129">
        <v>118</v>
      </c>
      <c r="AA100" s="129">
        <v>1</v>
      </c>
      <c r="AB100"/>
      <c r="AC100" s="131">
        <f t="shared" si="1"/>
        <v>7367</v>
      </c>
      <c r="AD100"/>
    </row>
    <row r="101" spans="1:30">
      <c r="A101" s="82">
        <v>2019</v>
      </c>
      <c r="B101" s="83" t="s">
        <v>82</v>
      </c>
      <c r="C101" s="86"/>
      <c r="D101" s="129">
        <v>14098153.719999997</v>
      </c>
      <c r="E101" s="129">
        <v>205535.26000000004</v>
      </c>
      <c r="F101" s="129">
        <v>4256489.3299999954</v>
      </c>
      <c r="G101" s="129">
        <v>6635</v>
      </c>
      <c r="H101" s="129">
        <v>1709348.8599999985</v>
      </c>
      <c r="I101" s="129">
        <v>654</v>
      </c>
      <c r="J101" s="129">
        <v>3517761.8600000013</v>
      </c>
      <c r="K101" s="129">
        <v>11261.859999999999</v>
      </c>
      <c r="L101" s="129">
        <v>78</v>
      </c>
      <c r="M101" s="129">
        <v>2284125.21</v>
      </c>
      <c r="N101" s="129">
        <v>7682.99</v>
      </c>
      <c r="O101" s="129">
        <v>12</v>
      </c>
      <c r="P101" s="129">
        <v>2160682.7999999998</v>
      </c>
      <c r="Q101" s="129">
        <v>4960.03</v>
      </c>
      <c r="R101" s="129">
        <v>2</v>
      </c>
      <c r="S101" s="129">
        <v>27364.539999999997</v>
      </c>
      <c r="T101" s="87"/>
      <c r="U101" s="129">
        <v>57</v>
      </c>
      <c r="V101" s="129">
        <v>6549.4699999999984</v>
      </c>
      <c r="W101" s="129">
        <v>18.23</v>
      </c>
      <c r="X101" s="129">
        <v>112</v>
      </c>
      <c r="Y101" s="129">
        <v>31948.5</v>
      </c>
      <c r="Z101" s="129">
        <v>118</v>
      </c>
      <c r="AA101" s="129">
        <v>1</v>
      </c>
      <c r="AB101"/>
      <c r="AC101" s="131">
        <f t="shared" si="1"/>
        <v>7382</v>
      </c>
      <c r="AD101"/>
    </row>
    <row r="102" spans="1:30">
      <c r="A102" s="82">
        <v>2019</v>
      </c>
      <c r="B102" s="83" t="s">
        <v>83</v>
      </c>
      <c r="C102" s="86"/>
      <c r="D102" s="129">
        <v>17237421.399999999</v>
      </c>
      <c r="E102" s="129">
        <v>234680.17</v>
      </c>
      <c r="F102" s="129">
        <v>5731579.9999999059</v>
      </c>
      <c r="G102" s="129">
        <v>6636</v>
      </c>
      <c r="H102" s="129">
        <v>2107462.6200000024</v>
      </c>
      <c r="I102" s="129">
        <v>653</v>
      </c>
      <c r="J102" s="129">
        <v>3781755.5999999996</v>
      </c>
      <c r="K102" s="129">
        <v>11483.69</v>
      </c>
      <c r="L102" s="129">
        <v>79</v>
      </c>
      <c r="M102" s="129">
        <v>2714461.33</v>
      </c>
      <c r="N102" s="129">
        <v>8087.6500000000005</v>
      </c>
      <c r="O102" s="129">
        <v>12</v>
      </c>
      <c r="P102" s="129">
        <v>2180466.4</v>
      </c>
      <c r="Q102" s="129">
        <v>4946.49</v>
      </c>
      <c r="R102" s="129">
        <v>2</v>
      </c>
      <c r="S102" s="129">
        <v>29565.280000000002</v>
      </c>
      <c r="T102" s="87"/>
      <c r="U102" s="129">
        <v>57</v>
      </c>
      <c r="V102" s="129">
        <v>6767.8100000000013</v>
      </c>
      <c r="W102" s="129">
        <v>18.29</v>
      </c>
      <c r="X102" s="129">
        <v>112</v>
      </c>
      <c r="Y102" s="129">
        <v>33807</v>
      </c>
      <c r="Z102" s="129">
        <v>118</v>
      </c>
      <c r="AA102" s="129">
        <v>1</v>
      </c>
      <c r="AB102"/>
      <c r="AC102" s="131">
        <f t="shared" si="1"/>
        <v>7383</v>
      </c>
      <c r="AD102"/>
    </row>
    <row r="103" spans="1:30">
      <c r="A103" s="82">
        <v>2019</v>
      </c>
      <c r="B103" s="83" t="s">
        <v>84</v>
      </c>
      <c r="C103" s="86"/>
      <c r="D103" s="129">
        <v>16150313.539999997</v>
      </c>
      <c r="E103" s="129">
        <v>220608.79000000004</v>
      </c>
      <c r="F103" s="129">
        <v>5134277.1500000544</v>
      </c>
      <c r="G103" s="129">
        <v>6656</v>
      </c>
      <c r="H103" s="129">
        <v>1940825.1699999997</v>
      </c>
      <c r="I103" s="129">
        <v>659</v>
      </c>
      <c r="J103" s="129">
        <v>3684849.1599999997</v>
      </c>
      <c r="K103" s="129">
        <v>11265.220000000001</v>
      </c>
      <c r="L103" s="129">
        <v>79</v>
      </c>
      <c r="M103" s="129">
        <v>2731035.81</v>
      </c>
      <c r="N103" s="129">
        <v>8158.1399999999994</v>
      </c>
      <c r="O103" s="129">
        <v>12</v>
      </c>
      <c r="P103" s="129">
        <v>2259014.4</v>
      </c>
      <c r="Q103" s="129">
        <v>4872.62</v>
      </c>
      <c r="R103" s="129">
        <v>2</v>
      </c>
      <c r="S103" s="129">
        <v>28588.27</v>
      </c>
      <c r="T103" s="87"/>
      <c r="U103" s="129">
        <v>57</v>
      </c>
      <c r="V103" s="129">
        <v>6767.79</v>
      </c>
      <c r="W103" s="129">
        <v>18.11</v>
      </c>
      <c r="X103" s="129">
        <v>112</v>
      </c>
      <c r="Y103" s="129">
        <v>38261.5</v>
      </c>
      <c r="Z103" s="129">
        <v>118</v>
      </c>
      <c r="AA103" s="129">
        <v>1</v>
      </c>
      <c r="AB103"/>
      <c r="AC103" s="131">
        <f t="shared" si="1"/>
        <v>7409</v>
      </c>
      <c r="AD103"/>
    </row>
    <row r="104" spans="1:30">
      <c r="A104" s="82">
        <v>2019</v>
      </c>
      <c r="B104" s="83" t="s">
        <v>85</v>
      </c>
      <c r="C104" s="86"/>
      <c r="D104" s="129">
        <v>14159844.92</v>
      </c>
      <c r="E104" s="129">
        <v>176014.12</v>
      </c>
      <c r="F104" s="129">
        <v>4023295.290000021</v>
      </c>
      <c r="G104" s="129">
        <v>6695</v>
      </c>
      <c r="H104" s="129">
        <v>1659163.3299999994</v>
      </c>
      <c r="I104" s="129">
        <v>658</v>
      </c>
      <c r="J104" s="129">
        <v>3489880.89</v>
      </c>
      <c r="K104" s="129">
        <v>11062.81</v>
      </c>
      <c r="L104" s="129">
        <v>79</v>
      </c>
      <c r="M104" s="129">
        <v>2483347</v>
      </c>
      <c r="N104" s="129">
        <v>8017.24</v>
      </c>
      <c r="O104" s="129">
        <v>11</v>
      </c>
      <c r="P104" s="129">
        <v>2256083.5999999996</v>
      </c>
      <c r="Q104" s="129">
        <v>4880.83</v>
      </c>
      <c r="R104" s="129">
        <v>2</v>
      </c>
      <c r="S104" s="129">
        <v>27434.37</v>
      </c>
      <c r="T104" s="87"/>
      <c r="U104" s="129">
        <v>57</v>
      </c>
      <c r="V104" s="129">
        <v>6549.4900000000007</v>
      </c>
      <c r="W104" s="129">
        <v>17.920000000000002</v>
      </c>
      <c r="X104" s="129">
        <v>112</v>
      </c>
      <c r="Y104" s="129">
        <v>41447.5</v>
      </c>
      <c r="Z104" s="129">
        <v>118</v>
      </c>
      <c r="AA104" s="129">
        <v>1</v>
      </c>
      <c r="AB104"/>
      <c r="AC104" s="131">
        <f t="shared" si="1"/>
        <v>7446</v>
      </c>
      <c r="AD104"/>
    </row>
    <row r="105" spans="1:30">
      <c r="A105" s="82">
        <v>2019</v>
      </c>
      <c r="B105" s="83" t="s">
        <v>86</v>
      </c>
      <c r="C105" s="86"/>
      <c r="D105" s="129">
        <v>13763436.57</v>
      </c>
      <c r="E105" s="129">
        <v>131016.67999999998</v>
      </c>
      <c r="F105" s="129">
        <v>3721603.9999999939</v>
      </c>
      <c r="G105" s="129">
        <v>6705</v>
      </c>
      <c r="H105" s="129">
        <v>1595161.2600000005</v>
      </c>
      <c r="I105" s="129">
        <v>658</v>
      </c>
      <c r="J105" s="129">
        <v>3466963.5599999987</v>
      </c>
      <c r="K105" s="129">
        <v>10886.89</v>
      </c>
      <c r="L105" s="129">
        <v>79</v>
      </c>
      <c r="M105" s="129">
        <v>2344092.41</v>
      </c>
      <c r="N105" s="129">
        <v>7930.24</v>
      </c>
      <c r="O105" s="129">
        <v>11</v>
      </c>
      <c r="P105" s="129">
        <v>2306013.6</v>
      </c>
      <c r="Q105" s="129">
        <v>4858.3099999999995</v>
      </c>
      <c r="R105" s="129">
        <v>2</v>
      </c>
      <c r="S105" s="129">
        <v>28956.639999999999</v>
      </c>
      <c r="T105" s="87"/>
      <c r="U105" s="129">
        <v>57</v>
      </c>
      <c r="V105" s="129">
        <v>6767.7899999999991</v>
      </c>
      <c r="W105" s="129">
        <v>17.489999999999998</v>
      </c>
      <c r="X105" s="129">
        <v>112</v>
      </c>
      <c r="Y105" s="129">
        <v>48291.5</v>
      </c>
      <c r="Z105" s="129">
        <v>118</v>
      </c>
      <c r="AA105" s="129">
        <v>1</v>
      </c>
      <c r="AB105"/>
      <c r="AC105" s="131">
        <f t="shared" si="1"/>
        <v>7456</v>
      </c>
      <c r="AD105"/>
    </row>
    <row r="106" spans="1:30">
      <c r="A106" s="82">
        <v>2019</v>
      </c>
      <c r="B106" s="83" t="s">
        <v>87</v>
      </c>
      <c r="C106" s="86"/>
      <c r="D106" s="129">
        <v>14270971.950000003</v>
      </c>
      <c r="E106" s="129">
        <v>54537.3</v>
      </c>
      <c r="F106" s="129">
        <v>4122745.410000002</v>
      </c>
      <c r="G106" s="129">
        <v>6728</v>
      </c>
      <c r="H106" s="129">
        <v>1741520.7100000032</v>
      </c>
      <c r="I106" s="129">
        <v>657</v>
      </c>
      <c r="J106" s="129">
        <v>3536598.7000000011</v>
      </c>
      <c r="K106" s="129">
        <v>10611.130000000003</v>
      </c>
      <c r="L106" s="129">
        <v>80</v>
      </c>
      <c r="M106" s="129">
        <v>2317821.65</v>
      </c>
      <c r="N106" s="129">
        <v>7028.7199999999993</v>
      </c>
      <c r="O106" s="129">
        <v>11</v>
      </c>
      <c r="P106" s="129">
        <v>2120202.4000000004</v>
      </c>
      <c r="Q106" s="129">
        <v>4934.84</v>
      </c>
      <c r="R106" s="129">
        <v>2</v>
      </c>
      <c r="S106" s="129">
        <v>26864.18</v>
      </c>
      <c r="T106" s="87"/>
      <c r="U106" s="129">
        <v>57</v>
      </c>
      <c r="V106" s="129">
        <v>6549.49</v>
      </c>
      <c r="W106" s="129">
        <v>16.920000000000002</v>
      </c>
      <c r="X106" s="129">
        <v>112</v>
      </c>
      <c r="Y106" s="129">
        <v>51182.5</v>
      </c>
      <c r="Z106" s="129">
        <v>118</v>
      </c>
      <c r="AA106" s="129">
        <v>1</v>
      </c>
      <c r="AB106"/>
      <c r="AC106" s="131">
        <f t="shared" si="1"/>
        <v>7479</v>
      </c>
      <c r="AD106"/>
    </row>
    <row r="107" spans="1:30">
      <c r="A107" s="82">
        <v>2019</v>
      </c>
      <c r="B107" s="83" t="s">
        <v>88</v>
      </c>
      <c r="C107" s="86"/>
      <c r="D107" s="129">
        <v>14104425.360000001</v>
      </c>
      <c r="E107" s="129">
        <v>40652.15</v>
      </c>
      <c r="F107" s="129">
        <v>4549509.4199999897</v>
      </c>
      <c r="G107" s="129">
        <v>6737</v>
      </c>
      <c r="H107" s="129">
        <v>1803713.8599999978</v>
      </c>
      <c r="I107" s="129">
        <v>659</v>
      </c>
      <c r="J107" s="129">
        <v>3421229.5200000019</v>
      </c>
      <c r="K107" s="129">
        <v>10862.5</v>
      </c>
      <c r="L107" s="129">
        <v>80</v>
      </c>
      <c r="M107" s="129">
        <v>1987207.22</v>
      </c>
      <c r="N107" s="129">
        <v>6845.369999999999</v>
      </c>
      <c r="O107" s="129">
        <v>10</v>
      </c>
      <c r="P107" s="129">
        <v>1764671.2000000002</v>
      </c>
      <c r="Q107" s="129">
        <v>5011.09</v>
      </c>
      <c r="R107" s="129">
        <v>2</v>
      </c>
      <c r="S107" s="129">
        <v>29363.829999999998</v>
      </c>
      <c r="T107" s="87"/>
      <c r="U107" s="129">
        <v>57</v>
      </c>
      <c r="V107" s="129">
        <v>6767.8</v>
      </c>
      <c r="W107" s="129">
        <v>17.949999999999996</v>
      </c>
      <c r="X107" s="129">
        <v>112</v>
      </c>
      <c r="Y107" s="129">
        <v>55696</v>
      </c>
      <c r="Z107" s="129">
        <v>118</v>
      </c>
      <c r="AA107" s="129">
        <v>1</v>
      </c>
      <c r="AB107"/>
      <c r="AC107" s="131">
        <f t="shared" si="1"/>
        <v>7489</v>
      </c>
      <c r="AD107"/>
    </row>
    <row r="108" spans="1:30">
      <c r="A108" s="82">
        <v>2020</v>
      </c>
      <c r="B108" s="83" t="s">
        <v>78</v>
      </c>
      <c r="C108" s="86"/>
      <c r="D108" s="128">
        <v>15014091.720000003</v>
      </c>
      <c r="E108" s="128">
        <v>35136.76</v>
      </c>
      <c r="F108" s="128">
        <v>4521242.9700000128</v>
      </c>
      <c r="G108" s="128">
        <v>6751</v>
      </c>
      <c r="H108" s="128">
        <v>1897918.2300000023</v>
      </c>
      <c r="I108" s="128">
        <v>668</v>
      </c>
      <c r="J108" s="128">
        <v>3791013.1299999994</v>
      </c>
      <c r="K108" s="128">
        <v>11756.03</v>
      </c>
      <c r="L108" s="128">
        <v>78</v>
      </c>
      <c r="M108" s="128">
        <v>2188578.2599999998</v>
      </c>
      <c r="N108" s="128">
        <v>6396.95</v>
      </c>
      <c r="O108" s="128">
        <v>8</v>
      </c>
      <c r="P108" s="128">
        <v>2120934.7999999998</v>
      </c>
      <c r="Q108" s="128">
        <v>5067.17</v>
      </c>
      <c r="R108" s="128">
        <v>2</v>
      </c>
      <c r="S108" s="128">
        <v>28118.290000000005</v>
      </c>
      <c r="T108" s="85"/>
      <c r="U108" s="128">
        <v>57</v>
      </c>
      <c r="V108" s="128">
        <v>6767.7999999999984</v>
      </c>
      <c r="W108" s="128">
        <v>18.249999999999996</v>
      </c>
      <c r="X108" s="128">
        <v>112</v>
      </c>
      <c r="Y108" s="128">
        <v>54870</v>
      </c>
      <c r="Z108" s="128">
        <v>118</v>
      </c>
      <c r="AA108" s="128">
        <v>1</v>
      </c>
      <c r="AB108"/>
      <c r="AC108" s="131">
        <f t="shared" si="1"/>
        <v>7508</v>
      </c>
      <c r="AD108"/>
    </row>
    <row r="109" spans="1:30">
      <c r="A109" s="82">
        <v>2020</v>
      </c>
      <c r="B109" s="83" t="s">
        <v>79</v>
      </c>
      <c r="C109" s="86"/>
      <c r="D109" s="129">
        <v>14192237.660000002</v>
      </c>
      <c r="E109" s="129">
        <v>77809.59</v>
      </c>
      <c r="F109" s="129">
        <v>4156130.0599999917</v>
      </c>
      <c r="G109" s="129">
        <v>6765</v>
      </c>
      <c r="H109" s="129">
        <v>1745936.7100000021</v>
      </c>
      <c r="I109" s="129">
        <v>665</v>
      </c>
      <c r="J109" s="129">
        <v>3719560.43</v>
      </c>
      <c r="K109" s="129">
        <v>11311.78</v>
      </c>
      <c r="L109" s="129">
        <v>81</v>
      </c>
      <c r="M109" s="129">
        <v>1944399.8399999999</v>
      </c>
      <c r="N109" s="129">
        <v>6462.57</v>
      </c>
      <c r="O109" s="129">
        <v>8</v>
      </c>
      <c r="P109" s="129">
        <v>2140137.2000000002</v>
      </c>
      <c r="Q109" s="129">
        <v>4976.3900000000003</v>
      </c>
      <c r="R109" s="129">
        <v>2</v>
      </c>
      <c r="S109" s="129">
        <v>26756.62</v>
      </c>
      <c r="T109" s="87"/>
      <c r="U109" s="129">
        <v>57</v>
      </c>
      <c r="V109" s="129">
        <v>5943.26</v>
      </c>
      <c r="W109" s="129">
        <v>17.099999999999998</v>
      </c>
      <c r="X109" s="129">
        <v>112</v>
      </c>
      <c r="Y109" s="129">
        <v>51330</v>
      </c>
      <c r="Z109" s="129">
        <v>118</v>
      </c>
      <c r="AA109" s="129">
        <v>1</v>
      </c>
      <c r="AB109"/>
      <c r="AC109" s="131">
        <f t="shared" si="1"/>
        <v>7522</v>
      </c>
      <c r="AD109"/>
    </row>
    <row r="110" spans="1:30">
      <c r="A110" s="82">
        <v>2020</v>
      </c>
      <c r="B110" s="83" t="s">
        <v>80</v>
      </c>
      <c r="C110" s="86"/>
      <c r="D110" s="129">
        <v>13448796.610000001</v>
      </c>
      <c r="E110" s="129">
        <v>139741.92000000001</v>
      </c>
      <c r="F110" s="129">
        <v>4228883.5300000031</v>
      </c>
      <c r="G110" s="129">
        <v>6777</v>
      </c>
      <c r="H110" s="129">
        <v>1627101.8799999983</v>
      </c>
      <c r="I110" s="129">
        <v>665</v>
      </c>
      <c r="J110" s="129">
        <v>3707727.22</v>
      </c>
      <c r="K110" s="129">
        <v>11310.290000000003</v>
      </c>
      <c r="L110" s="129">
        <v>81</v>
      </c>
      <c r="M110" s="129">
        <v>1923199.44</v>
      </c>
      <c r="N110" s="129">
        <v>6140.34</v>
      </c>
      <c r="O110" s="129">
        <v>8</v>
      </c>
      <c r="P110" s="129">
        <v>1658605.6</v>
      </c>
      <c r="Q110" s="129">
        <v>5032.83</v>
      </c>
      <c r="R110" s="129">
        <v>2</v>
      </c>
      <c r="S110" s="129">
        <v>30173.8</v>
      </c>
      <c r="T110" s="87"/>
      <c r="U110" s="129">
        <v>57</v>
      </c>
      <c r="V110" s="129">
        <v>6339.0199999999995</v>
      </c>
      <c r="W110" s="129">
        <v>17.440000000000001</v>
      </c>
      <c r="X110" s="129">
        <v>113</v>
      </c>
      <c r="Y110" s="129">
        <v>45872.5</v>
      </c>
      <c r="Z110" s="129">
        <v>118</v>
      </c>
      <c r="AA110" s="129">
        <v>1</v>
      </c>
      <c r="AB110"/>
      <c r="AC110" s="131">
        <f t="shared" si="1"/>
        <v>7534</v>
      </c>
      <c r="AD110"/>
    </row>
    <row r="111" spans="1:30">
      <c r="A111" s="82">
        <v>2020</v>
      </c>
      <c r="B111" s="83" t="s">
        <v>81</v>
      </c>
      <c r="C111" s="86"/>
      <c r="D111" s="129">
        <v>10036078.820000004</v>
      </c>
      <c r="E111" s="129">
        <v>191301.65</v>
      </c>
      <c r="F111" s="129">
        <v>3930744.6700000158</v>
      </c>
      <c r="G111" s="129">
        <v>6791</v>
      </c>
      <c r="H111" s="129">
        <v>1319716.1900000013</v>
      </c>
      <c r="I111" s="129">
        <v>664</v>
      </c>
      <c r="J111" s="129">
        <v>2915063.5699999994</v>
      </c>
      <c r="K111" s="129">
        <v>9361.75</v>
      </c>
      <c r="L111" s="129">
        <v>81</v>
      </c>
      <c r="M111" s="129">
        <v>1259837.4099999999</v>
      </c>
      <c r="N111" s="129">
        <v>4535.75</v>
      </c>
      <c r="O111" s="129">
        <v>8</v>
      </c>
      <c r="P111" s="129">
        <v>324565.59999999998</v>
      </c>
      <c r="Q111" s="129">
        <v>1393.71</v>
      </c>
      <c r="R111" s="129">
        <v>2</v>
      </c>
      <c r="S111" s="129">
        <v>27756.959999999995</v>
      </c>
      <c r="T111" s="87"/>
      <c r="U111" s="129">
        <v>57</v>
      </c>
      <c r="V111" s="129">
        <v>6104.5200000000013</v>
      </c>
      <c r="W111" s="129">
        <v>16.770000000000003</v>
      </c>
      <c r="X111" s="129">
        <v>112</v>
      </c>
      <c r="Y111" s="129">
        <v>39117</v>
      </c>
      <c r="Z111" s="129">
        <v>118</v>
      </c>
      <c r="AA111" s="129">
        <v>1</v>
      </c>
      <c r="AB111"/>
      <c r="AC111" s="131">
        <f t="shared" si="1"/>
        <v>7547</v>
      </c>
      <c r="AD111"/>
    </row>
    <row r="112" spans="1:30">
      <c r="A112" s="82">
        <v>2020</v>
      </c>
      <c r="B112" s="83" t="s">
        <v>52</v>
      </c>
      <c r="C112" s="86"/>
      <c r="D112" s="129">
        <v>11027735.910000004</v>
      </c>
      <c r="E112" s="129">
        <v>221551.47</v>
      </c>
      <c r="F112" s="129">
        <v>4231502.6499999808</v>
      </c>
      <c r="G112" s="129">
        <v>6798</v>
      </c>
      <c r="H112" s="129">
        <v>1396766.9499999988</v>
      </c>
      <c r="I112" s="129">
        <v>662</v>
      </c>
      <c r="J112" s="129">
        <v>3045613.6199999992</v>
      </c>
      <c r="K112" s="129">
        <v>11108.91</v>
      </c>
      <c r="L112" s="129">
        <v>79</v>
      </c>
      <c r="M112" s="129">
        <v>1461837.6500000001</v>
      </c>
      <c r="N112" s="129">
        <v>6677.64</v>
      </c>
      <c r="O112" s="129">
        <v>8</v>
      </c>
      <c r="P112" s="129">
        <v>640198.39999999991</v>
      </c>
      <c r="Q112" s="129">
        <v>3553.6</v>
      </c>
      <c r="R112" s="129">
        <v>2</v>
      </c>
      <c r="S112" s="129">
        <v>27685.360000000004</v>
      </c>
      <c r="T112" s="87"/>
      <c r="U112" s="129">
        <v>57</v>
      </c>
      <c r="V112" s="129">
        <v>6308</v>
      </c>
      <c r="W112" s="129">
        <v>17.220000000000002</v>
      </c>
      <c r="X112" s="129">
        <v>112</v>
      </c>
      <c r="Y112" s="129">
        <v>35813</v>
      </c>
      <c r="Z112" s="129">
        <v>118</v>
      </c>
      <c r="AA112" s="129">
        <v>1</v>
      </c>
      <c r="AB112"/>
      <c r="AC112" s="131">
        <f t="shared" si="1"/>
        <v>7550</v>
      </c>
      <c r="AD112"/>
    </row>
    <row r="113" spans="1:30">
      <c r="A113" s="82">
        <v>2020</v>
      </c>
      <c r="B113" s="83" t="s">
        <v>82</v>
      </c>
      <c r="C113" s="86"/>
      <c r="D113" s="129">
        <v>15117286.629999997</v>
      </c>
      <c r="E113" s="129">
        <v>271293.49</v>
      </c>
      <c r="F113" s="129">
        <v>5438662.8000000017</v>
      </c>
      <c r="G113" s="129">
        <v>6808</v>
      </c>
      <c r="H113" s="129">
        <v>1724143.2800000019</v>
      </c>
      <c r="I113" s="129">
        <v>659</v>
      </c>
      <c r="J113" s="129">
        <v>3718390.3099999991</v>
      </c>
      <c r="K113" s="129">
        <v>11753.979999999998</v>
      </c>
      <c r="L113" s="129">
        <v>79</v>
      </c>
      <c r="M113" s="129">
        <v>2296515.9500000002</v>
      </c>
      <c r="N113" s="129">
        <v>7202.73</v>
      </c>
      <c r="O113" s="129">
        <v>8</v>
      </c>
      <c r="P113" s="129">
        <v>1919987.6</v>
      </c>
      <c r="Q113" s="129">
        <v>5003.2</v>
      </c>
      <c r="R113" s="129">
        <v>2</v>
      </c>
      <c r="S113" s="129">
        <v>29217.899999999998</v>
      </c>
      <c r="T113" s="87"/>
      <c r="U113" s="129">
        <v>57</v>
      </c>
      <c r="V113" s="129">
        <v>6104.5300000000007</v>
      </c>
      <c r="W113" s="129">
        <v>16.750000000000004</v>
      </c>
      <c r="X113" s="129">
        <v>112</v>
      </c>
      <c r="Y113" s="129">
        <v>31948.5</v>
      </c>
      <c r="Z113" s="129">
        <v>118</v>
      </c>
      <c r="AA113" s="129">
        <v>1</v>
      </c>
      <c r="AB113"/>
      <c r="AC113" s="131">
        <f t="shared" si="1"/>
        <v>7557</v>
      </c>
      <c r="AD113"/>
    </row>
    <row r="114" spans="1:30">
      <c r="A114" s="82">
        <v>2020</v>
      </c>
      <c r="B114" s="83" t="s">
        <v>83</v>
      </c>
      <c r="C114" s="86"/>
      <c r="D114" s="129">
        <v>18014751.010000002</v>
      </c>
      <c r="E114" s="129">
        <v>250058.56000000003</v>
      </c>
      <c r="F114" s="129">
        <v>6440146.9700000193</v>
      </c>
      <c r="G114" s="129">
        <v>6814</v>
      </c>
      <c r="H114" s="129">
        <v>2104456.4899999988</v>
      </c>
      <c r="I114" s="129">
        <v>662</v>
      </c>
      <c r="J114" s="129">
        <v>4139273.72</v>
      </c>
      <c r="K114" s="129">
        <v>12262.140000000001</v>
      </c>
      <c r="L114" s="129">
        <v>79</v>
      </c>
      <c r="M114" s="129">
        <v>2352157.0700000003</v>
      </c>
      <c r="N114" s="129">
        <v>7090.12</v>
      </c>
      <c r="O114" s="129">
        <v>8</v>
      </c>
      <c r="P114" s="129">
        <v>2001990.8</v>
      </c>
      <c r="Q114" s="129">
        <v>4728</v>
      </c>
      <c r="R114" s="129">
        <v>2</v>
      </c>
      <c r="S114" s="129">
        <v>29083.68</v>
      </c>
      <c r="T114" s="87"/>
      <c r="U114" s="129">
        <v>57</v>
      </c>
      <c r="V114" s="129">
        <v>6308.0099999999984</v>
      </c>
      <c r="W114" s="129">
        <v>16.790000000000003</v>
      </c>
      <c r="X114" s="129">
        <v>112</v>
      </c>
      <c r="Y114" s="129">
        <v>33807</v>
      </c>
      <c r="Z114" s="129">
        <v>118</v>
      </c>
      <c r="AA114" s="129">
        <v>1</v>
      </c>
      <c r="AB114"/>
      <c r="AC114" s="131">
        <f t="shared" si="1"/>
        <v>7566</v>
      </c>
      <c r="AD114"/>
    </row>
    <row r="115" spans="1:30">
      <c r="A115" s="82">
        <v>2020</v>
      </c>
      <c r="B115" s="83" t="s">
        <v>84</v>
      </c>
      <c r="C115" s="86"/>
      <c r="D115" s="129">
        <v>16733868.93</v>
      </c>
      <c r="E115" s="129">
        <v>221686.43</v>
      </c>
      <c r="F115" s="129">
        <v>5616290.9599999972</v>
      </c>
      <c r="G115" s="129">
        <v>6823</v>
      </c>
      <c r="H115" s="129">
        <v>2040106.2099999997</v>
      </c>
      <c r="I115" s="129">
        <v>666</v>
      </c>
      <c r="J115" s="129">
        <v>3858952.28</v>
      </c>
      <c r="K115" s="129">
        <v>12204.59</v>
      </c>
      <c r="L115" s="129">
        <v>81</v>
      </c>
      <c r="M115" s="129">
        <v>2537082.46</v>
      </c>
      <c r="N115" s="129">
        <v>7169.26</v>
      </c>
      <c r="O115" s="129">
        <v>8</v>
      </c>
      <c r="P115" s="129">
        <v>2057922.4</v>
      </c>
      <c r="Q115" s="129">
        <v>4696</v>
      </c>
      <c r="R115" s="129">
        <v>2</v>
      </c>
      <c r="S115" s="129">
        <v>29268.629999999997</v>
      </c>
      <c r="T115" s="87"/>
      <c r="U115" s="129">
        <v>55</v>
      </c>
      <c r="V115" s="129">
        <v>6307.989999999998</v>
      </c>
      <c r="W115" s="129">
        <v>16.850000000000001</v>
      </c>
      <c r="X115" s="129">
        <v>112</v>
      </c>
      <c r="Y115" s="129">
        <v>38261.5</v>
      </c>
      <c r="Z115" s="129">
        <v>118</v>
      </c>
      <c r="AA115" s="129">
        <v>1</v>
      </c>
      <c r="AB115"/>
      <c r="AC115" s="131">
        <f t="shared" si="1"/>
        <v>7581</v>
      </c>
      <c r="AD115"/>
    </row>
    <row r="116" spans="1:30">
      <c r="A116" s="82">
        <v>2020</v>
      </c>
      <c r="B116" s="83" t="s">
        <v>85</v>
      </c>
      <c r="C116" s="86"/>
      <c r="D116" s="129">
        <v>14451425.119999997</v>
      </c>
      <c r="E116" s="129">
        <v>189577.9</v>
      </c>
      <c r="F116" s="129">
        <v>4220628.0700000096</v>
      </c>
      <c r="G116" s="129">
        <v>6833</v>
      </c>
      <c r="H116" s="129">
        <v>1821384.6300000015</v>
      </c>
      <c r="I116" s="129">
        <v>669</v>
      </c>
      <c r="J116" s="129">
        <v>3694123.709999999</v>
      </c>
      <c r="K116" s="129">
        <v>12077.930000000002</v>
      </c>
      <c r="L116" s="129">
        <v>83</v>
      </c>
      <c r="M116" s="129">
        <v>2430466.73</v>
      </c>
      <c r="N116" s="129">
        <v>6801.42</v>
      </c>
      <c r="O116" s="129">
        <v>8</v>
      </c>
      <c r="P116" s="129">
        <v>2083487.6</v>
      </c>
      <c r="Q116" s="129">
        <v>4710.3999999999996</v>
      </c>
      <c r="R116" s="129">
        <v>2</v>
      </c>
      <c r="S116" s="129">
        <v>26115.180000000004</v>
      </c>
      <c r="T116" s="87"/>
      <c r="U116" s="129">
        <v>57</v>
      </c>
      <c r="V116" s="129">
        <v>6104.5199999999995</v>
      </c>
      <c r="W116" s="129">
        <v>16.509999999999998</v>
      </c>
      <c r="X116" s="129">
        <v>112</v>
      </c>
      <c r="Y116" s="129">
        <v>41447.5</v>
      </c>
      <c r="Z116" s="129">
        <v>118</v>
      </c>
      <c r="AA116" s="129">
        <v>1</v>
      </c>
      <c r="AB116"/>
      <c r="AC116" s="131">
        <f t="shared" si="1"/>
        <v>7596</v>
      </c>
      <c r="AD116"/>
    </row>
    <row r="117" spans="1:30">
      <c r="A117" s="82">
        <v>2020</v>
      </c>
      <c r="B117" s="83" t="s">
        <v>86</v>
      </c>
      <c r="C117" s="86"/>
      <c r="D117" s="129">
        <v>14304932.470000003</v>
      </c>
      <c r="E117" s="129">
        <v>116353.45999999999</v>
      </c>
      <c r="F117" s="129">
        <v>3920551.8400000073</v>
      </c>
      <c r="G117" s="129">
        <v>6888</v>
      </c>
      <c r="H117" s="129">
        <v>1766128.3400000003</v>
      </c>
      <c r="I117" s="129">
        <v>668</v>
      </c>
      <c r="J117" s="129">
        <v>3736184.0899999989</v>
      </c>
      <c r="K117" s="129">
        <v>11585.52</v>
      </c>
      <c r="L117" s="129">
        <v>83</v>
      </c>
      <c r="M117" s="129">
        <v>2412910.5099999998</v>
      </c>
      <c r="N117" s="129">
        <v>6379.36</v>
      </c>
      <c r="O117" s="129">
        <v>8</v>
      </c>
      <c r="P117" s="129">
        <v>2047636.7999999998</v>
      </c>
      <c r="Q117" s="129">
        <v>4592</v>
      </c>
      <c r="R117" s="129">
        <v>2</v>
      </c>
      <c r="S117" s="129">
        <v>29137.960000000003</v>
      </c>
      <c r="T117" s="87"/>
      <c r="U117" s="129">
        <v>57</v>
      </c>
      <c r="V117" s="129">
        <v>6308.01</v>
      </c>
      <c r="W117" s="129">
        <v>16.850000000000001</v>
      </c>
      <c r="X117" s="129">
        <v>112</v>
      </c>
      <c r="Y117" s="129">
        <v>48291.5</v>
      </c>
      <c r="Z117" s="129">
        <v>118</v>
      </c>
      <c r="AA117" s="129">
        <v>1</v>
      </c>
      <c r="AB117"/>
      <c r="AC117" s="131">
        <f t="shared" si="1"/>
        <v>7650</v>
      </c>
      <c r="AD117"/>
    </row>
    <row r="118" spans="1:30">
      <c r="A118" s="82">
        <v>2020</v>
      </c>
      <c r="B118" s="83" t="s">
        <v>87</v>
      </c>
      <c r="C118" s="86"/>
      <c r="D118" s="129">
        <v>14279909.410000002</v>
      </c>
      <c r="E118" s="129">
        <v>82903.28</v>
      </c>
      <c r="F118" s="129">
        <v>4096179.2099999897</v>
      </c>
      <c r="G118" s="129">
        <v>6904</v>
      </c>
      <c r="H118" s="129">
        <v>1884222.6999999969</v>
      </c>
      <c r="I118" s="129">
        <v>666</v>
      </c>
      <c r="J118" s="129">
        <v>3658168.8000000012</v>
      </c>
      <c r="K118" s="129">
        <v>11587.069999999994</v>
      </c>
      <c r="L118" s="129">
        <v>84</v>
      </c>
      <c r="M118" s="129">
        <v>2267174.08</v>
      </c>
      <c r="N118" s="129">
        <v>5959.7300000000005</v>
      </c>
      <c r="O118" s="129">
        <v>8</v>
      </c>
      <c r="P118" s="129">
        <v>2051952.7999999998</v>
      </c>
      <c r="Q118" s="129">
        <v>4713.6000000000004</v>
      </c>
      <c r="R118" s="129">
        <v>2</v>
      </c>
      <c r="S118" s="129">
        <v>27433.759999999998</v>
      </c>
      <c r="T118" s="87"/>
      <c r="U118" s="129">
        <v>57</v>
      </c>
      <c r="V118" s="129">
        <v>6104.5199999999995</v>
      </c>
      <c r="W118" s="129">
        <v>16.489999999999998</v>
      </c>
      <c r="X118" s="129">
        <v>112</v>
      </c>
      <c r="Y118" s="129">
        <v>51182.5</v>
      </c>
      <c r="Z118" s="129">
        <v>118</v>
      </c>
      <c r="AA118" s="129">
        <v>1</v>
      </c>
      <c r="AB118"/>
      <c r="AC118" s="131">
        <f t="shared" si="1"/>
        <v>7665</v>
      </c>
      <c r="AD118"/>
    </row>
    <row r="119" spans="1:30">
      <c r="A119" s="82">
        <v>2020</v>
      </c>
      <c r="B119" s="83" t="s">
        <v>88</v>
      </c>
      <c r="C119" s="86"/>
      <c r="D119" s="129">
        <v>14921507.26</v>
      </c>
      <c r="E119" s="129">
        <v>40422.69</v>
      </c>
      <c r="F119" s="129">
        <v>4840457.5100000054</v>
      </c>
      <c r="G119" s="129">
        <v>6929</v>
      </c>
      <c r="H119" s="129">
        <v>2069649.2900000003</v>
      </c>
      <c r="I119" s="129">
        <v>665</v>
      </c>
      <c r="J119" s="129">
        <v>3804518.5000000023</v>
      </c>
      <c r="K119" s="129">
        <v>11382.450000000003</v>
      </c>
      <c r="L119" s="129">
        <v>83</v>
      </c>
      <c r="M119" s="129">
        <v>2067932.7399999998</v>
      </c>
      <c r="N119" s="129">
        <v>5946.7</v>
      </c>
      <c r="O119" s="129">
        <v>8</v>
      </c>
      <c r="P119" s="129">
        <v>1517371.2000000002</v>
      </c>
      <c r="Q119" s="129">
        <v>4697.6000000000004</v>
      </c>
      <c r="R119" s="129">
        <v>2</v>
      </c>
      <c r="S119" s="129">
        <v>29747.88</v>
      </c>
      <c r="T119" s="87"/>
      <c r="U119" s="129">
        <v>57</v>
      </c>
      <c r="V119" s="129">
        <v>6307.9999999999991</v>
      </c>
      <c r="W119" s="129">
        <v>15.47</v>
      </c>
      <c r="X119" s="129">
        <v>112</v>
      </c>
      <c r="Y119" s="129">
        <v>55696</v>
      </c>
      <c r="Z119" s="129">
        <v>118</v>
      </c>
      <c r="AA119" s="129">
        <v>1</v>
      </c>
      <c r="AB119"/>
      <c r="AC119" s="131">
        <f t="shared" si="1"/>
        <v>7688</v>
      </c>
      <c r="AD119"/>
    </row>
    <row r="120" spans="1:30">
      <c r="A120" s="82">
        <v>2021</v>
      </c>
      <c r="B120" s="83" t="s">
        <v>78</v>
      </c>
      <c r="C120" s="86"/>
      <c r="D120" s="128">
        <v>15381838.239999998</v>
      </c>
      <c r="E120" s="128">
        <v>41700.25</v>
      </c>
      <c r="F120" s="128">
        <v>4993299.8599999733</v>
      </c>
      <c r="G120" s="128">
        <v>6963</v>
      </c>
      <c r="H120" s="128">
        <v>1742307.3700000008</v>
      </c>
      <c r="I120" s="128">
        <v>669</v>
      </c>
      <c r="J120" s="128">
        <v>3840319.5100000012</v>
      </c>
      <c r="K120" s="128">
        <v>11235.119999999999</v>
      </c>
      <c r="L120" s="128">
        <v>76</v>
      </c>
      <c r="M120" s="128">
        <v>2523553.9500000002</v>
      </c>
      <c r="N120" s="128">
        <v>7007.1699999999992</v>
      </c>
      <c r="O120" s="128">
        <v>9</v>
      </c>
      <c r="P120" s="128">
        <v>1755354.8</v>
      </c>
      <c r="Q120" s="128">
        <v>4406.3999999999996</v>
      </c>
      <c r="R120" s="128">
        <v>2</v>
      </c>
      <c r="S120" s="128">
        <v>29003.15</v>
      </c>
      <c r="T120" s="85"/>
      <c r="U120" s="128">
        <v>57</v>
      </c>
      <c r="V120" s="128">
        <v>6308.01</v>
      </c>
      <c r="W120" s="128">
        <v>15.929999999999998</v>
      </c>
      <c r="X120" s="128">
        <v>112</v>
      </c>
      <c r="Y120" s="128">
        <v>54870</v>
      </c>
      <c r="Z120" s="128">
        <v>118</v>
      </c>
      <c r="AA120" s="128">
        <v>1</v>
      </c>
      <c r="AB120"/>
      <c r="AC120" s="131">
        <f t="shared" si="1"/>
        <v>7720</v>
      </c>
      <c r="AD120"/>
    </row>
    <row r="121" spans="1:30">
      <c r="A121" s="82">
        <v>2021</v>
      </c>
      <c r="B121" s="83" t="s">
        <v>79</v>
      </c>
      <c r="C121" s="86"/>
      <c r="D121" s="129">
        <v>14338372.879999999</v>
      </c>
      <c r="E121" s="129">
        <v>36904.899999999994</v>
      </c>
      <c r="F121" s="129">
        <v>4624895.2400000235</v>
      </c>
      <c r="G121" s="129">
        <v>6981</v>
      </c>
      <c r="H121" s="129">
        <v>1675976.5799999989</v>
      </c>
      <c r="I121" s="129">
        <v>670</v>
      </c>
      <c r="J121" s="129">
        <v>3622525.9700000011</v>
      </c>
      <c r="K121" s="129">
        <v>11750.310000000003</v>
      </c>
      <c r="L121" s="129">
        <v>76</v>
      </c>
      <c r="M121" s="129">
        <v>2259259.77</v>
      </c>
      <c r="N121" s="129">
        <v>7167.12</v>
      </c>
      <c r="O121" s="129">
        <v>9</v>
      </c>
      <c r="P121" s="129">
        <v>1581675.6</v>
      </c>
      <c r="Q121" s="129">
        <v>4326.3999999999996</v>
      </c>
      <c r="R121" s="129">
        <v>2</v>
      </c>
      <c r="S121" s="129">
        <v>26277.55</v>
      </c>
      <c r="T121" s="87"/>
      <c r="U121" s="129">
        <v>57</v>
      </c>
      <c r="V121" s="129">
        <v>5697.5400000000009</v>
      </c>
      <c r="W121" s="129">
        <v>16.650000000000002</v>
      </c>
      <c r="X121" s="129">
        <v>112</v>
      </c>
      <c r="Y121" s="129">
        <v>55848</v>
      </c>
      <c r="Z121" s="129">
        <v>138.96</v>
      </c>
      <c r="AA121" s="129">
        <v>1</v>
      </c>
      <c r="AB121"/>
      <c r="AC121" s="131">
        <f t="shared" si="1"/>
        <v>7739</v>
      </c>
      <c r="AD121"/>
    </row>
    <row r="122" spans="1:30">
      <c r="A122" s="82">
        <v>2021</v>
      </c>
      <c r="B122" s="83" t="s">
        <v>80</v>
      </c>
      <c r="C122" s="86"/>
      <c r="D122" s="129">
        <v>14839569.93</v>
      </c>
      <c r="E122" s="129">
        <v>197009.1</v>
      </c>
      <c r="F122" s="129">
        <v>4368689.6399999931</v>
      </c>
      <c r="G122" s="129">
        <v>7002</v>
      </c>
      <c r="H122" s="129">
        <v>1706777.9799999974</v>
      </c>
      <c r="I122" s="129">
        <v>673</v>
      </c>
      <c r="J122" s="129">
        <v>3882466.7600000007</v>
      </c>
      <c r="K122" s="129">
        <v>11578.779999999999</v>
      </c>
      <c r="L122" s="129">
        <v>77</v>
      </c>
      <c r="M122" s="129">
        <v>2596775.7800000003</v>
      </c>
      <c r="N122" s="129">
        <v>6856.8099999999995</v>
      </c>
      <c r="O122" s="129">
        <v>9</v>
      </c>
      <c r="P122" s="129">
        <v>1909799.2000000002</v>
      </c>
      <c r="Q122" s="129">
        <v>4382.3999999999996</v>
      </c>
      <c r="R122" s="129">
        <v>2</v>
      </c>
      <c r="S122" s="129">
        <v>29623.47</v>
      </c>
      <c r="T122" s="87"/>
      <c r="U122" s="129">
        <v>57</v>
      </c>
      <c r="V122" s="129">
        <v>6308.0000000000009</v>
      </c>
      <c r="W122" s="129">
        <v>17.28</v>
      </c>
      <c r="X122" s="129">
        <v>112</v>
      </c>
      <c r="Y122" s="129">
        <v>54368.1</v>
      </c>
      <c r="Z122" s="129">
        <v>138.96</v>
      </c>
      <c r="AA122" s="129">
        <v>1</v>
      </c>
      <c r="AB122"/>
      <c r="AC122" s="131">
        <f t="shared" si="1"/>
        <v>7764</v>
      </c>
      <c r="AD122"/>
    </row>
    <row r="123" spans="1:30">
      <c r="A123" s="82">
        <v>2021</v>
      </c>
      <c r="B123" s="83" t="s">
        <v>81</v>
      </c>
      <c r="C123" s="86"/>
      <c r="D123" s="129">
        <v>12258026.33</v>
      </c>
      <c r="E123" s="129">
        <v>195594.22999999998</v>
      </c>
      <c r="F123" s="129">
        <v>3865116.220000017</v>
      </c>
      <c r="G123" s="129">
        <v>7030</v>
      </c>
      <c r="H123" s="129">
        <v>1461098.9700000016</v>
      </c>
      <c r="I123" s="129">
        <v>670</v>
      </c>
      <c r="J123" s="129">
        <v>3435340.3600000013</v>
      </c>
      <c r="K123" s="129">
        <v>11242.380000000001</v>
      </c>
      <c r="L123" s="129">
        <v>77</v>
      </c>
      <c r="M123" s="129">
        <v>2093278.3099999998</v>
      </c>
      <c r="N123" s="129">
        <v>6923.82</v>
      </c>
      <c r="O123" s="129">
        <v>9</v>
      </c>
      <c r="P123" s="129">
        <v>1236198</v>
      </c>
      <c r="Q123" s="129">
        <v>3750.7300000000005</v>
      </c>
      <c r="R123" s="129">
        <v>2</v>
      </c>
      <c r="S123" s="129">
        <v>27699.22</v>
      </c>
      <c r="T123" s="87"/>
      <c r="U123" s="129">
        <v>57</v>
      </c>
      <c r="V123" s="129">
        <v>6104.51</v>
      </c>
      <c r="W123" s="129">
        <v>16.589999999999996</v>
      </c>
      <c r="X123" s="129">
        <v>112</v>
      </c>
      <c r="Y123" s="129">
        <v>46065.24</v>
      </c>
      <c r="Z123" s="129">
        <v>138.96</v>
      </c>
      <c r="AA123" s="129">
        <v>1</v>
      </c>
      <c r="AB123"/>
      <c r="AC123" s="131">
        <f t="shared" si="1"/>
        <v>7789</v>
      </c>
      <c r="AD123"/>
    </row>
    <row r="124" spans="1:30">
      <c r="A124" s="82">
        <v>2021</v>
      </c>
      <c r="B124" s="83" t="s">
        <v>52</v>
      </c>
      <c r="C124" s="86"/>
      <c r="D124" s="129">
        <v>13244338.23</v>
      </c>
      <c r="E124" s="129">
        <v>234500.96000000002</v>
      </c>
      <c r="F124" s="129">
        <v>4411878.2600000026</v>
      </c>
      <c r="G124" s="129">
        <v>7053</v>
      </c>
      <c r="H124" s="129">
        <v>1555138.420000002</v>
      </c>
      <c r="I124" s="129">
        <v>669</v>
      </c>
      <c r="J124" s="129">
        <v>3651975.9700000011</v>
      </c>
      <c r="K124" s="129">
        <v>11865.729999999996</v>
      </c>
      <c r="L124" s="129">
        <v>77</v>
      </c>
      <c r="M124" s="129">
        <v>2168895.86</v>
      </c>
      <c r="N124" s="129">
        <v>6601.27</v>
      </c>
      <c r="O124" s="129">
        <v>9</v>
      </c>
      <c r="P124" s="129">
        <v>1334590.3999999999</v>
      </c>
      <c r="Q124" s="129">
        <v>3925.41</v>
      </c>
      <c r="R124" s="129">
        <v>2</v>
      </c>
      <c r="S124" s="129">
        <v>29523.839999999997</v>
      </c>
      <c r="T124" s="87"/>
      <c r="U124" s="129">
        <v>57</v>
      </c>
      <c r="V124" s="129">
        <v>6308.0099999999993</v>
      </c>
      <c r="W124" s="129">
        <v>16.87</v>
      </c>
      <c r="X124" s="129">
        <v>112</v>
      </c>
      <c r="Y124" s="129">
        <v>42174.36</v>
      </c>
      <c r="Z124" s="129">
        <v>138.96</v>
      </c>
      <c r="AA124" s="129">
        <v>1</v>
      </c>
      <c r="AB124"/>
      <c r="AC124" s="131">
        <f t="shared" si="1"/>
        <v>7811</v>
      </c>
      <c r="AD124"/>
    </row>
    <row r="125" spans="1:30">
      <c r="A125" s="82">
        <v>2021</v>
      </c>
      <c r="B125" s="83" t="s">
        <v>82</v>
      </c>
      <c r="C125" s="86"/>
      <c r="D125" s="129">
        <v>15554413.700000001</v>
      </c>
      <c r="E125" s="129">
        <v>235576.17000000004</v>
      </c>
      <c r="F125" s="129">
        <v>5173602.1400000034</v>
      </c>
      <c r="G125" s="129">
        <v>7086</v>
      </c>
      <c r="H125" s="129">
        <v>1820386.6899999974</v>
      </c>
      <c r="I125" s="129">
        <v>671</v>
      </c>
      <c r="J125" s="129">
        <v>4023482.48</v>
      </c>
      <c r="K125" s="129">
        <v>12817.780000000002</v>
      </c>
      <c r="L125" s="129">
        <v>77</v>
      </c>
      <c r="M125" s="129">
        <v>2349026.7599999998</v>
      </c>
      <c r="N125" s="129">
        <v>7461.3</v>
      </c>
      <c r="O125" s="129">
        <v>9</v>
      </c>
      <c r="P125" s="129">
        <v>1600706</v>
      </c>
      <c r="Q125" s="129">
        <v>4448.1099999999997</v>
      </c>
      <c r="R125" s="129">
        <v>2</v>
      </c>
      <c r="S125" s="129">
        <v>27343.690000000002</v>
      </c>
      <c r="T125" s="87"/>
      <c r="U125" s="129">
        <v>57</v>
      </c>
      <c r="V125" s="129">
        <v>6104.52</v>
      </c>
      <c r="W125" s="129">
        <v>16.459999999999997</v>
      </c>
      <c r="X125" s="129">
        <v>112</v>
      </c>
      <c r="Y125" s="129">
        <v>37623.42</v>
      </c>
      <c r="Z125" s="129">
        <v>138.96</v>
      </c>
      <c r="AA125" s="129">
        <v>1</v>
      </c>
      <c r="AB125"/>
      <c r="AC125" s="131">
        <f t="shared" si="1"/>
        <v>7846</v>
      </c>
      <c r="AD125"/>
    </row>
    <row r="126" spans="1:30">
      <c r="A126" s="82">
        <v>2021</v>
      </c>
      <c r="B126" s="83" t="s">
        <v>83</v>
      </c>
      <c r="C126" s="86"/>
      <c r="D126" s="129">
        <v>15685342.790000003</v>
      </c>
      <c r="E126" s="129">
        <v>213581.17999999996</v>
      </c>
      <c r="F126" s="129">
        <v>5793093.0300000207</v>
      </c>
      <c r="G126" s="129">
        <v>7119</v>
      </c>
      <c r="H126" s="129">
        <v>2023194.1000000003</v>
      </c>
      <c r="I126" s="129">
        <v>675</v>
      </c>
      <c r="J126" s="129">
        <v>4140130.2100000004</v>
      </c>
      <c r="K126" s="129">
        <v>12826.24</v>
      </c>
      <c r="L126" s="129">
        <v>78</v>
      </c>
      <c r="M126" s="129">
        <v>2311900.38</v>
      </c>
      <c r="N126" s="129">
        <v>7124.9500000000007</v>
      </c>
      <c r="O126" s="129">
        <v>8</v>
      </c>
      <c r="P126" s="129">
        <v>1091871.2</v>
      </c>
      <c r="Q126" s="129">
        <v>3976.92</v>
      </c>
      <c r="R126" s="129">
        <v>2</v>
      </c>
      <c r="S126" s="129">
        <v>28553.200000000001</v>
      </c>
      <c r="T126" s="87"/>
      <c r="U126" s="129">
        <v>57</v>
      </c>
      <c r="V126" s="129">
        <v>5995.5300000000007</v>
      </c>
      <c r="W126" s="129">
        <v>16.8</v>
      </c>
      <c r="X126" s="129">
        <v>112</v>
      </c>
      <c r="Y126" s="129">
        <v>39812.04</v>
      </c>
      <c r="Z126" s="129">
        <v>138.96</v>
      </c>
      <c r="AA126" s="129">
        <v>1</v>
      </c>
      <c r="AB126"/>
      <c r="AC126" s="131">
        <f t="shared" si="1"/>
        <v>7883</v>
      </c>
      <c r="AD126"/>
    </row>
    <row r="127" spans="1:30">
      <c r="A127" s="82">
        <v>2021</v>
      </c>
      <c r="B127" s="83" t="s">
        <v>84</v>
      </c>
      <c r="C127" s="86"/>
      <c r="D127" s="129">
        <v>17774632.540000003</v>
      </c>
      <c r="E127" s="129">
        <v>222339.34000000003</v>
      </c>
      <c r="F127" s="129">
        <v>5993226.6300000176</v>
      </c>
      <c r="G127" s="129">
        <v>7140</v>
      </c>
      <c r="H127" s="129">
        <v>2147707.4800000004</v>
      </c>
      <c r="I127" s="129">
        <v>672</v>
      </c>
      <c r="J127" s="129">
        <v>4499091.0900000017</v>
      </c>
      <c r="K127" s="129">
        <v>13229.239999999998</v>
      </c>
      <c r="L127" s="129">
        <v>78</v>
      </c>
      <c r="M127" s="129">
        <v>2439399.0700000003</v>
      </c>
      <c r="N127" s="129">
        <v>7285.52</v>
      </c>
      <c r="O127" s="129">
        <v>8</v>
      </c>
      <c r="P127" s="129">
        <v>1764286.8</v>
      </c>
      <c r="Q127" s="129">
        <v>4295.04</v>
      </c>
      <c r="R127" s="129">
        <v>2</v>
      </c>
      <c r="S127" s="129">
        <v>28017.829999999998</v>
      </c>
      <c r="T127" s="87"/>
      <c r="U127" s="129">
        <v>57</v>
      </c>
      <c r="V127" s="129">
        <v>5995.52</v>
      </c>
      <c r="W127" s="129">
        <v>17.009999999999998</v>
      </c>
      <c r="X127" s="129">
        <v>112</v>
      </c>
      <c r="Y127" s="129">
        <v>45057.78</v>
      </c>
      <c r="Z127" s="129">
        <v>138.96</v>
      </c>
      <c r="AA127" s="129">
        <v>1</v>
      </c>
      <c r="AB127"/>
      <c r="AC127" s="131">
        <f t="shared" si="1"/>
        <v>7901</v>
      </c>
      <c r="AD127"/>
    </row>
    <row r="128" spans="1:30">
      <c r="A128" s="82">
        <v>2021</v>
      </c>
      <c r="B128" s="83" t="s">
        <v>85</v>
      </c>
      <c r="C128" s="86"/>
      <c r="D128" s="129">
        <v>14020372.270000001</v>
      </c>
      <c r="E128" s="129">
        <v>193179.75</v>
      </c>
      <c r="F128" s="129">
        <v>4802974.669999999</v>
      </c>
      <c r="G128" s="129">
        <v>7172</v>
      </c>
      <c r="H128" s="129">
        <v>1772497.4800000028</v>
      </c>
      <c r="I128" s="129">
        <v>673</v>
      </c>
      <c r="J128" s="129">
        <v>3873687.5700000008</v>
      </c>
      <c r="K128" s="129">
        <v>12704.099999999999</v>
      </c>
      <c r="L128" s="129">
        <v>78</v>
      </c>
      <c r="M128" s="129">
        <v>2132924.0099999998</v>
      </c>
      <c r="N128" s="129">
        <v>6708</v>
      </c>
      <c r="O128" s="129">
        <v>8</v>
      </c>
      <c r="P128" s="129">
        <v>1519409.6</v>
      </c>
      <c r="Q128" s="129">
        <v>4335.7299999999996</v>
      </c>
      <c r="R128" s="129">
        <v>2</v>
      </c>
      <c r="S128" s="129">
        <v>27692.460000000003</v>
      </c>
      <c r="T128" s="87"/>
      <c r="U128" s="129">
        <v>57</v>
      </c>
      <c r="V128" s="129">
        <v>5802.1200000000008</v>
      </c>
      <c r="W128" s="129">
        <v>16.79</v>
      </c>
      <c r="X128" s="129">
        <v>112</v>
      </c>
      <c r="Y128" s="129">
        <v>48809.7</v>
      </c>
      <c r="Z128" s="129">
        <v>138.96</v>
      </c>
      <c r="AA128" s="129">
        <v>1</v>
      </c>
      <c r="AB128"/>
      <c r="AC128" s="131">
        <f t="shared" si="1"/>
        <v>7934</v>
      </c>
      <c r="AD128"/>
    </row>
    <row r="129" spans="1:31">
      <c r="A129" s="82">
        <v>2021</v>
      </c>
      <c r="B129" s="83" t="s">
        <v>86</v>
      </c>
      <c r="C129" s="86"/>
      <c r="D129" s="129">
        <v>13896446.370000001</v>
      </c>
      <c r="E129" s="129">
        <v>100673.29000000002</v>
      </c>
      <c r="F129" s="129">
        <v>4216525.2599999933</v>
      </c>
      <c r="G129" s="129">
        <v>7213</v>
      </c>
      <c r="H129" s="129">
        <v>1649701.4700000002</v>
      </c>
      <c r="I129" s="129">
        <v>675</v>
      </c>
      <c r="J129" s="129">
        <v>3791139.6300000008</v>
      </c>
      <c r="K129" s="129">
        <v>12334.53</v>
      </c>
      <c r="L129" s="129">
        <v>78</v>
      </c>
      <c r="M129" s="129">
        <v>2214736.6100000003</v>
      </c>
      <c r="N129" s="129">
        <v>6869.1100000000006</v>
      </c>
      <c r="O129" s="129">
        <v>8</v>
      </c>
      <c r="P129" s="129">
        <v>1503959.6</v>
      </c>
      <c r="Q129" s="129">
        <v>4090.6899999999996</v>
      </c>
      <c r="R129" s="129">
        <v>2</v>
      </c>
      <c r="S129" s="129">
        <v>27803.46</v>
      </c>
      <c r="T129" s="87"/>
      <c r="U129" s="129">
        <v>55</v>
      </c>
      <c r="V129" s="129">
        <v>5995.5300000000016</v>
      </c>
      <c r="W129" s="129">
        <v>17.179999999999996</v>
      </c>
      <c r="X129" s="129">
        <v>112</v>
      </c>
      <c r="Y129" s="129">
        <v>56869.38</v>
      </c>
      <c r="Z129" s="129">
        <v>138.96</v>
      </c>
      <c r="AA129" s="129">
        <v>1</v>
      </c>
      <c r="AB129"/>
      <c r="AC129" s="131">
        <f t="shared" si="1"/>
        <v>7977</v>
      </c>
      <c r="AD129"/>
    </row>
    <row r="130" spans="1:31">
      <c r="A130" s="82">
        <v>2021</v>
      </c>
      <c r="B130" s="83" t="s">
        <v>87</v>
      </c>
      <c r="C130" s="86"/>
      <c r="D130" s="129">
        <v>14538013.570000002</v>
      </c>
      <c r="E130" s="129">
        <v>75643.289999999994</v>
      </c>
      <c r="F130" s="129">
        <v>4473316.3500000285</v>
      </c>
      <c r="G130" s="129">
        <v>7249</v>
      </c>
      <c r="H130" s="129">
        <v>1698990.0900000024</v>
      </c>
      <c r="I130" s="129">
        <v>678</v>
      </c>
      <c r="J130" s="129">
        <v>4052535.2600000012</v>
      </c>
      <c r="K130" s="129">
        <v>12353.289999999995</v>
      </c>
      <c r="L130" s="129">
        <v>78</v>
      </c>
      <c r="M130" s="129">
        <v>2127046.85</v>
      </c>
      <c r="N130" s="129">
        <v>6548.96</v>
      </c>
      <c r="O130" s="129">
        <v>8</v>
      </c>
      <c r="P130" s="129">
        <v>1673078</v>
      </c>
      <c r="Q130" s="129">
        <v>4436.8</v>
      </c>
      <c r="R130" s="129">
        <v>2</v>
      </c>
      <c r="S130" s="129">
        <v>29792.13</v>
      </c>
      <c r="T130" s="87"/>
      <c r="U130" s="129">
        <v>57</v>
      </c>
      <c r="V130" s="129">
        <v>5802.1299999999992</v>
      </c>
      <c r="W130" s="129">
        <v>16.699999999999996</v>
      </c>
      <c r="X130" s="129">
        <v>112</v>
      </c>
      <c r="Y130" s="129">
        <v>60273.9</v>
      </c>
      <c r="Z130" s="129">
        <v>138.96</v>
      </c>
      <c r="AA130" s="129">
        <v>1</v>
      </c>
      <c r="AB130"/>
      <c r="AC130" s="131">
        <f t="shared" si="1"/>
        <v>8016</v>
      </c>
      <c r="AD130"/>
    </row>
    <row r="131" spans="1:31">
      <c r="A131" s="82">
        <v>2021</v>
      </c>
      <c r="B131" s="83" t="s">
        <v>88</v>
      </c>
      <c r="C131" s="86"/>
      <c r="D131" s="129">
        <v>14738839.719999997</v>
      </c>
      <c r="E131" s="129">
        <v>46959.739999999991</v>
      </c>
      <c r="F131" s="129">
        <v>5091332.9399999771</v>
      </c>
      <c r="G131" s="129">
        <v>7281</v>
      </c>
      <c r="H131" s="129">
        <v>1809154.9199999985</v>
      </c>
      <c r="I131" s="129">
        <v>673</v>
      </c>
      <c r="J131" s="129">
        <v>3937545.1599999988</v>
      </c>
      <c r="K131" s="129">
        <v>12570.909999999996</v>
      </c>
      <c r="L131" s="129">
        <v>78</v>
      </c>
      <c r="M131" s="129">
        <v>1839188.75</v>
      </c>
      <c r="N131" s="129">
        <v>6282.55</v>
      </c>
      <c r="O131" s="129">
        <v>8</v>
      </c>
      <c r="P131" s="129">
        <v>1528307.2</v>
      </c>
      <c r="Q131" s="129">
        <v>4548.8</v>
      </c>
      <c r="R131" s="129">
        <v>2</v>
      </c>
      <c r="S131" s="129">
        <v>29429.81</v>
      </c>
      <c r="T131" s="87"/>
      <c r="U131" s="129">
        <v>57</v>
      </c>
      <c r="V131" s="129">
        <v>6016.58</v>
      </c>
      <c r="W131" s="129">
        <v>17.350000000000001</v>
      </c>
      <c r="X131" s="129">
        <v>112</v>
      </c>
      <c r="Y131" s="129">
        <v>65589.119999999995</v>
      </c>
      <c r="Z131" s="129">
        <v>138.96</v>
      </c>
      <c r="AA131" s="129">
        <v>1</v>
      </c>
      <c r="AB131"/>
      <c r="AC131" s="131">
        <f t="shared" si="1"/>
        <v>8043</v>
      </c>
      <c r="AD131"/>
    </row>
    <row r="132" spans="1:31">
      <c r="A132" s="82">
        <v>2022</v>
      </c>
      <c r="B132" s="83" t="s">
        <v>78</v>
      </c>
      <c r="C132" s="86"/>
      <c r="D132" s="128">
        <v>16412005.120000001</v>
      </c>
      <c r="E132" s="128">
        <v>39551.119999999995</v>
      </c>
      <c r="F132" s="128">
        <v>5477139.820000018</v>
      </c>
      <c r="G132" s="128">
        <v>7302</v>
      </c>
      <c r="H132" s="128">
        <v>2018523.3899999987</v>
      </c>
      <c r="I132" s="128">
        <v>678</v>
      </c>
      <c r="J132" s="128">
        <v>4432565.54</v>
      </c>
      <c r="K132" s="128">
        <v>12871.199999999999</v>
      </c>
      <c r="L132" s="128">
        <v>73</v>
      </c>
      <c r="M132" s="128">
        <v>1837634.37</v>
      </c>
      <c r="N132" s="128">
        <v>5743.41</v>
      </c>
      <c r="O132" s="128">
        <v>6</v>
      </c>
      <c r="P132" s="128">
        <v>1862454.8</v>
      </c>
      <c r="Q132" s="128">
        <v>4467.2</v>
      </c>
      <c r="R132" s="128">
        <v>2</v>
      </c>
      <c r="S132" s="128">
        <v>27660.499999999996</v>
      </c>
      <c r="T132" s="85"/>
      <c r="U132" s="128">
        <v>57</v>
      </c>
      <c r="V132" s="128">
        <v>6213.1400000000012</v>
      </c>
      <c r="W132" s="128">
        <v>17.62</v>
      </c>
      <c r="X132" s="128">
        <v>116</v>
      </c>
      <c r="Y132" s="128">
        <v>64616.4</v>
      </c>
      <c r="Z132" s="128">
        <v>138.96</v>
      </c>
      <c r="AA132" s="128">
        <v>1</v>
      </c>
      <c r="AB132"/>
      <c r="AC132" s="131">
        <f t="shared" si="1"/>
        <v>8062</v>
      </c>
      <c r="AD132"/>
    </row>
    <row r="133" spans="1:31">
      <c r="A133" s="82">
        <v>2022</v>
      </c>
      <c r="B133" s="83" t="s">
        <v>79</v>
      </c>
      <c r="C133" s="86"/>
      <c r="D133" s="129">
        <v>14716423.85</v>
      </c>
      <c r="E133" s="129">
        <v>71042.73</v>
      </c>
      <c r="F133" s="129">
        <v>4793761.4599999813</v>
      </c>
      <c r="G133" s="129">
        <v>7324</v>
      </c>
      <c r="H133" s="129">
        <v>1857251.91</v>
      </c>
      <c r="I133" s="129">
        <v>679</v>
      </c>
      <c r="J133" s="129">
        <v>4083591.74</v>
      </c>
      <c r="K133" s="129">
        <v>12605.550000000001</v>
      </c>
      <c r="L133" s="129">
        <v>74</v>
      </c>
      <c r="M133" s="129">
        <v>1699700.99</v>
      </c>
      <c r="N133" s="129">
        <v>5736.7000000000007</v>
      </c>
      <c r="O133" s="129">
        <v>6</v>
      </c>
      <c r="P133" s="129">
        <v>1669743.2</v>
      </c>
      <c r="Q133" s="129">
        <v>4228.8</v>
      </c>
      <c r="R133" s="129">
        <v>2</v>
      </c>
      <c r="S133" s="129">
        <v>26025.56</v>
      </c>
      <c r="T133" s="87"/>
      <c r="U133" s="129">
        <v>56</v>
      </c>
      <c r="V133" s="129">
        <v>5611.8799999999992</v>
      </c>
      <c r="W133" s="129">
        <v>16.07</v>
      </c>
      <c r="X133" s="129">
        <v>116</v>
      </c>
      <c r="Y133" s="129">
        <v>58363.199999999997</v>
      </c>
      <c r="Z133" s="129">
        <v>138.96</v>
      </c>
      <c r="AA133" s="129">
        <v>1</v>
      </c>
      <c r="AB133"/>
      <c r="AC133" s="131">
        <f t="shared" si="1"/>
        <v>8086</v>
      </c>
      <c r="AD133"/>
    </row>
    <row r="134" spans="1:31">
      <c r="A134" s="82">
        <v>2022</v>
      </c>
      <c r="B134" s="83" t="s">
        <v>80</v>
      </c>
      <c r="C134" s="86"/>
      <c r="D134" s="129">
        <v>15784695.399999995</v>
      </c>
      <c r="E134" s="129">
        <v>118490.18000000001</v>
      </c>
      <c r="F134" s="129">
        <v>4837986.9599999646</v>
      </c>
      <c r="G134" s="129">
        <v>7330</v>
      </c>
      <c r="H134" s="129">
        <v>1940554.4</v>
      </c>
      <c r="I134" s="129">
        <v>680</v>
      </c>
      <c r="J134" s="129">
        <v>4730615.04</v>
      </c>
      <c r="K134" s="129">
        <v>12881.68</v>
      </c>
      <c r="L134" s="129">
        <v>74</v>
      </c>
      <c r="M134" s="129">
        <v>2033769.65</v>
      </c>
      <c r="N134" s="129">
        <v>6131.63</v>
      </c>
      <c r="O134" s="129">
        <v>6</v>
      </c>
      <c r="P134" s="129">
        <v>1717891.2</v>
      </c>
      <c r="Q134" s="129">
        <v>4099.2</v>
      </c>
      <c r="R134" s="129">
        <v>2</v>
      </c>
      <c r="S134" s="129">
        <v>29189.210000000003</v>
      </c>
      <c r="T134" s="87"/>
      <c r="U134" s="129">
        <v>56</v>
      </c>
      <c r="V134" s="129">
        <v>6213.1500000000005</v>
      </c>
      <c r="W134" s="129">
        <v>17.060000000000002</v>
      </c>
      <c r="X134" s="129">
        <v>116</v>
      </c>
      <c r="Y134" s="129">
        <v>54368.1</v>
      </c>
      <c r="Z134" s="129">
        <v>138.96</v>
      </c>
      <c r="AA134" s="129">
        <v>1</v>
      </c>
      <c r="AB134"/>
      <c r="AC134" s="131">
        <f t="shared" si="1"/>
        <v>8093</v>
      </c>
      <c r="AD134"/>
    </row>
    <row r="135" spans="1:31">
      <c r="A135" s="82">
        <v>2022</v>
      </c>
      <c r="B135" s="83" t="s">
        <v>81</v>
      </c>
      <c r="C135" s="86"/>
      <c r="D135" s="129">
        <v>13400986.82</v>
      </c>
      <c r="E135" s="129">
        <v>183397.94000000003</v>
      </c>
      <c r="F135" s="129">
        <v>4202221.0799999898</v>
      </c>
      <c r="G135" s="129">
        <v>7343</v>
      </c>
      <c r="H135" s="129">
        <v>1681265.3499999987</v>
      </c>
      <c r="I135" s="129">
        <v>680</v>
      </c>
      <c r="J135" s="129">
        <v>4082344.169999999</v>
      </c>
      <c r="K135" s="129">
        <v>12918.510000000002</v>
      </c>
      <c r="L135" s="129">
        <v>74</v>
      </c>
      <c r="M135" s="129">
        <v>1772356.98</v>
      </c>
      <c r="N135" s="129">
        <v>6242.2</v>
      </c>
      <c r="O135" s="129">
        <v>6</v>
      </c>
      <c r="P135" s="129">
        <v>1319653.2000000002</v>
      </c>
      <c r="Q135" s="129">
        <v>3408</v>
      </c>
      <c r="R135" s="129">
        <v>2</v>
      </c>
      <c r="S135" s="129">
        <v>28405.599999999999</v>
      </c>
      <c r="T135" s="87"/>
      <c r="U135" s="129">
        <v>53</v>
      </c>
      <c r="V135" s="129">
        <v>5999.8400000000011</v>
      </c>
      <c r="W135" s="129">
        <v>17.64</v>
      </c>
      <c r="X135" s="129">
        <v>116</v>
      </c>
      <c r="Y135" s="129">
        <v>46065.24</v>
      </c>
      <c r="Z135" s="129">
        <v>138.96</v>
      </c>
      <c r="AA135" s="129">
        <v>1</v>
      </c>
      <c r="AB135"/>
      <c r="AC135" s="131">
        <f t="shared" si="1"/>
        <v>8106</v>
      </c>
      <c r="AD135"/>
    </row>
    <row r="136" spans="1:31">
      <c r="A136" s="82">
        <v>2022</v>
      </c>
      <c r="B136" s="83" t="s">
        <v>52</v>
      </c>
      <c r="C136" s="86"/>
      <c r="D136" s="129">
        <v>14301607.030000005</v>
      </c>
      <c r="E136" s="129">
        <v>237124.88999999996</v>
      </c>
      <c r="F136" s="129">
        <v>4645740.909999989</v>
      </c>
      <c r="G136" s="129">
        <v>7355</v>
      </c>
      <c r="H136" s="129">
        <v>1804695.4899999993</v>
      </c>
      <c r="I136" s="129">
        <v>681</v>
      </c>
      <c r="J136" s="129">
        <v>4547025.459999999</v>
      </c>
      <c r="K136" s="129">
        <v>14135.51</v>
      </c>
      <c r="L136" s="129">
        <v>74</v>
      </c>
      <c r="M136" s="129">
        <v>1930492.54</v>
      </c>
      <c r="N136" s="129">
        <v>6411.84</v>
      </c>
      <c r="O136" s="129">
        <v>6</v>
      </c>
      <c r="P136" s="129">
        <v>1297085.6000000001</v>
      </c>
      <c r="Q136" s="129">
        <v>3582.4</v>
      </c>
      <c r="R136" s="129">
        <v>2</v>
      </c>
      <c r="S136" s="129">
        <v>28162.13</v>
      </c>
      <c r="T136" s="87"/>
      <c r="U136" s="129">
        <v>58</v>
      </c>
      <c r="V136" s="129">
        <v>6017.24</v>
      </c>
      <c r="W136" s="129">
        <v>17.399999999999999</v>
      </c>
      <c r="X136" s="129">
        <v>116</v>
      </c>
      <c r="Y136" s="129">
        <v>42174.36</v>
      </c>
      <c r="Z136" s="129">
        <v>138.96</v>
      </c>
      <c r="AA136" s="129">
        <v>1</v>
      </c>
      <c r="AB136"/>
      <c r="AC136" s="131">
        <f t="shared" si="1"/>
        <v>8119</v>
      </c>
      <c r="AD136"/>
    </row>
    <row r="137" spans="1:31">
      <c r="A137" s="82">
        <v>2022</v>
      </c>
      <c r="B137" s="83" t="s">
        <v>82</v>
      </c>
      <c r="C137" s="86"/>
      <c r="D137" s="129">
        <v>15576117.430000002</v>
      </c>
      <c r="E137" s="129">
        <v>248877.21999999997</v>
      </c>
      <c r="F137" s="129">
        <v>4949047.6100000134</v>
      </c>
      <c r="G137" s="129">
        <v>7400</v>
      </c>
      <c r="H137" s="129">
        <v>2007756.9200000018</v>
      </c>
      <c r="I137" s="129">
        <v>683</v>
      </c>
      <c r="J137" s="129">
        <v>4636283.3100000005</v>
      </c>
      <c r="K137" s="129">
        <v>14616.630000000001</v>
      </c>
      <c r="L137" s="129">
        <v>74</v>
      </c>
      <c r="M137" s="129">
        <v>2032458.5899999999</v>
      </c>
      <c r="N137" s="129">
        <v>6328.27</v>
      </c>
      <c r="O137" s="129">
        <v>6</v>
      </c>
      <c r="P137" s="129">
        <v>1447688</v>
      </c>
      <c r="Q137" s="129">
        <v>4516.46</v>
      </c>
      <c r="R137" s="129">
        <v>2</v>
      </c>
      <c r="S137" s="129">
        <v>28800.399999999998</v>
      </c>
      <c r="T137" s="87"/>
      <c r="U137" s="129">
        <v>56</v>
      </c>
      <c r="V137" s="129">
        <v>5991.1400000000012</v>
      </c>
      <c r="W137" s="129">
        <v>17.490000000000002</v>
      </c>
      <c r="X137" s="129">
        <v>116</v>
      </c>
      <c r="Y137" s="129">
        <v>37623.42</v>
      </c>
      <c r="Z137" s="129">
        <v>138.96</v>
      </c>
      <c r="AA137" s="129">
        <v>1</v>
      </c>
      <c r="AB137"/>
      <c r="AC137" s="131">
        <f t="shared" si="1"/>
        <v>8166</v>
      </c>
      <c r="AD137"/>
    </row>
    <row r="138" spans="1:31">
      <c r="A138" s="82">
        <v>2022</v>
      </c>
      <c r="B138" s="83" t="s">
        <v>83</v>
      </c>
      <c r="C138" s="86"/>
      <c r="D138" s="129">
        <v>17012436.870000001</v>
      </c>
      <c r="E138" s="129">
        <v>229151.86</v>
      </c>
      <c r="F138" s="129">
        <v>6165869.7399999863</v>
      </c>
      <c r="G138" s="129">
        <v>7426</v>
      </c>
      <c r="H138" s="129">
        <v>2236158.580000001</v>
      </c>
      <c r="I138" s="129">
        <v>683</v>
      </c>
      <c r="J138" s="129">
        <v>4825864.5499999989</v>
      </c>
      <c r="K138" s="129">
        <v>14174.190000000008</v>
      </c>
      <c r="L138" s="129">
        <v>74</v>
      </c>
      <c r="M138" s="129">
        <v>1934978.2400000002</v>
      </c>
      <c r="N138" s="129">
        <v>6469.54</v>
      </c>
      <c r="O138" s="129">
        <v>6</v>
      </c>
      <c r="P138" s="129">
        <v>1394588.4</v>
      </c>
      <c r="Q138" s="129">
        <v>4067.76</v>
      </c>
      <c r="R138" s="129">
        <v>2</v>
      </c>
      <c r="S138" s="129">
        <v>28769.85</v>
      </c>
      <c r="T138" s="87"/>
      <c r="U138" s="129">
        <v>55</v>
      </c>
      <c r="V138" s="129">
        <v>6078.84</v>
      </c>
      <c r="W138" s="129">
        <v>17.53</v>
      </c>
      <c r="X138" s="129">
        <v>116</v>
      </c>
      <c r="Y138" s="129">
        <v>39812.04</v>
      </c>
      <c r="Z138" s="129">
        <v>138.96</v>
      </c>
      <c r="AA138" s="129">
        <v>1</v>
      </c>
      <c r="AB138"/>
      <c r="AC138" s="131">
        <f t="shared" si="1"/>
        <v>8192</v>
      </c>
      <c r="AD138"/>
    </row>
    <row r="139" spans="1:31">
      <c r="A139" s="82">
        <v>2022</v>
      </c>
      <c r="B139" s="83" t="s">
        <v>84</v>
      </c>
      <c r="C139" s="86"/>
      <c r="D139" s="129">
        <v>17747489.990000002</v>
      </c>
      <c r="E139" s="129">
        <v>216120.18</v>
      </c>
      <c r="F139" s="129">
        <v>5934473.780000004</v>
      </c>
      <c r="G139" s="129">
        <v>7453</v>
      </c>
      <c r="H139" s="129">
        <v>2199402.1300000018</v>
      </c>
      <c r="I139" s="129">
        <v>685</v>
      </c>
      <c r="J139" s="129">
        <v>5014403.0900000008</v>
      </c>
      <c r="K139" s="129">
        <v>14082.189999999999</v>
      </c>
      <c r="L139" s="129">
        <v>74</v>
      </c>
      <c r="M139" s="129">
        <v>2281746.5299999998</v>
      </c>
      <c r="N139" s="129">
        <v>6455.4299999999994</v>
      </c>
      <c r="O139" s="129">
        <v>6</v>
      </c>
      <c r="P139" s="129">
        <v>1728016.8</v>
      </c>
      <c r="Q139" s="129">
        <v>4151.87</v>
      </c>
      <c r="R139" s="129">
        <v>2</v>
      </c>
      <c r="S139" s="129">
        <v>28751.29</v>
      </c>
      <c r="T139" s="87"/>
      <c r="U139" s="129">
        <v>58</v>
      </c>
      <c r="V139" s="129">
        <v>5996.1100000000024</v>
      </c>
      <c r="W139" s="129">
        <v>17.349999999999998</v>
      </c>
      <c r="X139" s="129">
        <v>116</v>
      </c>
      <c r="Y139" s="129">
        <v>45057.78</v>
      </c>
      <c r="Z139" s="129">
        <v>138.96</v>
      </c>
      <c r="AA139" s="129">
        <v>1</v>
      </c>
      <c r="AB139"/>
      <c r="AC139" s="131">
        <f t="shared" si="1"/>
        <v>8221</v>
      </c>
      <c r="AD139"/>
    </row>
    <row r="140" spans="1:31">
      <c r="A140" s="82">
        <v>2022</v>
      </c>
      <c r="B140" s="83" t="s">
        <v>85</v>
      </c>
      <c r="C140" s="86"/>
      <c r="D140" s="129">
        <v>14825218.609999998</v>
      </c>
      <c r="E140" s="129">
        <v>177422.69</v>
      </c>
      <c r="F140" s="129">
        <v>4679539.0600000015</v>
      </c>
      <c r="G140" s="129">
        <v>7476</v>
      </c>
      <c r="H140" s="129">
        <v>1854665.2400000009</v>
      </c>
      <c r="I140" s="129">
        <v>685</v>
      </c>
      <c r="J140" s="129">
        <v>4464950.9099999992</v>
      </c>
      <c r="K140" s="129">
        <v>13483.1</v>
      </c>
      <c r="L140" s="129">
        <v>74</v>
      </c>
      <c r="M140" s="129">
        <v>2140775.77</v>
      </c>
      <c r="N140" s="129">
        <v>6285.86</v>
      </c>
      <c r="O140" s="129">
        <v>6</v>
      </c>
      <c r="P140" s="129">
        <v>1377140.8</v>
      </c>
      <c r="Q140" s="129">
        <v>4073.58</v>
      </c>
      <c r="R140" s="129">
        <v>2</v>
      </c>
      <c r="S140" s="129">
        <v>27629.97</v>
      </c>
      <c r="T140" s="87"/>
      <c r="U140" s="129">
        <v>49</v>
      </c>
      <c r="V140" s="129">
        <v>5965.8000000000011</v>
      </c>
      <c r="W140" s="129">
        <v>16.819999999999997</v>
      </c>
      <c r="X140" s="129">
        <v>116</v>
      </c>
      <c r="Y140" s="129">
        <v>48809.7</v>
      </c>
      <c r="Z140" s="129">
        <v>138.96</v>
      </c>
      <c r="AA140" s="129">
        <v>1</v>
      </c>
      <c r="AB140"/>
      <c r="AC140" s="131">
        <f t="shared" si="1"/>
        <v>8244</v>
      </c>
      <c r="AD140"/>
    </row>
    <row r="141" spans="1:31">
      <c r="A141" s="82">
        <v>2022</v>
      </c>
      <c r="B141" s="83" t="s">
        <v>86</v>
      </c>
      <c r="C141" s="86"/>
      <c r="D141" s="129">
        <v>13962206.960000001</v>
      </c>
      <c r="E141" s="129">
        <v>150969.89999999997</v>
      </c>
      <c r="F141" s="129">
        <v>4183786.8000000073</v>
      </c>
      <c r="G141" s="129">
        <v>7520</v>
      </c>
      <c r="H141" s="129">
        <v>1704880.0399999991</v>
      </c>
      <c r="I141" s="129">
        <v>685</v>
      </c>
      <c r="J141" s="129">
        <v>4385549.78</v>
      </c>
      <c r="K141" s="129">
        <v>12776.789999999997</v>
      </c>
      <c r="L141" s="129">
        <v>74</v>
      </c>
      <c r="M141" s="129">
        <v>2068666.9300000002</v>
      </c>
      <c r="N141" s="129">
        <v>6250.63</v>
      </c>
      <c r="O141" s="129">
        <v>6</v>
      </c>
      <c r="P141" s="129">
        <v>1261226.45</v>
      </c>
      <c r="Q141" s="129">
        <v>3651.73</v>
      </c>
      <c r="R141" s="129">
        <v>2</v>
      </c>
      <c r="S141" s="129">
        <v>26731.219999999998</v>
      </c>
      <c r="T141" s="87"/>
      <c r="U141" s="129">
        <v>57</v>
      </c>
      <c r="V141" s="129">
        <v>6000.8000000000011</v>
      </c>
      <c r="W141" s="129">
        <v>15.160000000000002</v>
      </c>
      <c r="X141" s="129">
        <v>116</v>
      </c>
      <c r="Y141" s="129">
        <v>56869.38</v>
      </c>
      <c r="Z141" s="129">
        <v>138.96</v>
      </c>
      <c r="AA141" s="129">
        <v>1</v>
      </c>
      <c r="AB141"/>
      <c r="AC141" s="131">
        <f t="shared" si="1"/>
        <v>8288</v>
      </c>
      <c r="AD141"/>
    </row>
    <row r="142" spans="1:31">
      <c r="A142" s="82">
        <v>2022</v>
      </c>
      <c r="B142" s="83" t="s">
        <v>87</v>
      </c>
      <c r="C142" s="86"/>
      <c r="D142" s="129">
        <v>14546118.099999998</v>
      </c>
      <c r="E142" s="129">
        <v>89129.83</v>
      </c>
      <c r="F142" s="129">
        <v>4516455.0099999923</v>
      </c>
      <c r="G142" s="129">
        <v>7532</v>
      </c>
      <c r="H142" s="129">
        <v>1774518.9500000009</v>
      </c>
      <c r="I142" s="129">
        <v>685</v>
      </c>
      <c r="J142" s="129">
        <v>4483335.6899999985</v>
      </c>
      <c r="K142" s="129">
        <v>12955.39</v>
      </c>
      <c r="L142" s="129">
        <v>75</v>
      </c>
      <c r="M142" s="129">
        <v>1842557.25</v>
      </c>
      <c r="N142" s="129">
        <v>6195.91</v>
      </c>
      <c r="O142" s="129">
        <v>6</v>
      </c>
      <c r="P142" s="129">
        <v>1496039.6</v>
      </c>
      <c r="Q142" s="129">
        <v>3921.0299999999997</v>
      </c>
      <c r="R142" s="129">
        <v>2</v>
      </c>
      <c r="S142" s="129">
        <v>29006.21</v>
      </c>
      <c r="T142" s="87"/>
      <c r="U142" s="129">
        <v>58</v>
      </c>
      <c r="V142" s="129">
        <v>5950.71</v>
      </c>
      <c r="W142" s="129">
        <v>15.309999999999999</v>
      </c>
      <c r="X142" s="129">
        <v>116</v>
      </c>
      <c r="Y142" s="129">
        <v>60273.9</v>
      </c>
      <c r="Z142" s="129">
        <v>138.96</v>
      </c>
      <c r="AA142" s="129">
        <v>1</v>
      </c>
      <c r="AB142"/>
      <c r="AC142" s="131">
        <f t="shared" si="1"/>
        <v>8301</v>
      </c>
      <c r="AD142"/>
    </row>
    <row r="143" spans="1:31" ht="13.8" thickBot="1">
      <c r="A143" s="82">
        <v>2022</v>
      </c>
      <c r="B143" s="83" t="s">
        <v>88</v>
      </c>
      <c r="C143" s="86"/>
      <c r="D143" s="129">
        <v>15060786.930000003</v>
      </c>
      <c r="E143" s="129">
        <v>37383.910000000003</v>
      </c>
      <c r="F143" s="129">
        <v>5243334.9000000218</v>
      </c>
      <c r="G143" s="129">
        <v>7547</v>
      </c>
      <c r="H143" s="129">
        <v>1920836.9799999953</v>
      </c>
      <c r="I143" s="129">
        <v>683</v>
      </c>
      <c r="J143" s="129">
        <v>4392983.1899999995</v>
      </c>
      <c r="K143" s="129">
        <v>12985.649999999996</v>
      </c>
      <c r="L143" s="129">
        <v>76</v>
      </c>
      <c r="M143" s="129">
        <v>1545340.32</v>
      </c>
      <c r="N143" s="129">
        <v>5108.7400000000007</v>
      </c>
      <c r="O143" s="129">
        <v>6</v>
      </c>
      <c r="P143" s="129">
        <v>1228625.2</v>
      </c>
      <c r="Q143" s="129">
        <v>3906.2400000000002</v>
      </c>
      <c r="R143" s="129">
        <v>2</v>
      </c>
      <c r="S143" s="129">
        <v>29758.050000000003</v>
      </c>
      <c r="T143" s="88"/>
      <c r="U143" s="129">
        <v>58</v>
      </c>
      <c r="V143" s="129">
        <v>6052.68</v>
      </c>
      <c r="W143" s="129">
        <v>16.12</v>
      </c>
      <c r="X143" s="129">
        <v>116</v>
      </c>
      <c r="Y143" s="129">
        <v>65589.119999999995</v>
      </c>
      <c r="Z143" s="129">
        <v>138.96</v>
      </c>
      <c r="AA143" s="129">
        <v>1</v>
      </c>
      <c r="AB143"/>
      <c r="AC143" s="131">
        <f t="shared" si="1"/>
        <v>8315</v>
      </c>
      <c r="AD143"/>
    </row>
    <row r="144" spans="1:31">
      <c r="A144" s="65"/>
      <c r="B144" s="65"/>
      <c r="C144" s="86"/>
      <c r="D144" s="65"/>
      <c r="E144" s="84"/>
      <c r="F144" s="89"/>
      <c r="G144" s="89"/>
      <c r="H144" s="65"/>
      <c r="I144" s="90"/>
      <c r="J144" s="65"/>
      <c r="K144" s="90"/>
      <c r="L144" s="65"/>
      <c r="M144" s="65"/>
      <c r="N144" s="90"/>
      <c r="O144" s="65"/>
      <c r="P144" s="65"/>
      <c r="Q144" s="90"/>
      <c r="R144" s="65"/>
      <c r="S144" s="65"/>
      <c r="T144" s="90"/>
      <c r="U144" s="65"/>
      <c r="V144" s="65"/>
      <c r="W144" s="90"/>
      <c r="X144" s="65"/>
      <c r="Y144" s="65"/>
      <c r="Z144" s="90"/>
      <c r="AA144" s="65"/>
      <c r="AB144" s="65"/>
      <c r="AC144" s="91"/>
      <c r="AD144" s="91"/>
      <c r="AE144" s="65"/>
    </row>
    <row r="145" spans="1:31" ht="13.8">
      <c r="A145" s="65"/>
      <c r="B145" s="65"/>
      <c r="C145" s="65"/>
      <c r="D145" s="65"/>
      <c r="E145" s="92"/>
      <c r="F145" s="93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84"/>
      <c r="V145" s="65"/>
      <c r="W145" s="65"/>
      <c r="X145" s="65"/>
      <c r="Y145" s="65"/>
      <c r="Z145" s="65"/>
      <c r="AA145" s="65"/>
      <c r="AB145" s="65"/>
      <c r="AC145" s="91"/>
      <c r="AD145" s="91"/>
      <c r="AE145" s="65"/>
    </row>
    <row r="146" spans="1:31">
      <c r="A146" s="84"/>
      <c r="B146" s="84"/>
      <c r="C146" s="84"/>
      <c r="D146" s="130">
        <f>SUM(D24:D143)</f>
        <v>1880813669.1575117</v>
      </c>
      <c r="E146" s="130">
        <f t="shared" ref="E146:F146" si="2">SUM(E24:E143)</f>
        <v>15063930.180000002</v>
      </c>
      <c r="F146" s="130">
        <f t="shared" si="2"/>
        <v>524811639</v>
      </c>
      <c r="G146" s="130">
        <f t="shared" ref="G146:AC146" si="3">SUM(G24:G143)</f>
        <v>787689</v>
      </c>
      <c r="H146" s="130">
        <f t="shared" si="3"/>
        <v>215537732.31999996</v>
      </c>
      <c r="I146" s="130">
        <f t="shared" si="3"/>
        <v>77935</v>
      </c>
      <c r="J146" s="130">
        <f t="shared" si="3"/>
        <v>447908589.19000012</v>
      </c>
      <c r="K146" s="130">
        <f t="shared" si="3"/>
        <v>1381187.3099999996</v>
      </c>
      <c r="L146" s="130">
        <f t="shared" si="3"/>
        <v>9452</v>
      </c>
      <c r="M146" s="130">
        <f t="shared" si="3"/>
        <v>344048722.3499999</v>
      </c>
      <c r="N146" s="130">
        <f t="shared" si="3"/>
        <v>946679.82999999984</v>
      </c>
      <c r="O146" s="130">
        <f t="shared" si="3"/>
        <v>1158</v>
      </c>
      <c r="P146" s="130">
        <f t="shared" si="3"/>
        <v>288005696.88999999</v>
      </c>
      <c r="Q146" s="130">
        <f t="shared" si="3"/>
        <v>627041.36000000022</v>
      </c>
      <c r="R146" s="130">
        <f t="shared" si="3"/>
        <v>248</v>
      </c>
      <c r="S146" s="130">
        <f t="shared" si="3"/>
        <v>3622555.8400000012</v>
      </c>
      <c r="T146" s="130">
        <f t="shared" si="3"/>
        <v>0</v>
      </c>
      <c r="U146" s="130">
        <f t="shared" si="3"/>
        <v>6993</v>
      </c>
      <c r="V146" s="130">
        <f t="shared" si="3"/>
        <v>923773.1800000004</v>
      </c>
      <c r="W146" s="130">
        <f t="shared" si="3"/>
        <v>2520.5699999999997</v>
      </c>
      <c r="X146" s="130">
        <f t="shared" si="3"/>
        <v>14027</v>
      </c>
      <c r="Y146" s="130">
        <f t="shared" si="3"/>
        <v>10532818.859999994</v>
      </c>
      <c r="Z146" s="130">
        <f t="shared" si="3"/>
        <v>28428.109999999997</v>
      </c>
      <c r="AA146" s="130">
        <f t="shared" si="3"/>
        <v>120</v>
      </c>
      <c r="AB146" s="141"/>
      <c r="AC146" s="130">
        <f t="shared" si="3"/>
        <v>876602</v>
      </c>
      <c r="AD146" s="65"/>
      <c r="AE146" s="65"/>
    </row>
    <row r="147" spans="1:31">
      <c r="A147" s="65"/>
      <c r="B147" s="65"/>
      <c r="C147" s="65"/>
      <c r="D147" s="130">
        <v>1880813669.1575117</v>
      </c>
      <c r="E147" s="130">
        <v>15063930.180000002</v>
      </c>
      <c r="F147" s="130">
        <v>524811639</v>
      </c>
      <c r="G147" s="130">
        <v>787689</v>
      </c>
      <c r="H147" s="130">
        <v>215537732.31999996</v>
      </c>
      <c r="I147" s="130">
        <v>77935</v>
      </c>
      <c r="J147" s="130">
        <v>447908589.19000012</v>
      </c>
      <c r="K147" s="130">
        <v>1381187.3099999996</v>
      </c>
      <c r="L147" s="130">
        <v>9452</v>
      </c>
      <c r="M147" s="130">
        <v>344048722.3499999</v>
      </c>
      <c r="N147" s="130">
        <v>946679.82999999984</v>
      </c>
      <c r="O147" s="130">
        <v>1158</v>
      </c>
      <c r="P147" s="130">
        <v>288005696.88999999</v>
      </c>
      <c r="Q147" s="130">
        <v>627041.36000000022</v>
      </c>
      <c r="R147" s="130">
        <v>248</v>
      </c>
      <c r="S147" s="130">
        <v>3622555.8400000012</v>
      </c>
      <c r="T147" s="130">
        <v>0</v>
      </c>
      <c r="U147" s="130">
        <v>6993</v>
      </c>
      <c r="V147" s="130">
        <v>923773.1800000004</v>
      </c>
      <c r="W147" s="130">
        <v>2520.5699999999997</v>
      </c>
      <c r="X147" s="130">
        <v>14027</v>
      </c>
      <c r="Y147" s="130">
        <v>10532818.859999994</v>
      </c>
      <c r="Z147" s="130">
        <v>28428.109999999997</v>
      </c>
      <c r="AA147" s="130">
        <v>120</v>
      </c>
      <c r="AB147" s="65"/>
      <c r="AC147" s="130">
        <f>SUM('Power Purchased Model'!L3:L86)</f>
        <v>629506</v>
      </c>
      <c r="AD147" s="65"/>
      <c r="AE147" s="65"/>
    </row>
    <row r="148" spans="1:31">
      <c r="A148" s="65"/>
      <c r="B148" s="65"/>
      <c r="C148" s="65"/>
      <c r="D148" s="130">
        <f>D146-D147</f>
        <v>0</v>
      </c>
      <c r="E148" s="130">
        <f t="shared" ref="E148:F148" si="4">E146-E147</f>
        <v>0</v>
      </c>
      <c r="F148" s="130">
        <f t="shared" si="4"/>
        <v>0</v>
      </c>
      <c r="G148" s="130">
        <f t="shared" ref="G148" si="5">G146-G147</f>
        <v>0</v>
      </c>
      <c r="H148" s="130">
        <f t="shared" ref="H148" si="6">H146-H147</f>
        <v>0</v>
      </c>
      <c r="I148" s="130">
        <f t="shared" ref="I148" si="7">I146-I147</f>
        <v>0</v>
      </c>
      <c r="J148" s="130">
        <f t="shared" ref="J148" si="8">J146-J147</f>
        <v>0</v>
      </c>
      <c r="K148" s="130">
        <f t="shared" ref="K148" si="9">K146-K147</f>
        <v>0</v>
      </c>
      <c r="L148" s="130">
        <f t="shared" ref="L148" si="10">L146-L147</f>
        <v>0</v>
      </c>
      <c r="M148" s="130">
        <f t="shared" ref="M148" si="11">M146-M147</f>
        <v>0</v>
      </c>
      <c r="N148" s="130">
        <f t="shared" ref="N148" si="12">N146-N147</f>
        <v>0</v>
      </c>
      <c r="O148" s="130">
        <f t="shared" ref="O148" si="13">O146-O147</f>
        <v>0</v>
      </c>
      <c r="P148" s="130">
        <f t="shared" ref="P148" si="14">P146-P147</f>
        <v>0</v>
      </c>
      <c r="Q148" s="130">
        <f t="shared" ref="Q148" si="15">Q146-Q147</f>
        <v>0</v>
      </c>
      <c r="R148" s="130">
        <f t="shared" ref="R148" si="16">R146-R147</f>
        <v>0</v>
      </c>
      <c r="S148" s="130">
        <f t="shared" ref="S148" si="17">S146-S147</f>
        <v>0</v>
      </c>
      <c r="T148" s="130">
        <f t="shared" ref="T148" si="18">T146-T147</f>
        <v>0</v>
      </c>
      <c r="U148" s="130">
        <f t="shared" ref="U148" si="19">U146-U147</f>
        <v>0</v>
      </c>
      <c r="V148" s="130">
        <f t="shared" ref="V148" si="20">V146-V147</f>
        <v>0</v>
      </c>
      <c r="W148" s="130">
        <f t="shared" ref="W148" si="21">W146-W147</f>
        <v>0</v>
      </c>
      <c r="X148" s="130">
        <f t="shared" ref="X148" si="22">X146-X147</f>
        <v>0</v>
      </c>
      <c r="Y148" s="130">
        <f t="shared" ref="Y148" si="23">Y146-Y147</f>
        <v>0</v>
      </c>
      <c r="Z148" s="130">
        <f t="shared" ref="Z148" si="24">Z146-Z147</f>
        <v>0</v>
      </c>
      <c r="AA148" s="130">
        <f t="shared" ref="AA148:AC148" si="25">AA146-AA147</f>
        <v>0</v>
      </c>
      <c r="AB148" s="65"/>
      <c r="AC148" s="130">
        <f t="shared" si="25"/>
        <v>247096</v>
      </c>
      <c r="AD148" s="65"/>
      <c r="AE148" s="65"/>
    </row>
    <row r="149" spans="1:31">
      <c r="A149" s="65"/>
      <c r="B149" s="65"/>
      <c r="C149" s="65"/>
      <c r="D149" s="65"/>
      <c r="E149" s="84"/>
      <c r="F149" s="89"/>
      <c r="G149" s="84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</row>
    <row r="150" spans="1:31">
      <c r="F150" s="130">
        <f>SUM(F60:F143)</f>
        <v>376727338.50000006</v>
      </c>
      <c r="H150" s="130">
        <f>SUM(H60:H143)</f>
        <v>150080146.77000007</v>
      </c>
      <c r="J150" s="130">
        <f>SUM(J60:J143)</f>
        <v>317001314.19</v>
      </c>
      <c r="K150" s="130">
        <f>SUM(K60:K143)</f>
        <v>988399.51000000036</v>
      </c>
      <c r="M150" s="130">
        <f>SUM(M60:M143)</f>
        <v>221818638.10999998</v>
      </c>
      <c r="N150" s="130">
        <f>SUM(N60:N143)</f>
        <v>647311.80999999994</v>
      </c>
      <c r="P150" s="130">
        <f>SUM(P60:P143)</f>
        <v>178590010.00999993</v>
      </c>
      <c r="Q150" s="130">
        <f>SUM(Q60:Q143)</f>
        <v>420039.43</v>
      </c>
      <c r="S150" s="130">
        <f>SUM(S60:S143)</f>
        <v>2455659.3399999994</v>
      </c>
      <c r="V150" s="130">
        <f>SUM(V60:V143)</f>
        <v>596034.48000000021</v>
      </c>
      <c r="W150" s="130">
        <f>SUM(W60:W143)</f>
        <v>1623.5899999999992</v>
      </c>
      <c r="Y150" s="130">
        <f>SUM(Y60:Y143)</f>
        <v>6267848.9300000016</v>
      </c>
      <c r="Z150" s="130">
        <f>SUM(Z60:Z143)</f>
        <v>16934.389999999989</v>
      </c>
    </row>
    <row r="151" spans="1:31">
      <c r="F151" s="142">
        <f>SUM('Rate Class Energy Model'!H3:H9)</f>
        <v>376727338.5</v>
      </c>
      <c r="H151" s="142">
        <f>SUM('Rate Class Energy Model'!I3:I9)</f>
        <v>150080146.77000004</v>
      </c>
      <c r="J151" s="142">
        <f>SUM('Rate Class Energy Model'!J3:J9)</f>
        <v>317001314.19</v>
      </c>
      <c r="K151" s="130">
        <f>SUM('Rate Class Load Model'!B2:B8)</f>
        <v>988399.51</v>
      </c>
      <c r="M151" s="142">
        <f>SUM('Rate Class Energy Model'!K3:K9)</f>
        <v>221818638.10999998</v>
      </c>
      <c r="N151" s="130">
        <f>SUM('Rate Class Load Model'!C2:C8)</f>
        <v>647311.81000000017</v>
      </c>
      <c r="P151" s="142">
        <f>SUM('Rate Class Energy Model'!L3:L9)</f>
        <v>178590010.01000002</v>
      </c>
      <c r="Q151" s="130">
        <f>SUM('Rate Class Load Model'!D2:D8)</f>
        <v>420039.43</v>
      </c>
      <c r="S151" s="142">
        <f>SUM('Rate Class Energy Model'!M3:M9)</f>
        <v>2455659.34</v>
      </c>
      <c r="V151" s="142">
        <f>SUM('Rate Class Energy Model'!N3:N9)</f>
        <v>596034.48</v>
      </c>
      <c r="W151" s="130">
        <f>SUM('Rate Class Load Model'!E2:E8)</f>
        <v>1623.5899999999997</v>
      </c>
      <c r="Y151" s="142">
        <f>SUM('Rate Class Energy Model'!O3:O9)</f>
        <v>6267848.9299999997</v>
      </c>
      <c r="Z151" s="130">
        <f>SUM('Rate Class Load Model'!F2:F8)</f>
        <v>16934.39</v>
      </c>
    </row>
    <row r="152" spans="1:31">
      <c r="F152" s="142">
        <f>F150-F151</f>
        <v>0</v>
      </c>
      <c r="H152" s="142">
        <f>H150-H151</f>
        <v>0</v>
      </c>
      <c r="J152" s="142">
        <f>J150-J151</f>
        <v>0</v>
      </c>
      <c r="K152" s="142">
        <f>K150-K151</f>
        <v>0</v>
      </c>
      <c r="M152" s="142">
        <f>M150-M151</f>
        <v>0</v>
      </c>
      <c r="N152" s="142">
        <f>N150-N151</f>
        <v>0</v>
      </c>
      <c r="P152" s="142">
        <f>P150-P151</f>
        <v>0</v>
      </c>
      <c r="Q152" s="142">
        <f>Q150-Q151</f>
        <v>0</v>
      </c>
      <c r="S152" s="142">
        <f>S150-S151</f>
        <v>0</v>
      </c>
      <c r="V152" s="142">
        <f>V150-V151</f>
        <v>0</v>
      </c>
      <c r="W152" s="142">
        <f>W150-W151</f>
        <v>0</v>
      </c>
      <c r="Y152" s="142">
        <f>Y150-Y151</f>
        <v>0</v>
      </c>
      <c r="Z152" s="142">
        <f>Z150-Z151</f>
        <v>0</v>
      </c>
    </row>
  </sheetData>
  <sheetProtection selectLockedCells="1" selectUnlockedCells="1"/>
  <mergeCells count="12">
    <mergeCell ref="A3:I3"/>
    <mergeCell ref="F20:AA20"/>
    <mergeCell ref="A20:B20"/>
    <mergeCell ref="D20:E20"/>
    <mergeCell ref="Y21:AA21"/>
    <mergeCell ref="F21:G21"/>
    <mergeCell ref="H21:I21"/>
    <mergeCell ref="P21:R21"/>
    <mergeCell ref="S21:U21"/>
    <mergeCell ref="V21:X21"/>
    <mergeCell ref="M21:O21"/>
    <mergeCell ref="J21:L2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M7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3.2"/>
  <cols>
    <col min="1" max="1" width="42.5546875" customWidth="1"/>
    <col min="2" max="5" width="12.5546875" bestFit="1" customWidth="1"/>
    <col min="6" max="8" width="12.5546875" customWidth="1"/>
    <col min="9" max="10" width="12.5546875" bestFit="1" customWidth="1"/>
    <col min="12" max="12" width="12.5546875" customWidth="1"/>
    <col min="13" max="13" width="12.5546875" bestFit="1" customWidth="1"/>
  </cols>
  <sheetData>
    <row r="1" spans="1:11" ht="15.6">
      <c r="A1" s="29" t="s">
        <v>142</v>
      </c>
    </row>
    <row r="2" spans="1:11">
      <c r="I2" s="31" t="s">
        <v>67</v>
      </c>
      <c r="J2" s="31" t="s">
        <v>68</v>
      </c>
    </row>
    <row r="3" spans="1:11" ht="26.4">
      <c r="B3" s="31" t="s">
        <v>55</v>
      </c>
      <c r="C3" s="31" t="s">
        <v>56</v>
      </c>
      <c r="D3" s="31" t="s">
        <v>58</v>
      </c>
      <c r="E3" s="31" t="s">
        <v>59</v>
      </c>
      <c r="F3" s="31" t="s">
        <v>64</v>
      </c>
      <c r="G3" s="31" t="s">
        <v>65</v>
      </c>
      <c r="H3" s="31" t="s">
        <v>66</v>
      </c>
      <c r="I3" s="31" t="s">
        <v>106</v>
      </c>
      <c r="J3" s="31" t="s">
        <v>106</v>
      </c>
    </row>
    <row r="4" spans="1:11">
      <c r="A4" s="14" t="s">
        <v>47</v>
      </c>
      <c r="B4" s="21">
        <f>+'Power Purchased Model'!B116</f>
        <v>199907738.60000002</v>
      </c>
      <c r="C4" s="21">
        <f>+'Power Purchased Model'!B117</f>
        <v>187853870.12</v>
      </c>
      <c r="D4" s="21">
        <f>+'Power Purchased Model'!B118</f>
        <v>188394772.28</v>
      </c>
      <c r="E4" s="21">
        <f>+'Power Purchased Model'!B119</f>
        <v>175614761.14000005</v>
      </c>
      <c r="F4" s="21">
        <f>+'Power Purchased Model'!B120</f>
        <v>171542621.55000001</v>
      </c>
      <c r="G4" s="21">
        <f>+'Power Purchased Model'!B121</f>
        <v>176270206.56999999</v>
      </c>
      <c r="H4" s="21">
        <f>+'Power Purchased Model'!B122</f>
        <v>183346093.11000001</v>
      </c>
    </row>
    <row r="5" spans="1:11">
      <c r="A5" s="14" t="s">
        <v>48</v>
      </c>
      <c r="B5" s="21">
        <f>+'Power Purchased Model'!N116</f>
        <v>132656123.76515472</v>
      </c>
      <c r="C5" s="21">
        <f>+'Power Purchased Model'!N117</f>
        <v>131672163.63775657</v>
      </c>
      <c r="D5" s="21">
        <f>+'Power Purchased Model'!N118</f>
        <v>137602283.78077945</v>
      </c>
      <c r="E5" s="21">
        <f>+'Power Purchased Model'!N119</f>
        <v>137468524.36993077</v>
      </c>
      <c r="F5" s="21">
        <f>+'Power Purchased Model'!N120</f>
        <v>139478521.39753702</v>
      </c>
      <c r="G5" s="21">
        <f>+'Power Purchased Model'!N121</f>
        <v>147408336.09565422</v>
      </c>
      <c r="H5" s="21">
        <f>+'Power Purchased Model'!N122</f>
        <v>151939382.33318695</v>
      </c>
      <c r="I5" s="21">
        <f>+'Power Purchased Model'!N123</f>
        <v>157403059.34893805</v>
      </c>
      <c r="J5" s="21">
        <f>+'Power Purchased Model'!N124</f>
        <v>161915053.67773274</v>
      </c>
    </row>
    <row r="6" spans="1:11">
      <c r="A6" s="14" t="s">
        <v>6</v>
      </c>
      <c r="B6" s="30">
        <f t="shared" ref="B6:D6" si="0">(B5-B4)/B4</f>
        <v>-0.33641326396778765</v>
      </c>
      <c r="C6" s="30">
        <f t="shared" si="0"/>
        <v>-0.29907132840199074</v>
      </c>
      <c r="D6" s="30">
        <f t="shared" si="0"/>
        <v>-0.26960667689722662</v>
      </c>
      <c r="E6" s="30">
        <f>(E5-E4)/E4</f>
        <v>-0.21721543520854206</v>
      </c>
      <c r="F6" s="30">
        <f>(F5-F4)/F4</f>
        <v>-0.18691623027993176</v>
      </c>
      <c r="G6" s="30">
        <f t="shared" ref="G6:H6" si="1">(G5-G4)/G4</f>
        <v>-0.16373652153680446</v>
      </c>
      <c r="H6" s="30">
        <f t="shared" si="1"/>
        <v>-0.17129740941886523</v>
      </c>
    </row>
    <row r="7" spans="1:11">
      <c r="A7" s="14"/>
      <c r="B7" s="30"/>
      <c r="C7" s="30"/>
      <c r="D7" s="30"/>
      <c r="E7" s="30"/>
      <c r="F7" s="30"/>
      <c r="G7" s="30"/>
      <c r="H7" s="30"/>
      <c r="I7" s="21"/>
      <c r="J7" s="21"/>
    </row>
    <row r="8" spans="1:11">
      <c r="A8" s="14"/>
      <c r="B8" s="30"/>
      <c r="C8" s="30"/>
      <c r="D8" s="30"/>
      <c r="E8" s="30"/>
      <c r="F8" s="30"/>
      <c r="G8" s="30"/>
      <c r="H8" s="30"/>
      <c r="I8" s="36"/>
      <c r="J8" s="36"/>
    </row>
    <row r="9" spans="1:11">
      <c r="A9" s="14"/>
      <c r="B9" s="30"/>
      <c r="C9" s="30"/>
      <c r="D9" s="30"/>
      <c r="E9" s="30"/>
      <c r="F9" s="30"/>
      <c r="G9" s="30"/>
      <c r="H9" s="30"/>
    </row>
    <row r="10" spans="1:11">
      <c r="A10" s="14" t="s">
        <v>60</v>
      </c>
      <c r="B10" s="6">
        <f>'Rate Class Energy Model'!G3</f>
        <v>195938264.66</v>
      </c>
      <c r="C10" s="6">
        <f>'Rate Class Energy Model'!G4</f>
        <v>183826118.34999996</v>
      </c>
      <c r="D10" s="6">
        <f>'Rate Class Energy Model'!G5</f>
        <v>183750499.39999995</v>
      </c>
      <c r="E10" s="6">
        <f>'Rate Class Energy Model'!G6</f>
        <v>171687024.79999998</v>
      </c>
      <c r="F10" s="6">
        <f>'Rate Class Energy Model'!G7</f>
        <v>167477565.66000003</v>
      </c>
      <c r="G10" s="6">
        <f>'Rate Class Energy Model'!G8</f>
        <v>172196903.11000004</v>
      </c>
      <c r="H10" s="6">
        <f>'Rate Class Energy Model'!G9</f>
        <v>178660614.34999996</v>
      </c>
      <c r="I10" s="6">
        <f>'Rate Class Energy Model'!G10</f>
        <v>174108951.31158254</v>
      </c>
      <c r="J10" s="6">
        <f>'Rate Class Energy Model'!G11</f>
        <v>174659233.5553008</v>
      </c>
    </row>
    <row r="11" spans="1:11">
      <c r="A11" s="14"/>
      <c r="I11" s="6"/>
      <c r="J11" s="6"/>
    </row>
    <row r="12" spans="1:11" ht="15.6">
      <c r="A12" s="29" t="s">
        <v>49</v>
      </c>
      <c r="B12" s="1"/>
      <c r="E12" s="36"/>
    </row>
    <row r="13" spans="1:11">
      <c r="A13" s="28" t="str">
        <f>'Rate Class Energy Model'!H2</f>
        <v>Residential</v>
      </c>
      <c r="B13" s="1"/>
      <c r="E13" s="6"/>
      <c r="F13" s="6"/>
      <c r="G13" s="6"/>
      <c r="H13" s="6"/>
      <c r="I13" s="6"/>
      <c r="J13" s="6"/>
    </row>
    <row r="14" spans="1:11">
      <c r="A14" t="s">
        <v>41</v>
      </c>
      <c r="B14" s="6">
        <f>'Rate Class Customer Model'!B11</f>
        <v>6293.916666666667</v>
      </c>
      <c r="C14" s="6">
        <f>'Rate Class Customer Model'!B12</f>
        <v>6408.583333333333</v>
      </c>
      <c r="D14" s="6">
        <f>'Rate Class Customer Model'!B13</f>
        <v>6516.333333333333</v>
      </c>
      <c r="E14" s="6">
        <f>'Rate Class Customer Model'!B14</f>
        <v>6652</v>
      </c>
      <c r="F14" s="6">
        <f>'Rate Class Customer Model'!B15</f>
        <v>6823.416666666667</v>
      </c>
      <c r="G14" s="6">
        <f>'Rate Class Customer Model'!B16</f>
        <v>7107.416666666667</v>
      </c>
      <c r="H14" s="6">
        <f>'Rate Class Customer Model'!B17</f>
        <v>7417.333333333333</v>
      </c>
      <c r="I14" s="6">
        <f>'Rate Class Customer Model'!B18</f>
        <v>7623.1698783464881</v>
      </c>
      <c r="J14" s="6">
        <f>'Rate Class Customer Model'!B19</f>
        <v>7834.7185413620182</v>
      </c>
      <c r="K14" s="36"/>
    </row>
    <row r="15" spans="1:11">
      <c r="A15" t="s">
        <v>42</v>
      </c>
      <c r="B15" s="35">
        <f>'Rate Class Energy Model'!H3</f>
        <v>50305889.600000009</v>
      </c>
      <c r="C15" s="6">
        <f>'Rate Class Energy Model'!H4</f>
        <v>48524267.109999999</v>
      </c>
      <c r="D15" s="6">
        <f>'Rate Class Energy Model'!H5</f>
        <v>52869436.35999997</v>
      </c>
      <c r="E15" s="6">
        <f>'Rate Class Energy Model'!H6</f>
        <v>51949016.819999948</v>
      </c>
      <c r="F15" s="6">
        <f>'Rate Class Energy Model'!H7</f>
        <v>55641421.240000024</v>
      </c>
      <c r="G15" s="6">
        <f>'Rate Class Energy Model'!H8</f>
        <v>57807950.240000054</v>
      </c>
      <c r="H15" s="6">
        <f>'Rate Class Energy Model'!H9</f>
        <v>59629357.129999965</v>
      </c>
      <c r="I15" s="6">
        <f>'Rate Class Energy Model'!H28</f>
        <v>59512317.286662422</v>
      </c>
      <c r="J15" s="6">
        <f>'Rate Class Energy Model'!H29</f>
        <v>61627888.120042093</v>
      </c>
      <c r="K15" s="36"/>
    </row>
    <row r="16" spans="1:11">
      <c r="C16" s="36"/>
      <c r="D16" s="36"/>
      <c r="F16" s="36"/>
      <c r="G16" s="36"/>
      <c r="H16" s="36"/>
      <c r="I16" s="36"/>
      <c r="J16" s="36"/>
      <c r="K16" s="36"/>
    </row>
    <row r="17" spans="1:11">
      <c r="A17" s="28" t="str">
        <f>'Rate Class Energy Model'!I2</f>
        <v>General Service &lt; 50 kW</v>
      </c>
      <c r="B17" s="1"/>
      <c r="C17" s="1"/>
      <c r="D17" s="6"/>
      <c r="E17" s="6"/>
      <c r="F17" s="6"/>
      <c r="G17" s="6"/>
      <c r="H17" s="6"/>
      <c r="I17" s="6"/>
      <c r="J17" s="6"/>
      <c r="K17" s="36"/>
    </row>
    <row r="18" spans="1:11" ht="13.5" customHeight="1">
      <c r="A18" t="s">
        <v>41</v>
      </c>
      <c r="B18" s="6">
        <f>'Rate Class Customer Model'!C11</f>
        <v>637.25</v>
      </c>
      <c r="C18" s="6">
        <f>'Rate Class Customer Model'!C12</f>
        <v>642.08333333333337</v>
      </c>
      <c r="D18" s="6">
        <f>'Rate Class Customer Model'!C13</f>
        <v>648</v>
      </c>
      <c r="E18" s="6">
        <f>'Rate Class Customer Model'!C14</f>
        <v>654.83333333333337</v>
      </c>
      <c r="F18" s="6">
        <f>'Rate Class Customer Model'!C15</f>
        <v>664.91666666666663</v>
      </c>
      <c r="G18" s="6">
        <f>'Rate Class Customer Model'!C16</f>
        <v>672.33333333333337</v>
      </c>
      <c r="H18" s="6">
        <f>'Rate Class Customer Model'!C17</f>
        <v>682.25</v>
      </c>
      <c r="I18" s="6">
        <f>'Rate Class Customer Model'!C18</f>
        <v>690.05307319726307</v>
      </c>
      <c r="J18" s="6">
        <f>'Rate Class Customer Model'!C19</f>
        <v>697.94539220078752</v>
      </c>
      <c r="K18" s="36"/>
    </row>
    <row r="19" spans="1:11">
      <c r="A19" t="s">
        <v>42</v>
      </c>
      <c r="B19" s="6">
        <f>'Rate Class Energy Model'!I3</f>
        <v>21381406.040000003</v>
      </c>
      <c r="C19" s="6">
        <f>'Rate Class Energy Model'!I4</f>
        <v>20751634.890000001</v>
      </c>
      <c r="D19" s="6">
        <f>'Rate Class Energy Model'!I5</f>
        <v>21318676.38000001</v>
      </c>
      <c r="E19" s="6">
        <f>'Rate Class Energy Model'!I6</f>
        <v>21167457.630000006</v>
      </c>
      <c r="F19" s="6">
        <f>'Rate Class Energy Model'!I7</f>
        <v>21397530.899999999</v>
      </c>
      <c r="G19" s="6">
        <f>'Rate Class Energy Model'!I8</f>
        <v>21062931.550000001</v>
      </c>
      <c r="H19" s="6">
        <f>'Rate Class Energy Model'!I9</f>
        <v>23000509.379999999</v>
      </c>
      <c r="I19" s="6">
        <f>'Rate Class Energy Model'!I28</f>
        <v>22590993.822631773</v>
      </c>
      <c r="J19" s="6">
        <f>'Rate Class Energy Model'!I29</f>
        <v>23022734.745878451</v>
      </c>
      <c r="K19" s="36"/>
    </row>
    <row r="20" spans="1:11">
      <c r="D20" s="36"/>
      <c r="F20" s="36"/>
      <c r="G20" s="36"/>
      <c r="H20" s="36"/>
      <c r="I20" s="36"/>
      <c r="J20" s="36"/>
      <c r="K20" s="36"/>
    </row>
    <row r="21" spans="1:11">
      <c r="A21" s="28" t="str">
        <f>'Rate Class Energy Model'!J2</f>
        <v>General Service 50 to 499 kW</v>
      </c>
      <c r="B21" s="1"/>
      <c r="C21" s="1"/>
      <c r="K21" s="36"/>
    </row>
    <row r="22" spans="1:11">
      <c r="A22" t="s">
        <v>41</v>
      </c>
      <c r="B22" s="6">
        <f>'Rate Class Customer Model'!D11</f>
        <v>79.916666666666671</v>
      </c>
      <c r="C22" s="6">
        <f>'Rate Class Customer Model'!D12</f>
        <v>80.083333333333329</v>
      </c>
      <c r="D22" s="6">
        <f>'Rate Class Customer Model'!D13</f>
        <v>79.75</v>
      </c>
      <c r="E22" s="6">
        <f>'Rate Class Customer Model'!D14</f>
        <v>78.083333333333329</v>
      </c>
      <c r="F22" s="6">
        <f>'Rate Class Customer Model'!D15</f>
        <v>81</v>
      </c>
      <c r="G22" s="6">
        <f>'Rate Class Customer Model'!D16</f>
        <v>77.333333333333329</v>
      </c>
      <c r="H22" s="6">
        <f>'Rate Class Customer Model'!D17</f>
        <v>74.166666666666671</v>
      </c>
      <c r="I22" s="6">
        <f>'Rate Class Customer Model'!D18</f>
        <v>73.249386876733439</v>
      </c>
      <c r="J22" s="6">
        <f>'Rate Class Customer Model'!D19</f>
        <v>72.343451835739799</v>
      </c>
      <c r="K22" s="36"/>
    </row>
    <row r="23" spans="1:11">
      <c r="A23" t="s">
        <v>42</v>
      </c>
      <c r="B23" s="6">
        <f>'Rate Class Energy Model'!J3</f>
        <v>44669118.74000001</v>
      </c>
      <c r="C23" s="6">
        <f>'Rate Class Energy Model'!J4</f>
        <v>42593613.240000002</v>
      </c>
      <c r="D23" s="6">
        <f>'Rate Class Energy Model'!J5</f>
        <v>42394829.209999993</v>
      </c>
      <c r="E23" s="6">
        <f>'Rate Class Energy Model'!J6</f>
        <v>42725411.180000007</v>
      </c>
      <c r="F23" s="6">
        <f>'Rate Class Energy Model'!J7</f>
        <v>43788589.379999995</v>
      </c>
      <c r="G23" s="6">
        <f>'Rate Class Energy Model'!J8</f>
        <v>46750239.970000006</v>
      </c>
      <c r="H23" s="6">
        <f>'Rate Class Energy Model'!J9</f>
        <v>54079512.469999991</v>
      </c>
      <c r="I23" s="6">
        <f>'Rate Class Energy Model'!J28</f>
        <v>52318522.652063899</v>
      </c>
      <c r="J23" s="6">
        <f>'Rate Class Energy Model'!J29</f>
        <v>51946338.95725169</v>
      </c>
      <c r="K23" s="36"/>
    </row>
    <row r="24" spans="1:11">
      <c r="A24" t="s">
        <v>43</v>
      </c>
      <c r="B24" s="6">
        <f>'Rate Class Load Model'!B2</f>
        <v>143222.89000000001</v>
      </c>
      <c r="C24" s="6">
        <f>'Rate Class Load Model'!B3</f>
        <v>137627.43000000002</v>
      </c>
      <c r="D24" s="6">
        <f>'Rate Class Load Model'!B4</f>
        <v>131465.72999999998</v>
      </c>
      <c r="E24" s="6">
        <f>'Rate Class Load Model'!B5</f>
        <v>131386.22</v>
      </c>
      <c r="F24" s="6">
        <f>'Rate Class Load Model'!B6</f>
        <v>137702.44</v>
      </c>
      <c r="G24" s="6">
        <f>'Rate Class Load Model'!B7</f>
        <v>146508.41</v>
      </c>
      <c r="H24" s="6">
        <f>'Rate Class Load Model'!B8</f>
        <v>160486.38999999998</v>
      </c>
      <c r="I24" s="6">
        <f>'Rate Class Load Model'!B9</f>
        <v>163381.4952140938</v>
      </c>
      <c r="J24" s="6">
        <f>'Rate Class Load Model'!B10</f>
        <v>162219.23134519372</v>
      </c>
      <c r="K24" s="36"/>
    </row>
    <row r="25" spans="1:11">
      <c r="B25" s="6"/>
      <c r="C25" s="6"/>
      <c r="D25" s="6"/>
      <c r="E25" s="6"/>
      <c r="F25" s="6"/>
      <c r="H25" s="6"/>
      <c r="I25" s="6"/>
      <c r="J25" s="6"/>
      <c r="K25" s="36"/>
    </row>
    <row r="26" spans="1:11">
      <c r="A26" s="28" t="str">
        <f>'Rate Class Energy Model'!K2</f>
        <v>General Service 500 to 1499 kW</v>
      </c>
      <c r="B26" s="1"/>
      <c r="C26" s="1"/>
      <c r="K26" s="36"/>
    </row>
    <row r="27" spans="1:11">
      <c r="A27" t="s">
        <v>41</v>
      </c>
      <c r="B27" s="6">
        <f>'Rate Class Customer Model'!E11</f>
        <v>10</v>
      </c>
      <c r="C27" s="6">
        <f>'Rate Class Customer Model'!E12</f>
        <v>10.416666666666666</v>
      </c>
      <c r="D27" s="6">
        <f>'Rate Class Customer Model'!E13</f>
        <v>12.333333333333334</v>
      </c>
      <c r="E27" s="6">
        <f>'Rate Class Customer Model'!E14</f>
        <v>11.583333333333334</v>
      </c>
      <c r="F27" s="6">
        <f>'Rate Class Customer Model'!E15</f>
        <v>8</v>
      </c>
      <c r="G27" s="6">
        <f>'Rate Class Customer Model'!E16</f>
        <v>8.5</v>
      </c>
      <c r="H27" s="6">
        <f>'Rate Class Customer Model'!E17</f>
        <v>6</v>
      </c>
      <c r="I27" s="6">
        <f>'Rate Class Customer Model'!E18</f>
        <v>5.5103154130106713</v>
      </c>
      <c r="J27" s="6">
        <f>'Rate Class Customer Model'!E19</f>
        <v>5.0605959918104944</v>
      </c>
      <c r="K27" s="36"/>
    </row>
    <row r="28" spans="1:11">
      <c r="A28" t="s">
        <v>42</v>
      </c>
      <c r="B28" s="6">
        <f>'Rate Class Energy Model'!K3</f>
        <v>42123343.190000005</v>
      </c>
      <c r="C28" s="6">
        <f>'Rate Class Energy Model'!K4</f>
        <v>39292384.899999991</v>
      </c>
      <c r="D28" s="6">
        <f>'Rate Class Energy Model'!K5</f>
        <v>36925221.219999999</v>
      </c>
      <c r="E28" s="6">
        <f>'Rate Class Energy Model'!K6</f>
        <v>28159132.399999999</v>
      </c>
      <c r="F28" s="6">
        <f>'Rate Class Energy Model'!K7</f>
        <v>25142092.139999997</v>
      </c>
      <c r="G28" s="6">
        <f>'Rate Class Energy Model'!K8</f>
        <v>27055986.100000001</v>
      </c>
      <c r="H28" s="6">
        <f>'Rate Class Energy Model'!K9</f>
        <v>23120478.16</v>
      </c>
      <c r="I28" s="6">
        <f>'Rate Class Energy Model'!K28</f>
        <v>20958055.000909142</v>
      </c>
      <c r="J28" s="6">
        <f>'Rate Class Energy Model'!K29</f>
        <v>19312053.329698451</v>
      </c>
      <c r="K28" s="36"/>
    </row>
    <row r="29" spans="1:11">
      <c r="A29" t="s">
        <v>43</v>
      </c>
      <c r="B29" s="6">
        <f>'Rate Class Load Model'!C2</f>
        <v>103435.35</v>
      </c>
      <c r="C29" s="6">
        <f>'Rate Class Load Model'!C3</f>
        <v>106160.91</v>
      </c>
      <c r="D29" s="6">
        <f>'Rate Class Load Model'!C4</f>
        <v>113440.98000000003</v>
      </c>
      <c r="E29" s="6">
        <f>'Rate Class Load Model'!C5</f>
        <v>91315.26</v>
      </c>
      <c r="F29" s="6">
        <f>'Rate Class Load Model'!C6</f>
        <v>76762.569999999992</v>
      </c>
      <c r="G29" s="6">
        <f>'Rate Class Load Model'!C7</f>
        <v>82836.580000000016</v>
      </c>
      <c r="H29" s="6">
        <f>'Rate Class Load Model'!C8</f>
        <v>73360.160000000003</v>
      </c>
      <c r="I29" s="6">
        <f>'Rate Class Load Model'!C9</f>
        <v>62156.019677513104</v>
      </c>
      <c r="J29" s="6">
        <f>'Rate Class Load Model'!C10</f>
        <v>57274.416291103771</v>
      </c>
      <c r="K29" s="36"/>
    </row>
    <row r="30" spans="1:11">
      <c r="D30" s="6"/>
      <c r="E30" s="6"/>
      <c r="F30" s="6"/>
      <c r="G30" s="6"/>
      <c r="H30" s="6"/>
      <c r="I30" s="6"/>
      <c r="J30" s="6"/>
      <c r="K30" s="36"/>
    </row>
    <row r="31" spans="1:11">
      <c r="A31" s="28" t="str">
        <f>'Rate Class Energy Model'!L2</f>
        <v>General Service 1500-4999 kW</v>
      </c>
      <c r="B31" s="1"/>
      <c r="C31" s="1"/>
      <c r="K31" s="36"/>
    </row>
    <row r="32" spans="1:11">
      <c r="A32" t="s">
        <v>41</v>
      </c>
      <c r="B32" s="6">
        <f>'Rate Class Customer Model'!F11</f>
        <v>2</v>
      </c>
      <c r="C32" s="6">
        <f>'Rate Class Customer Model'!F12</f>
        <v>2</v>
      </c>
      <c r="D32" s="6">
        <f>'Rate Class Customer Model'!F13</f>
        <v>2</v>
      </c>
      <c r="E32" s="6">
        <f>'Rate Class Customer Model'!F14</f>
        <v>2</v>
      </c>
      <c r="F32" s="6">
        <f>'Rate Class Customer Model'!F15</f>
        <v>2</v>
      </c>
      <c r="G32" s="6">
        <f>'Rate Class Customer Model'!F16</f>
        <v>2</v>
      </c>
      <c r="H32" s="6">
        <f>'Rate Class Customer Model'!F17</f>
        <v>2</v>
      </c>
      <c r="I32" s="6">
        <f>'Rate Class Customer Model'!F18</f>
        <v>2</v>
      </c>
      <c r="J32" s="6">
        <f>'Rate Class Customer Model'!F19</f>
        <v>2</v>
      </c>
      <c r="K32" s="36"/>
    </row>
    <row r="33" spans="1:11">
      <c r="A33" t="s">
        <v>42</v>
      </c>
      <c r="B33" s="6">
        <f>'Rate Class Energy Model'!L3</f>
        <v>35542048.920000002</v>
      </c>
      <c r="C33" s="6">
        <f>'Rate Class Energy Model'!L4</f>
        <v>30775849.759999998</v>
      </c>
      <c r="D33" s="6">
        <f>'Rate Class Energy Model'!L5</f>
        <v>28687524.48</v>
      </c>
      <c r="E33" s="6">
        <f>'Rate Class Energy Model'!L6</f>
        <v>26720406.400000002</v>
      </c>
      <c r="F33" s="6">
        <f>'Rate Class Energy Model'!L7</f>
        <v>20564790.800000001</v>
      </c>
      <c r="G33" s="6">
        <f>'Rate Class Energy Model'!L8</f>
        <v>18499236.399999999</v>
      </c>
      <c r="H33" s="6">
        <f>'Rate Class Energy Model'!L9</f>
        <v>17800153.25</v>
      </c>
      <c r="I33" s="6">
        <f>'Rate Class Energy Model'!L28</f>
        <v>17702282.755112391</v>
      </c>
      <c r="J33" s="6">
        <f>'Rate Class Energy Model'!L29</f>
        <v>17727224.292223938</v>
      </c>
      <c r="K33" s="36"/>
    </row>
    <row r="34" spans="1:11">
      <c r="A34" t="s">
        <v>43</v>
      </c>
      <c r="B34" s="6">
        <f>'Rate Class Load Model'!D2</f>
        <v>72106.679999999993</v>
      </c>
      <c r="C34" s="6">
        <f>'Rate Class Load Model'!D3</f>
        <v>68624.840000000011</v>
      </c>
      <c r="D34" s="6">
        <f>'Rate Class Load Model'!D4</f>
        <v>66586</v>
      </c>
      <c r="E34" s="6">
        <f>'Rate Class Load Model'!D5</f>
        <v>60559.709999999992</v>
      </c>
      <c r="F34" s="6">
        <f>'Rate Class Load Model'!D6</f>
        <v>53164.5</v>
      </c>
      <c r="G34" s="6">
        <f>'Rate Class Load Model'!D7</f>
        <v>50923.430000000008</v>
      </c>
      <c r="H34" s="6">
        <f>'Rate Class Load Model'!D8</f>
        <v>48074.27</v>
      </c>
      <c r="I34" s="6">
        <f>'Rate Class Load Model'!D9</f>
        <v>42700.001269265842</v>
      </c>
      <c r="J34" s="6">
        <f>'Rate Class Load Model'!D10</f>
        <v>42760.163208889862</v>
      </c>
      <c r="K34" s="36"/>
    </row>
    <row r="35" spans="1:11">
      <c r="C35" s="6"/>
      <c r="D35" s="6"/>
      <c r="E35" s="6"/>
      <c r="F35" s="6"/>
      <c r="G35" s="6"/>
      <c r="H35" s="6"/>
      <c r="I35" s="6"/>
      <c r="J35" s="6"/>
      <c r="K35" s="36"/>
    </row>
    <row r="36" spans="1:11">
      <c r="A36" s="28" t="str">
        <f>'Rate Class Energy Model'!M2</f>
        <v>Unmetered Scattered Load</v>
      </c>
      <c r="B36" s="1"/>
      <c r="C36" s="1"/>
      <c r="E36" s="1"/>
      <c r="H36" s="6"/>
      <c r="K36" s="36"/>
    </row>
    <row r="37" spans="1:11">
      <c r="A37" t="s">
        <v>44</v>
      </c>
      <c r="B37" s="6">
        <f>'Rate Class Customer Model'!G11</f>
        <v>59.583333333333336</v>
      </c>
      <c r="C37" s="6">
        <f>'Rate Class Customer Model'!G12</f>
        <v>58.5</v>
      </c>
      <c r="D37" s="6">
        <f>'Rate Class Customer Model'!G13</f>
        <v>59.25</v>
      </c>
      <c r="E37" s="6">
        <f>'Rate Class Customer Model'!G14</f>
        <v>56.666666666666664</v>
      </c>
      <c r="F37" s="6">
        <f>'Rate Class Customer Model'!G15</f>
        <v>56.833333333333336</v>
      </c>
      <c r="G37" s="6">
        <f>'Rate Class Customer Model'!G16</f>
        <v>56.833333333333336</v>
      </c>
      <c r="H37" s="6">
        <f>'Rate Class Customer Model'!G17</f>
        <v>55.916666666666664</v>
      </c>
      <c r="I37" s="6">
        <f>'Rate Class Customer Model'!G18</f>
        <v>55.327878835265906</v>
      </c>
      <c r="J37" s="6">
        <f>'Rate Class Customer Model'!G19</f>
        <v>54.745290785273298</v>
      </c>
      <c r="K37" s="36"/>
    </row>
    <row r="38" spans="1:11">
      <c r="A38" t="s">
        <v>42</v>
      </c>
      <c r="B38" s="6">
        <f>'Rate Class Energy Model'!M3</f>
        <v>386200.86999999994</v>
      </c>
      <c r="C38" s="6">
        <f>'Rate Class Energy Model'!M4</f>
        <v>367142.77</v>
      </c>
      <c r="D38" s="6">
        <f>'Rate Class Energy Model'!M5</f>
        <v>341865.81999999995</v>
      </c>
      <c r="E38" s="6">
        <f>'Rate Class Energy Model'!M6</f>
        <v>340304.06</v>
      </c>
      <c r="F38" s="6">
        <f>'Rate Class Energy Model'!M7</f>
        <v>340496.02</v>
      </c>
      <c r="G38" s="6">
        <f>'Rate Class Energy Model'!M8</f>
        <v>340759.81</v>
      </c>
      <c r="H38" s="6">
        <f>'Rate Class Energy Model'!M9</f>
        <v>338889.99</v>
      </c>
      <c r="I38" s="6">
        <f>'Rate Class Energy Model'!M28</f>
        <v>335321.56730619032</v>
      </c>
      <c r="J38" s="6">
        <f>'Rate Class Energy Model'!M29</f>
        <v>331790.7191672434</v>
      </c>
      <c r="K38" s="36"/>
    </row>
    <row r="39" spans="1:11">
      <c r="E39" s="6"/>
      <c r="F39" s="6"/>
      <c r="H39" s="6"/>
      <c r="I39" s="6"/>
      <c r="J39" s="6"/>
    </row>
    <row r="40" spans="1:11">
      <c r="A40" s="28" t="str">
        <f>'Rate Class Energy Model'!N2</f>
        <v>Sentinel Lighting</v>
      </c>
      <c r="B40" s="1"/>
      <c r="D40" s="1"/>
      <c r="H40" s="18"/>
    </row>
    <row r="41" spans="1:11">
      <c r="A41" t="s">
        <v>44</v>
      </c>
      <c r="B41" s="6">
        <f>'Rate Class Customer Model'!H11</f>
        <v>118.5</v>
      </c>
      <c r="C41" s="6">
        <f>'Rate Class Customer Model'!H12</f>
        <v>113</v>
      </c>
      <c r="D41" s="6">
        <f>'Rate Class Customer Model'!H13</f>
        <v>112</v>
      </c>
      <c r="E41" s="6">
        <f>'Rate Class Customer Model'!H14</f>
        <v>112</v>
      </c>
      <c r="F41" s="6">
        <f>'Rate Class Customer Model'!H15</f>
        <v>112.08333333333333</v>
      </c>
      <c r="G41" s="6">
        <f>'Rate Class Customer Model'!H16</f>
        <v>112</v>
      </c>
      <c r="H41" s="6">
        <f>'Rate Class Customer Model'!H17</f>
        <v>116</v>
      </c>
      <c r="I41" s="6">
        <f>'Rate Class Customer Model'!H18</f>
        <v>115.58849143189126</v>
      </c>
      <c r="J41" s="6">
        <f>'Rate Class Customer Model'!H19</f>
        <v>115.17844268534826</v>
      </c>
    </row>
    <row r="42" spans="1:11">
      <c r="A42" t="s">
        <v>42</v>
      </c>
      <c r="B42" s="6">
        <f>'Rate Class Energy Model'!N3</f>
        <v>102640.95</v>
      </c>
      <c r="C42" s="6">
        <f>'Rate Class Energy Model'!N4</f>
        <v>98397.14</v>
      </c>
      <c r="D42" s="6">
        <f>'Rate Class Energy Model'!N5</f>
        <v>95814.57</v>
      </c>
      <c r="E42" s="6">
        <f>'Rate Class Energy Model'!N6</f>
        <v>79644.31</v>
      </c>
      <c r="F42" s="6">
        <f>'Rate Class Energy Model'!N7</f>
        <v>75008.179999999993</v>
      </c>
      <c r="G42" s="6">
        <f>'Rate Class Energy Model'!N8</f>
        <v>72438</v>
      </c>
      <c r="H42" s="6">
        <f>'Rate Class Energy Model'!N9</f>
        <v>72091.330000000016</v>
      </c>
      <c r="I42" s="6">
        <f>'Rate Class Energy Model'!N28</f>
        <v>71835.58689671247</v>
      </c>
      <c r="J42" s="6">
        <f>'Rate Class Energy Model'!N29</f>
        <v>71580.751038926974</v>
      </c>
    </row>
    <row r="43" spans="1:11">
      <c r="A43" t="s">
        <v>43</v>
      </c>
      <c r="B43" s="6">
        <f>'Rate Class Load Model'!E2</f>
        <v>282.01</v>
      </c>
      <c r="C43" s="6">
        <f>'Rate Class Load Model'!E3</f>
        <v>262.84999999999997</v>
      </c>
      <c r="D43" s="6">
        <f>'Rate Class Load Model'!E4</f>
        <v>256.44</v>
      </c>
      <c r="E43" s="6">
        <f>'Rate Class Load Model'!E5</f>
        <v>216.62</v>
      </c>
      <c r="F43" s="6">
        <f>'Rate Class Load Model'!E6</f>
        <v>202.49</v>
      </c>
      <c r="G43" s="6">
        <f>'Rate Class Load Model'!E7</f>
        <v>201.60999999999996</v>
      </c>
      <c r="H43" s="6">
        <f>'Rate Class Load Model'!E8</f>
        <v>201.57</v>
      </c>
      <c r="I43" s="6">
        <f>'Rate Class Load Model'!E9</f>
        <v>195.9462932995628</v>
      </c>
      <c r="J43" s="6">
        <f>'Rate Class Load Model'!E10</f>
        <v>195.25117624282211</v>
      </c>
    </row>
    <row r="45" spans="1:11">
      <c r="A45" s="28" t="str">
        <f>'Rate Class Energy Model'!O2</f>
        <v xml:space="preserve">Street Lighting </v>
      </c>
      <c r="B45" s="1"/>
      <c r="C45" s="1"/>
      <c r="D45" s="1"/>
      <c r="E45" s="1"/>
    </row>
    <row r="46" spans="1:11">
      <c r="A46" t="s">
        <v>128</v>
      </c>
      <c r="B46" s="6">
        <f>'Rate Class Customer Model'!I11</f>
        <v>1</v>
      </c>
      <c r="C46" s="6">
        <f>'Rate Class Customer Model'!I12</f>
        <v>1</v>
      </c>
      <c r="D46" s="6">
        <f>'Rate Class Customer Model'!I13</f>
        <v>1</v>
      </c>
      <c r="E46" s="6">
        <f>'Rate Class Customer Model'!I14</f>
        <v>1</v>
      </c>
      <c r="F46" s="6">
        <f>'Rate Class Customer Model'!I15</f>
        <v>1</v>
      </c>
      <c r="G46" s="6">
        <f>'Rate Class Customer Model'!I16</f>
        <v>1</v>
      </c>
      <c r="H46" s="6">
        <f>'Rate Class Customer Model'!I17</f>
        <v>1</v>
      </c>
      <c r="I46" s="6">
        <f>'Rate Class Customer Model'!I18</f>
        <v>1</v>
      </c>
      <c r="J46" s="6">
        <f>'Rate Class Customer Model'!I19</f>
        <v>1</v>
      </c>
    </row>
    <row r="47" spans="1:11">
      <c r="A47" t="s">
        <v>42</v>
      </c>
      <c r="B47" s="6">
        <f>'Rate Class Energy Model'!O3</f>
        <v>1427616.35</v>
      </c>
      <c r="C47" s="6">
        <f>'Rate Class Energy Model'!O4</f>
        <v>1422828.54</v>
      </c>
      <c r="D47" s="6">
        <f>'Rate Class Energy Model'!O5</f>
        <v>1117131.3599999999</v>
      </c>
      <c r="E47" s="6">
        <f>'Rate Class Energy Model'!O6</f>
        <v>545652</v>
      </c>
      <c r="F47" s="6">
        <f>'Rate Class Energy Model'!O7</f>
        <v>527637</v>
      </c>
      <c r="G47" s="6">
        <f>'Rate Class Energy Model'!O8</f>
        <v>607361.03999999992</v>
      </c>
      <c r="H47" s="6">
        <f>'Rate Class Energy Model'!O9</f>
        <v>619622.6399999999</v>
      </c>
      <c r="I47" s="6">
        <f>'Rate Class Energy Model'!O28</f>
        <v>619622.6399999999</v>
      </c>
      <c r="J47" s="6">
        <f>'Rate Class Energy Model'!O29</f>
        <v>619622.6399999999</v>
      </c>
    </row>
    <row r="48" spans="1:11">
      <c r="A48" t="s">
        <v>43</v>
      </c>
      <c r="B48" s="6">
        <f>'Rate Class Load Model'!F2</f>
        <v>3831.24</v>
      </c>
      <c r="C48" s="6">
        <f>'Rate Class Load Model'!F3</f>
        <v>3831.24</v>
      </c>
      <c r="D48" s="6">
        <f>'Rate Class Load Model'!F4</f>
        <v>3043.83</v>
      </c>
      <c r="E48" s="6">
        <f>'Rate Class Load Model'!F5</f>
        <v>1498</v>
      </c>
      <c r="F48" s="6">
        <f>'Rate Class Load Model'!F6</f>
        <v>1416</v>
      </c>
      <c r="G48" s="6">
        <f>'Rate Class Load Model'!F7</f>
        <v>1646.5600000000004</v>
      </c>
      <c r="H48" s="6">
        <f>'Rate Class Load Model'!F8</f>
        <v>1667.5200000000002</v>
      </c>
      <c r="I48" s="6">
        <f>'Rate Class Load Model'!F9</f>
        <v>1675.8344854275467</v>
      </c>
      <c r="J48" s="6">
        <f>'Rate Class Load Model'!F10</f>
        <v>1675.8344854275467</v>
      </c>
    </row>
    <row r="50" spans="1:13">
      <c r="A50" s="28" t="s">
        <v>7</v>
      </c>
      <c r="B50" s="1"/>
      <c r="E50" s="44"/>
    </row>
    <row r="51" spans="1:13">
      <c r="A51" t="s">
        <v>46</v>
      </c>
      <c r="B51" s="6">
        <f t="shared" ref="B51:J51" si="2">+B14+B18+B22+B27+B32+B37+B41+B46</f>
        <v>7202.166666666667</v>
      </c>
      <c r="C51" s="6">
        <f t="shared" si="2"/>
        <v>7315.6666666666661</v>
      </c>
      <c r="D51" s="6">
        <f t="shared" si="2"/>
        <v>7430.6666666666661</v>
      </c>
      <c r="E51" s="6">
        <f t="shared" si="2"/>
        <v>7568.1666666666661</v>
      </c>
      <c r="F51" s="6">
        <f t="shared" si="2"/>
        <v>7749.25</v>
      </c>
      <c r="G51" s="6">
        <f t="shared" si="2"/>
        <v>8037.4166666666661</v>
      </c>
      <c r="H51" s="6">
        <f t="shared" si="2"/>
        <v>8354.6666666666661</v>
      </c>
      <c r="I51" s="6">
        <f t="shared" si="2"/>
        <v>8565.8990241006504</v>
      </c>
      <c r="J51" s="6">
        <f t="shared" si="2"/>
        <v>8782.9917148609766</v>
      </c>
    </row>
    <row r="52" spans="1:13">
      <c r="A52" t="s">
        <v>42</v>
      </c>
      <c r="B52" s="6">
        <f t="shared" ref="B52:J52" si="3">+B15+B19+B23+B28+B33+B38+B42+B47</f>
        <v>195938264.66</v>
      </c>
      <c r="C52" s="6">
        <f t="shared" si="3"/>
        <v>183826118.34999996</v>
      </c>
      <c r="D52" s="6">
        <f t="shared" si="3"/>
        <v>183750499.39999995</v>
      </c>
      <c r="E52" s="6">
        <f t="shared" si="3"/>
        <v>171687024.79999998</v>
      </c>
      <c r="F52" s="6">
        <f t="shared" si="3"/>
        <v>167477565.66000003</v>
      </c>
      <c r="G52" s="6">
        <f t="shared" si="3"/>
        <v>172196903.11000004</v>
      </c>
      <c r="H52" s="6">
        <f t="shared" si="3"/>
        <v>178660614.34999996</v>
      </c>
      <c r="I52" s="6">
        <f t="shared" si="3"/>
        <v>174108951.31158251</v>
      </c>
      <c r="J52" s="6">
        <f t="shared" si="3"/>
        <v>174659233.55530077</v>
      </c>
    </row>
    <row r="53" spans="1:13">
      <c r="A53" t="s">
        <v>45</v>
      </c>
      <c r="B53" s="6">
        <f>B24+B29+B34+B43+B48</f>
        <v>322878.17000000004</v>
      </c>
      <c r="C53" s="6">
        <f t="shared" ref="C53:J53" si="4">C24+C29+C34+C43+C48</f>
        <v>316507.27</v>
      </c>
      <c r="D53" s="6">
        <f t="shared" si="4"/>
        <v>314792.98000000004</v>
      </c>
      <c r="E53" s="6">
        <f t="shared" si="4"/>
        <v>284975.80999999994</v>
      </c>
      <c r="F53" s="6">
        <f t="shared" si="4"/>
        <v>269248</v>
      </c>
      <c r="G53" s="6">
        <f t="shared" si="4"/>
        <v>282116.59000000003</v>
      </c>
      <c r="H53" s="6">
        <f t="shared" si="4"/>
        <v>283789.91000000003</v>
      </c>
      <c r="I53" s="6">
        <f t="shared" si="4"/>
        <v>270109.29693959985</v>
      </c>
      <c r="J53" s="6">
        <f t="shared" si="4"/>
        <v>264124.89650685777</v>
      </c>
    </row>
    <row r="54" spans="1:13">
      <c r="B54" s="1"/>
      <c r="C54" s="1"/>
    </row>
    <row r="55" spans="1:13">
      <c r="A55" t="s">
        <v>46</v>
      </c>
      <c r="B55" s="6">
        <f>'Rate Class Customer Model'!J11</f>
        <v>7202.166666666667</v>
      </c>
      <c r="C55" s="6">
        <f>'Rate Class Customer Model'!J12</f>
        <v>7315.6666666666661</v>
      </c>
      <c r="D55" s="6">
        <f>'Rate Class Customer Model'!J13</f>
        <v>7430.6666666666661</v>
      </c>
      <c r="E55" s="6">
        <f>'Rate Class Customer Model'!J14</f>
        <v>7568.1666666666661</v>
      </c>
      <c r="F55" s="6">
        <f>'Rate Class Customer Model'!J15</f>
        <v>7749.25</v>
      </c>
      <c r="G55" s="6">
        <f>'Rate Class Customer Model'!J16</f>
        <v>8037.4166666666661</v>
      </c>
      <c r="H55" s="6">
        <f>'Rate Class Customer Model'!J17</f>
        <v>8354.6666666666661</v>
      </c>
      <c r="I55" s="6">
        <f>'Rate Class Customer Model'!J18</f>
        <v>8565.8990241006504</v>
      </c>
      <c r="J55" s="6">
        <f>'Rate Class Customer Model'!J19</f>
        <v>8782.9917148609766</v>
      </c>
    </row>
    <row r="56" spans="1:13">
      <c r="A56" t="s">
        <v>42</v>
      </c>
      <c r="B56" s="6">
        <f>'Rate Class Energy Model'!G3</f>
        <v>195938264.66</v>
      </c>
      <c r="C56" s="6">
        <f>'Rate Class Energy Model'!G4</f>
        <v>183826118.34999996</v>
      </c>
      <c r="D56" s="6">
        <f>'Rate Class Energy Model'!G5</f>
        <v>183750499.39999995</v>
      </c>
      <c r="E56" s="6">
        <f>'Rate Class Energy Model'!G6</f>
        <v>171687024.79999998</v>
      </c>
      <c r="F56" s="6">
        <f>'Rate Class Energy Model'!G7</f>
        <v>167477565.66000003</v>
      </c>
      <c r="G56" s="6">
        <f>'Rate Class Energy Model'!G8</f>
        <v>172196903.11000004</v>
      </c>
      <c r="H56" s="6">
        <f>'Rate Class Energy Model'!G9</f>
        <v>178660614.34999996</v>
      </c>
      <c r="I56" s="6">
        <f>'Rate Class Energy Model'!P28</f>
        <v>174108951.31158251</v>
      </c>
      <c r="J56" s="6">
        <f>'Rate Class Energy Model'!P29</f>
        <v>174659233.55530077</v>
      </c>
      <c r="L56" s="6"/>
      <c r="M56" s="36"/>
    </row>
    <row r="57" spans="1:13">
      <c r="A57" t="s">
        <v>45</v>
      </c>
      <c r="B57" s="6">
        <f>'Rate Class Load Model'!G2</f>
        <v>322878.17000000004</v>
      </c>
      <c r="C57" s="6">
        <f>'Rate Class Load Model'!G3</f>
        <v>316507.27</v>
      </c>
      <c r="D57" s="6">
        <f>'Rate Class Load Model'!G4</f>
        <v>314792.98000000004</v>
      </c>
      <c r="E57" s="6">
        <f>'Rate Class Load Model'!G5</f>
        <v>284975.80999999994</v>
      </c>
      <c r="F57" s="6">
        <f>'Rate Class Load Model'!G6</f>
        <v>269248</v>
      </c>
      <c r="G57" s="6">
        <f>'Rate Class Load Model'!G7</f>
        <v>282116.59000000003</v>
      </c>
      <c r="H57" s="6">
        <f>'Rate Class Load Model'!G8</f>
        <v>283789.91000000003</v>
      </c>
      <c r="I57" s="6">
        <f>'Rate Class Load Model'!G9</f>
        <v>270109.29693959985</v>
      </c>
      <c r="J57" s="6">
        <f>'Rate Class Load Model'!G10</f>
        <v>264124.89650685777</v>
      </c>
    </row>
    <row r="59" spans="1:13" hidden="1">
      <c r="A59" t="s">
        <v>46</v>
      </c>
      <c r="E59" s="6">
        <f>'Rate Class Load Model'!G9</f>
        <v>270109.29693959985</v>
      </c>
      <c r="F59" s="6" t="e">
        <f>#REF!</f>
        <v>#REF!</v>
      </c>
      <c r="G59" s="6"/>
      <c r="H59" s="6"/>
      <c r="I59" s="6" t="e">
        <f>#REF!</f>
        <v>#REF!</v>
      </c>
      <c r="J59" s="6" t="e">
        <f>#REF!</f>
        <v>#REF!</v>
      </c>
    </row>
    <row r="60" spans="1:13" hidden="1">
      <c r="A60" t="s">
        <v>42</v>
      </c>
      <c r="E60" s="6">
        <f>'Rate Class Load Model'!G10</f>
        <v>264124.89650685777</v>
      </c>
      <c r="F60" s="6" t="e">
        <f>#REF!</f>
        <v>#REF!</v>
      </c>
      <c r="G60" s="6"/>
      <c r="H60" s="6"/>
      <c r="I60" s="6" t="e">
        <f>#REF!</f>
        <v>#REF!</v>
      </c>
      <c r="J60" s="6" t="e">
        <f>#REF!</f>
        <v>#REF!</v>
      </c>
    </row>
    <row r="61" spans="1:13" hidden="1">
      <c r="A61" t="s">
        <v>45</v>
      </c>
      <c r="E61" s="6">
        <f>'Rate Class Load Model'!G11</f>
        <v>0</v>
      </c>
      <c r="F61" s="6" t="e">
        <f>#REF!</f>
        <v>#REF!</v>
      </c>
      <c r="G61" s="6"/>
      <c r="H61" s="6"/>
      <c r="I61" s="6" t="e">
        <f>#REF!</f>
        <v>#REF!</v>
      </c>
      <c r="J61" s="6" t="e">
        <f>#REF!</f>
        <v>#REF!</v>
      </c>
    </row>
    <row r="62" spans="1:13" hidden="1">
      <c r="E62" s="6">
        <f>'Rate Class Load Model'!G12</f>
        <v>0</v>
      </c>
    </row>
    <row r="63" spans="1:13" hidden="1">
      <c r="A63" t="s">
        <v>46</v>
      </c>
      <c r="E63" s="6" t="e">
        <f>'Rate Class Load Model'!#REF!</f>
        <v>#REF!</v>
      </c>
      <c r="F63" s="6" t="e">
        <f>#REF!-F59</f>
        <v>#REF!</v>
      </c>
      <c r="G63" s="6"/>
      <c r="H63" s="6"/>
      <c r="I63" s="6" t="e">
        <f>#REF!-I59</f>
        <v>#REF!</v>
      </c>
      <c r="J63" s="6" t="e">
        <f>#REF!-J59</f>
        <v>#REF!</v>
      </c>
    </row>
    <row r="64" spans="1:13" hidden="1">
      <c r="A64" t="s">
        <v>42</v>
      </c>
      <c r="E64" s="6" t="e">
        <f>'Rate Class Load Model'!#REF!</f>
        <v>#REF!</v>
      </c>
      <c r="F64" s="6" t="e">
        <f>#REF!-F60</f>
        <v>#REF!</v>
      </c>
      <c r="G64" s="6"/>
      <c r="H64" s="6"/>
      <c r="I64" s="6" t="e">
        <f>#REF!-I60</f>
        <v>#REF!</v>
      </c>
      <c r="J64" s="6" t="e">
        <f>#REF!-J60</f>
        <v>#REF!</v>
      </c>
    </row>
    <row r="65" spans="1:10" hidden="1">
      <c r="A65" t="s">
        <v>45</v>
      </c>
      <c r="E65" s="6" t="e">
        <f>'Rate Class Load Model'!#REF!</f>
        <v>#REF!</v>
      </c>
      <c r="F65" s="6" t="e">
        <f>#REF!-F61</f>
        <v>#REF!</v>
      </c>
      <c r="G65" s="6"/>
      <c r="H65" s="6"/>
      <c r="I65" s="6" t="e">
        <f>#REF!-I61</f>
        <v>#REF!</v>
      </c>
      <c r="J65" s="6" t="e">
        <f>#REF!-J61</f>
        <v>#REF!</v>
      </c>
    </row>
    <row r="66" spans="1:10" hidden="1">
      <c r="E66" s="6">
        <f>'Rate Class Load Model'!G13</f>
        <v>0</v>
      </c>
    </row>
    <row r="67" spans="1:10">
      <c r="A67" s="43" t="s">
        <v>12</v>
      </c>
      <c r="E67" s="6"/>
    </row>
    <row r="68" spans="1:10">
      <c r="A68" t="s">
        <v>46</v>
      </c>
      <c r="B68" s="6">
        <f t="shared" ref="B68:J68" si="5">B51-B55</f>
        <v>0</v>
      </c>
      <c r="C68" s="6">
        <f t="shared" si="5"/>
        <v>0</v>
      </c>
      <c r="D68" s="6">
        <f t="shared" si="5"/>
        <v>0</v>
      </c>
      <c r="E68" s="6">
        <f t="shared" si="5"/>
        <v>0</v>
      </c>
      <c r="F68" s="6">
        <f t="shared" si="5"/>
        <v>0</v>
      </c>
      <c r="G68" s="6">
        <f t="shared" ref="G68:H68" si="6">G51-G55</f>
        <v>0</v>
      </c>
      <c r="H68" s="6">
        <f t="shared" si="6"/>
        <v>0</v>
      </c>
      <c r="I68" s="6">
        <f t="shared" si="5"/>
        <v>0</v>
      </c>
      <c r="J68" s="6">
        <f t="shared" si="5"/>
        <v>0</v>
      </c>
    </row>
    <row r="69" spans="1:10">
      <c r="A69" t="s">
        <v>42</v>
      </c>
      <c r="B69" s="6">
        <f t="shared" ref="B69:J69" si="7">B52-B56</f>
        <v>0</v>
      </c>
      <c r="C69" s="6">
        <f t="shared" si="7"/>
        <v>0</v>
      </c>
      <c r="D69" s="6">
        <f t="shared" si="7"/>
        <v>0</v>
      </c>
      <c r="E69" s="6">
        <f t="shared" si="7"/>
        <v>0</v>
      </c>
      <c r="F69" s="6">
        <f t="shared" si="7"/>
        <v>0</v>
      </c>
      <c r="G69" s="6">
        <f t="shared" ref="G69:H69" si="8">G52-G56</f>
        <v>0</v>
      </c>
      <c r="H69" s="6">
        <f t="shared" si="8"/>
        <v>0</v>
      </c>
      <c r="I69" s="6">
        <f t="shared" si="7"/>
        <v>0</v>
      </c>
      <c r="J69" s="6">
        <f t="shared" si="7"/>
        <v>0</v>
      </c>
    </row>
    <row r="70" spans="1:10">
      <c r="A70" t="s">
        <v>45</v>
      </c>
      <c r="B70" s="6">
        <f t="shared" ref="B70:J70" si="9">B53-B57</f>
        <v>0</v>
      </c>
      <c r="C70" s="6">
        <f t="shared" si="9"/>
        <v>0</v>
      </c>
      <c r="D70" s="6">
        <f t="shared" si="9"/>
        <v>0</v>
      </c>
      <c r="E70" s="6">
        <f t="shared" si="9"/>
        <v>0</v>
      </c>
      <c r="F70" s="6">
        <f t="shared" si="9"/>
        <v>0</v>
      </c>
      <c r="G70" s="6">
        <f t="shared" ref="G70:H70" si="10">G53-G57</f>
        <v>0</v>
      </c>
      <c r="H70" s="6">
        <f t="shared" si="10"/>
        <v>0</v>
      </c>
      <c r="I70" s="6">
        <f t="shared" si="9"/>
        <v>0</v>
      </c>
      <c r="J70" s="6">
        <f t="shared" si="9"/>
        <v>0</v>
      </c>
    </row>
  </sheetData>
  <phoneticPr fontId="0" type="noConversion"/>
  <pageMargins left="0.38" right="0.75" top="0.73" bottom="0.74" header="0.5" footer="0.5"/>
  <pageSetup scale="74" fitToHeight="2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I157"/>
  <sheetViews>
    <sheetView zoomScale="78" zoomScaleNormal="78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J1" sqref="J1:J1048576"/>
    </sheetView>
  </sheetViews>
  <sheetFormatPr defaultRowHeight="13.2"/>
  <cols>
    <col min="1" max="1" width="11.88671875" style="27" customWidth="1"/>
    <col min="2" max="7" width="16.88671875" style="6" customWidth="1"/>
    <col min="8" max="8" width="11.5546875" style="1" customWidth="1"/>
    <col min="9" max="9" width="13.44140625" style="1" customWidth="1"/>
    <col min="10" max="10" width="10.109375" style="1" customWidth="1"/>
    <col min="11" max="11" width="10.33203125" style="57" customWidth="1"/>
    <col min="12" max="13" width="13" style="1" customWidth="1"/>
    <col min="14" max="14" width="15.5546875" style="1" bestFit="1" customWidth="1"/>
    <col min="15" max="15" width="16" style="1" customWidth="1"/>
    <col min="16" max="16" width="18.33203125" style="1" bestFit="1" customWidth="1"/>
    <col min="17" max="17" width="15" style="1" bestFit="1" customWidth="1"/>
    <col min="18" max="18" width="17.88671875" style="1" bestFit="1" customWidth="1"/>
    <col min="19" max="19" width="11.44140625" style="1" customWidth="1"/>
    <col min="20" max="20" width="17.88671875" style="1" bestFit="1" customWidth="1"/>
    <col min="21" max="21" width="4.88671875" customWidth="1"/>
    <col min="22" max="22" width="44.44140625" customWidth="1"/>
    <col min="23" max="23" width="18.44140625" customWidth="1"/>
    <col min="24" max="28" width="12.5546875" customWidth="1"/>
    <col min="29" max="29" width="21.88671875" customWidth="1"/>
    <col min="30" max="30" width="12.5546875" customWidth="1"/>
    <col min="31" max="31" width="42.44140625" bestFit="1" customWidth="1"/>
    <col min="32" max="32" width="15.5546875" bestFit="1" customWidth="1"/>
    <col min="33" max="33" width="26.109375" bestFit="1" customWidth="1"/>
    <col min="34" max="34" width="23" bestFit="1" customWidth="1"/>
    <col min="37" max="37" width="40.5546875" bestFit="1" customWidth="1"/>
    <col min="38" max="38" width="42.88671875" bestFit="1" customWidth="1"/>
  </cols>
  <sheetData>
    <row r="1" spans="1:35">
      <c r="AF1" s="106"/>
      <c r="AG1" s="106"/>
      <c r="AH1" s="106"/>
      <c r="AI1" s="106"/>
    </row>
    <row r="2" spans="1:35" ht="39.6">
      <c r="A2" s="101"/>
      <c r="B2" s="102" t="s">
        <v>75</v>
      </c>
      <c r="C2" s="102" t="s">
        <v>107</v>
      </c>
      <c r="D2" s="102" t="s">
        <v>113</v>
      </c>
      <c r="E2" s="102" t="s">
        <v>115</v>
      </c>
      <c r="F2" s="102" t="s">
        <v>116</v>
      </c>
      <c r="G2" s="102" t="s">
        <v>117</v>
      </c>
      <c r="H2" s="103" t="s">
        <v>2</v>
      </c>
      <c r="I2" s="103" t="s">
        <v>3</v>
      </c>
      <c r="J2" s="103" t="s">
        <v>90</v>
      </c>
      <c r="K2" s="104" t="s">
        <v>13</v>
      </c>
      <c r="L2" s="103" t="s">
        <v>104</v>
      </c>
      <c r="M2" s="103" t="s">
        <v>114</v>
      </c>
      <c r="N2" s="103" t="s">
        <v>8</v>
      </c>
      <c r="O2" s="105" t="s">
        <v>118</v>
      </c>
      <c r="P2" s="103" t="s">
        <v>119</v>
      </c>
      <c r="Q2" s="132" t="s">
        <v>120</v>
      </c>
      <c r="R2" s="133" t="s">
        <v>121</v>
      </c>
      <c r="S2" s="133" t="s">
        <v>122</v>
      </c>
      <c r="T2" s="133" t="s">
        <v>123</v>
      </c>
      <c r="V2" s="43" t="s">
        <v>14</v>
      </c>
      <c r="AF2" s="106"/>
      <c r="AG2" s="106"/>
      <c r="AH2" s="106"/>
      <c r="AI2" s="106"/>
    </row>
    <row r="3" spans="1:35" ht="13.8" thickBot="1">
      <c r="A3" s="47">
        <v>42400</v>
      </c>
      <c r="B3" s="48">
        <f>Inputs!D60</f>
        <v>17214578.510000002</v>
      </c>
      <c r="C3" s="48">
        <f>Inputs!E60</f>
        <v>62079.97</v>
      </c>
      <c r="D3" s="48">
        <f t="shared" ref="D3:D31" si="0">B3+C3</f>
        <v>17276658.48</v>
      </c>
      <c r="E3" s="48">
        <v>1398553.38</v>
      </c>
      <c r="F3" s="48">
        <v>4160319.42</v>
      </c>
      <c r="G3" s="48">
        <f>D3-E3-F3</f>
        <v>11717785.680000002</v>
      </c>
      <c r="H3" s="48">
        <f>'Weather Analysis'!E8</f>
        <v>699.50000000000023</v>
      </c>
      <c r="I3" s="48">
        <f>'Weather Analysis'!E27</f>
        <v>0</v>
      </c>
      <c r="J3" s="48">
        <v>31</v>
      </c>
      <c r="K3" s="111">
        <v>0</v>
      </c>
      <c r="L3" s="48">
        <f>Inputs!G60+Inputs!I60+Inputs!L60+Inputs!O60+Inputs!R60+Inputs!AA60</f>
        <v>6973</v>
      </c>
      <c r="M3" s="48">
        <v>0</v>
      </c>
      <c r="N3" s="48">
        <f>$W$18+$W$19*H3+$W$20*I3+$W$21*J3+$W$22*K3+$W$23*L3+M3*$W$24</f>
        <v>11241705.776072172</v>
      </c>
      <c r="O3" s="32">
        <f>N3-G3</f>
        <v>-476079.90392782912</v>
      </c>
      <c r="P3" s="41">
        <f>O3/G3</f>
        <v>-4.0628828426210732E-2</v>
      </c>
      <c r="Q3" s="134">
        <f t="shared" ref="Q3:Q4" si="1">ABS(P3)</f>
        <v>4.0628828426210732E-2</v>
      </c>
      <c r="R3" s="135">
        <f t="shared" ref="R3:R66" si="2">O3*O3</f>
        <v>226652074923.931</v>
      </c>
      <c r="S3" s="135"/>
      <c r="T3" s="135"/>
      <c r="AF3" s="106"/>
      <c r="AG3" s="106"/>
      <c r="AH3" s="106"/>
      <c r="AI3" s="106"/>
    </row>
    <row r="4" spans="1:35">
      <c r="A4" s="47">
        <v>42429</v>
      </c>
      <c r="B4" s="48">
        <f>Inputs!D61</f>
        <v>16327741.550000001</v>
      </c>
      <c r="C4" s="48">
        <f>Inputs!E61</f>
        <v>71513.490000000005</v>
      </c>
      <c r="D4" s="48">
        <f t="shared" si="0"/>
        <v>16399255.040000001</v>
      </c>
      <c r="E4" s="48">
        <v>1222410.74</v>
      </c>
      <c r="F4" s="48">
        <v>4296011.57</v>
      </c>
      <c r="G4" s="48">
        <f t="shared" ref="G4:G67" si="3">D4-E4-F4</f>
        <v>10880832.73</v>
      </c>
      <c r="H4" s="48">
        <f>'Weather Analysis'!E9</f>
        <v>603.99999999999989</v>
      </c>
      <c r="I4" s="48">
        <f>'Weather Analysis'!E28</f>
        <v>0</v>
      </c>
      <c r="J4" s="48">
        <v>29</v>
      </c>
      <c r="K4" s="111">
        <v>0</v>
      </c>
      <c r="L4" s="48">
        <f>Inputs!G61+Inputs!I61+Inputs!L61+Inputs!O61+Inputs!R61+Inputs!AA61</f>
        <v>6976</v>
      </c>
      <c r="M4" s="48">
        <v>0</v>
      </c>
      <c r="N4" s="48">
        <f t="shared" ref="N4:N67" si="4">$W$18+$W$19*H4+$W$20*I4+$W$21*J4+$W$22*K4+$W$23*L4+M4*$W$24</f>
        <v>10405940.057044325</v>
      </c>
      <c r="O4" s="32">
        <f t="shared" ref="O4:O67" si="5">N4-G4</f>
        <v>-474892.67295567505</v>
      </c>
      <c r="P4" s="41">
        <f t="shared" ref="P4:P67" si="6">O4/G4</f>
        <v>-4.3644883138983334E-2</v>
      </c>
      <c r="Q4" s="134">
        <f t="shared" si="1"/>
        <v>4.3644883138983334E-2</v>
      </c>
      <c r="R4" s="135">
        <f t="shared" si="2"/>
        <v>225523050826.98575</v>
      </c>
      <c r="S4" s="135">
        <f t="shared" ref="S4:S67" si="7">O4-O3</f>
        <v>1187.230972154066</v>
      </c>
      <c r="T4" s="135">
        <f t="shared" ref="T4:T67" si="8">S4*S4</f>
        <v>1409517.3812418885</v>
      </c>
      <c r="V4" s="115" t="s">
        <v>15</v>
      </c>
      <c r="W4" s="115"/>
      <c r="AF4" s="106"/>
      <c r="AG4" s="106"/>
      <c r="AH4" s="106"/>
      <c r="AI4" s="106"/>
    </row>
    <row r="5" spans="1:35">
      <c r="A5" s="47">
        <v>42460</v>
      </c>
      <c r="B5" s="48">
        <f>Inputs!D62</f>
        <v>16387708.84</v>
      </c>
      <c r="C5" s="48">
        <f>Inputs!E62</f>
        <v>128194.3</v>
      </c>
      <c r="D5" s="48">
        <f t="shared" si="0"/>
        <v>16515903.140000001</v>
      </c>
      <c r="E5" s="48">
        <v>1328244.3800000001</v>
      </c>
      <c r="F5" s="48">
        <v>4380082.97</v>
      </c>
      <c r="G5" s="48">
        <f t="shared" si="3"/>
        <v>10807575.789999999</v>
      </c>
      <c r="H5" s="48">
        <f>'Weather Analysis'!E10</f>
        <v>466.50000000000006</v>
      </c>
      <c r="I5" s="48">
        <f>'Weather Analysis'!E29</f>
        <v>0</v>
      </c>
      <c r="J5" s="48">
        <v>31</v>
      </c>
      <c r="K5" s="111">
        <v>1</v>
      </c>
      <c r="L5" s="48">
        <f>Inputs!G62+Inputs!I62+Inputs!L62+Inputs!O62+Inputs!R62+Inputs!AA62</f>
        <v>6984</v>
      </c>
      <c r="M5" s="48">
        <v>0</v>
      </c>
      <c r="N5" s="48">
        <f t="shared" si="4"/>
        <v>10333571.503909996</v>
      </c>
      <c r="O5" s="32">
        <f t="shared" si="5"/>
        <v>-474004.28609000333</v>
      </c>
      <c r="P5" s="41">
        <f t="shared" si="6"/>
        <v>-4.3858520661829506E-2</v>
      </c>
      <c r="Q5" s="12">
        <f t="shared" ref="Q5:Q30" si="9">ABS(P5)</f>
        <v>4.3858520661829506E-2</v>
      </c>
      <c r="R5" s="135">
        <f t="shared" si="2"/>
        <v>224680063231.69373</v>
      </c>
      <c r="S5" s="135">
        <f t="shared" si="7"/>
        <v>888.38686567172408</v>
      </c>
      <c r="T5" s="135">
        <f t="shared" si="8"/>
        <v>789231.22309802996</v>
      </c>
      <c r="V5" t="s">
        <v>16</v>
      </c>
      <c r="W5" s="136">
        <v>0.95542479415903248</v>
      </c>
      <c r="AF5" s="106"/>
      <c r="AG5" s="106"/>
      <c r="AH5" s="106"/>
      <c r="AI5" s="106"/>
    </row>
    <row r="6" spans="1:35">
      <c r="A6" s="47">
        <v>42490</v>
      </c>
      <c r="B6" s="48">
        <f>Inputs!D63</f>
        <v>15295315.789999999</v>
      </c>
      <c r="C6" s="48">
        <f>Inputs!E63</f>
        <v>189041.49</v>
      </c>
      <c r="D6" s="48">
        <f t="shared" si="0"/>
        <v>15484357.279999999</v>
      </c>
      <c r="E6" s="48">
        <v>1253861.8099999998</v>
      </c>
      <c r="F6" s="48">
        <v>4125931.53</v>
      </c>
      <c r="G6" s="48">
        <f t="shared" si="3"/>
        <v>10104563.939999999</v>
      </c>
      <c r="H6" s="48">
        <f>'Weather Analysis'!E11</f>
        <v>391.09999999999997</v>
      </c>
      <c r="I6" s="48">
        <f>'Weather Analysis'!E30</f>
        <v>0</v>
      </c>
      <c r="J6" s="48">
        <v>30</v>
      </c>
      <c r="K6" s="111">
        <v>1</v>
      </c>
      <c r="L6" s="48">
        <f>Inputs!G63+Inputs!I63+Inputs!L63+Inputs!O63+Inputs!R63+Inputs!AA63</f>
        <v>6995</v>
      </c>
      <c r="M6" s="48">
        <v>0</v>
      </c>
      <c r="N6" s="48">
        <f t="shared" si="4"/>
        <v>9878103.7384325732</v>
      </c>
      <c r="O6" s="32">
        <f t="shared" si="5"/>
        <v>-226460.20156742632</v>
      </c>
      <c r="P6" s="41">
        <f t="shared" si="6"/>
        <v>-2.2411674854266529E-2</v>
      </c>
      <c r="Q6" s="12">
        <f t="shared" si="9"/>
        <v>2.2411674854266529E-2</v>
      </c>
      <c r="R6" s="135">
        <f t="shared" si="2"/>
        <v>51284222893.959358</v>
      </c>
      <c r="S6" s="135">
        <f t="shared" si="7"/>
        <v>247544.084522577</v>
      </c>
      <c r="T6" s="135">
        <f t="shared" si="8"/>
        <v>61278073782.12075</v>
      </c>
      <c r="V6" t="s">
        <v>17</v>
      </c>
      <c r="W6" s="136">
        <v>0.91283653729382963</v>
      </c>
      <c r="AF6" s="106"/>
      <c r="AG6" s="106"/>
      <c r="AH6" s="106"/>
      <c r="AI6" s="106"/>
    </row>
    <row r="7" spans="1:35">
      <c r="A7" s="47">
        <v>42521</v>
      </c>
      <c r="B7" s="48">
        <f>Inputs!D64</f>
        <v>15349497.890000001</v>
      </c>
      <c r="C7" s="48">
        <f>Inputs!E64</f>
        <v>239387.64</v>
      </c>
      <c r="D7" s="48">
        <f t="shared" si="0"/>
        <v>15588885.530000001</v>
      </c>
      <c r="E7" s="48">
        <v>1195532.79</v>
      </c>
      <c r="F7" s="48">
        <v>4159261.96</v>
      </c>
      <c r="G7" s="48">
        <f t="shared" si="3"/>
        <v>10234090.780000001</v>
      </c>
      <c r="H7" s="48">
        <f>'Weather Analysis'!E12</f>
        <v>148.19999999999996</v>
      </c>
      <c r="I7" s="48">
        <f>'Weather Analysis'!E31</f>
        <v>25.8</v>
      </c>
      <c r="J7" s="48">
        <v>31</v>
      </c>
      <c r="K7" s="111">
        <v>1</v>
      </c>
      <c r="L7" s="48">
        <f>Inputs!G64+Inputs!I64+Inputs!L64+Inputs!O64+Inputs!R64+Inputs!AA64</f>
        <v>7003</v>
      </c>
      <c r="M7" s="48">
        <v>0</v>
      </c>
      <c r="N7" s="48">
        <f t="shared" si="4"/>
        <v>10521536.90529184</v>
      </c>
      <c r="O7" s="32">
        <f t="shared" si="5"/>
        <v>287446.12529183924</v>
      </c>
      <c r="P7" s="41">
        <f t="shared" si="6"/>
        <v>2.8087118970410305E-2</v>
      </c>
      <c r="Q7" s="12">
        <f t="shared" si="9"/>
        <v>2.8087118970410305E-2</v>
      </c>
      <c r="R7" s="135">
        <f t="shared" si="2"/>
        <v>82625274945.291748</v>
      </c>
      <c r="S7" s="135">
        <f t="shared" si="7"/>
        <v>513906.32685926557</v>
      </c>
      <c r="T7" s="135">
        <f t="shared" si="8"/>
        <v>264099712785.9823</v>
      </c>
      <c r="V7" t="s">
        <v>18</v>
      </c>
      <c r="W7" s="136">
        <v>0.90604457916088132</v>
      </c>
      <c r="AF7" s="106"/>
      <c r="AG7" s="106"/>
      <c r="AH7" s="106"/>
      <c r="AI7" s="106"/>
    </row>
    <row r="8" spans="1:35">
      <c r="A8" s="47">
        <v>42551</v>
      </c>
      <c r="B8" s="48">
        <f>Inputs!D65</f>
        <v>16760016.93</v>
      </c>
      <c r="C8" s="48">
        <f>Inputs!E65</f>
        <v>264615.24</v>
      </c>
      <c r="D8" s="48">
        <f t="shared" si="0"/>
        <v>17024632.169999998</v>
      </c>
      <c r="E8" s="48">
        <v>1306218.8199999998</v>
      </c>
      <c r="F8" s="48">
        <v>4271213.41</v>
      </c>
      <c r="G8" s="48">
        <f t="shared" si="3"/>
        <v>11447199.939999998</v>
      </c>
      <c r="H8" s="48">
        <f>'Weather Analysis'!E13</f>
        <v>42.5</v>
      </c>
      <c r="I8" s="48">
        <f>'Weather Analysis'!E32</f>
        <v>43.8</v>
      </c>
      <c r="J8" s="48">
        <v>30</v>
      </c>
      <c r="K8" s="111">
        <v>0</v>
      </c>
      <c r="L8" s="48">
        <f>Inputs!G65+Inputs!I65+Inputs!L65+Inputs!O65+Inputs!R65+Inputs!AA65</f>
        <v>7015</v>
      </c>
      <c r="M8" s="48">
        <v>0</v>
      </c>
      <c r="N8" s="48">
        <f t="shared" si="4"/>
        <v>11024638.866554134</v>
      </c>
      <c r="O8" s="32">
        <f t="shared" si="5"/>
        <v>-422561.07344586402</v>
      </c>
      <c r="P8" s="41">
        <f t="shared" si="6"/>
        <v>-3.6913924423500909E-2</v>
      </c>
      <c r="Q8" s="12">
        <f t="shared" si="9"/>
        <v>3.6913924423500909E-2</v>
      </c>
      <c r="R8" s="135">
        <f t="shared" si="2"/>
        <v>178557860791.72089</v>
      </c>
      <c r="S8" s="135">
        <f t="shared" si="7"/>
        <v>-710007.19873770326</v>
      </c>
      <c r="T8" s="135">
        <f t="shared" si="8"/>
        <v>504110222259.36047</v>
      </c>
      <c r="V8" t="s">
        <v>19</v>
      </c>
      <c r="W8" s="137">
        <v>398903.16033600213</v>
      </c>
      <c r="AF8" s="106"/>
      <c r="AG8" s="106"/>
      <c r="AH8" s="106"/>
      <c r="AI8" s="106"/>
    </row>
    <row r="9" spans="1:35" ht="13.8" thickBot="1">
      <c r="A9" s="47">
        <v>42582</v>
      </c>
      <c r="B9" s="48">
        <f>Inputs!D66</f>
        <v>17584612.699999999</v>
      </c>
      <c r="C9" s="48">
        <f>Inputs!E66</f>
        <v>249446.96</v>
      </c>
      <c r="D9" s="48">
        <f t="shared" si="0"/>
        <v>17834059.66</v>
      </c>
      <c r="E9" s="48">
        <v>1366765.55</v>
      </c>
      <c r="F9" s="48">
        <v>3813952.6999999997</v>
      </c>
      <c r="G9" s="48">
        <f t="shared" si="3"/>
        <v>12653341.41</v>
      </c>
      <c r="H9" s="48">
        <f>'Weather Analysis'!E14</f>
        <v>4.4000000000000004</v>
      </c>
      <c r="I9" s="48">
        <f>'Weather Analysis'!E33</f>
        <v>109.1</v>
      </c>
      <c r="J9" s="48">
        <v>31</v>
      </c>
      <c r="K9" s="111">
        <v>0</v>
      </c>
      <c r="L9" s="48">
        <f>Inputs!G66+Inputs!I66+Inputs!L66+Inputs!O66+Inputs!R66+Inputs!AA66</f>
        <v>7029</v>
      </c>
      <c r="M9" s="48">
        <v>0</v>
      </c>
      <c r="N9" s="48">
        <f t="shared" si="4"/>
        <v>13239963.500238679</v>
      </c>
      <c r="O9" s="32">
        <f t="shared" si="5"/>
        <v>586622.0902386792</v>
      </c>
      <c r="P9" s="41">
        <f t="shared" si="6"/>
        <v>4.6361041817386574E-2</v>
      </c>
      <c r="Q9" s="12">
        <f t="shared" si="9"/>
        <v>4.6361041817386574E-2</v>
      </c>
      <c r="R9" s="135">
        <f t="shared" si="2"/>
        <v>344125476755.99707</v>
      </c>
      <c r="S9" s="135">
        <f t="shared" si="7"/>
        <v>1009183.1636845432</v>
      </c>
      <c r="T9" s="135">
        <f t="shared" si="8"/>
        <v>1018450657864.3435</v>
      </c>
      <c r="V9" s="113" t="s">
        <v>20</v>
      </c>
      <c r="W9" s="113">
        <v>84</v>
      </c>
      <c r="AF9" s="106"/>
      <c r="AG9" s="106"/>
      <c r="AH9" s="106"/>
      <c r="AI9" s="106"/>
    </row>
    <row r="10" spans="1:35">
      <c r="A10" s="47">
        <v>42613</v>
      </c>
      <c r="B10" s="48">
        <f>Inputs!D67</f>
        <v>20027554.73</v>
      </c>
      <c r="C10" s="48">
        <f>Inputs!E67</f>
        <v>228668.65</v>
      </c>
      <c r="D10" s="48">
        <f t="shared" si="0"/>
        <v>20256223.379999999</v>
      </c>
      <c r="E10" s="48">
        <v>1456378.23</v>
      </c>
      <c r="F10" s="48">
        <v>4753916.74</v>
      </c>
      <c r="G10" s="48">
        <f t="shared" si="3"/>
        <v>14045928.409999998</v>
      </c>
      <c r="H10" s="48">
        <f>'Weather Analysis'!E15</f>
        <v>0.7</v>
      </c>
      <c r="I10" s="48">
        <f>'Weather Analysis'!E34</f>
        <v>124.20000000000002</v>
      </c>
      <c r="J10" s="48">
        <v>31</v>
      </c>
      <c r="K10" s="111">
        <v>0</v>
      </c>
      <c r="L10" s="48">
        <f>Inputs!G67+Inputs!I67+Inputs!L67+Inputs!O67+Inputs!R67+Inputs!AA67</f>
        <v>7045</v>
      </c>
      <c r="M10" s="48">
        <v>0</v>
      </c>
      <c r="N10" s="48">
        <f t="shared" si="4"/>
        <v>13706285.847341735</v>
      </c>
      <c r="O10" s="32">
        <f t="shared" si="5"/>
        <v>-339642.56265826337</v>
      </c>
      <c r="P10" s="41">
        <f t="shared" si="6"/>
        <v>-2.4180855315797771E-2</v>
      </c>
      <c r="Q10" s="12">
        <f t="shared" si="9"/>
        <v>2.4180855315797771E-2</v>
      </c>
      <c r="R10" s="135">
        <f t="shared" si="2"/>
        <v>115357070369.07236</v>
      </c>
      <c r="S10" s="135">
        <f t="shared" si="7"/>
        <v>-926264.65289694257</v>
      </c>
      <c r="T10" s="135">
        <f t="shared" si="8"/>
        <v>857966207206.29346</v>
      </c>
      <c r="AF10" s="106"/>
      <c r="AG10" s="106"/>
      <c r="AH10" s="106"/>
      <c r="AI10" s="106"/>
    </row>
    <row r="11" spans="1:35" ht="13.8" thickBot="1">
      <c r="A11" s="47">
        <v>42643</v>
      </c>
      <c r="B11" s="48">
        <f>Inputs!D68</f>
        <v>17024200.449999999</v>
      </c>
      <c r="C11" s="48">
        <f>Inputs!E68</f>
        <v>191588.72</v>
      </c>
      <c r="D11" s="48">
        <f t="shared" si="0"/>
        <v>17215789.169999998</v>
      </c>
      <c r="E11" s="48">
        <v>1349320.0799999998</v>
      </c>
      <c r="F11" s="48">
        <v>4536643.54</v>
      </c>
      <c r="G11" s="48">
        <f t="shared" si="3"/>
        <v>11329825.549999997</v>
      </c>
      <c r="H11" s="48">
        <f>'Weather Analysis'!E16</f>
        <v>40.9</v>
      </c>
      <c r="I11" s="48">
        <f>'Weather Analysis'!E35</f>
        <v>40.000000000000007</v>
      </c>
      <c r="J11" s="48">
        <v>30</v>
      </c>
      <c r="K11" s="111">
        <v>1</v>
      </c>
      <c r="L11" s="48">
        <f>Inputs!G68+Inputs!I68+Inputs!L68+Inputs!O68+Inputs!R68+Inputs!AA68</f>
        <v>7053</v>
      </c>
      <c r="M11" s="48">
        <v>0</v>
      </c>
      <c r="N11" s="48">
        <f t="shared" si="4"/>
        <v>10488652.49194129</v>
      </c>
      <c r="O11" s="32">
        <f t="shared" si="5"/>
        <v>-841173.05805870704</v>
      </c>
      <c r="P11" s="41">
        <f t="shared" si="6"/>
        <v>-7.4244131504629149E-2</v>
      </c>
      <c r="Q11" s="12">
        <f t="shared" si="9"/>
        <v>7.4244131504629149E-2</v>
      </c>
      <c r="R11" s="135">
        <f t="shared" si="2"/>
        <v>707572113603.83691</v>
      </c>
      <c r="S11" s="135">
        <f t="shared" si="7"/>
        <v>-501530.49540044367</v>
      </c>
      <c r="T11" s="135">
        <f t="shared" si="8"/>
        <v>251532837816.61444</v>
      </c>
      <c r="V11" t="s">
        <v>21</v>
      </c>
    </row>
    <row r="12" spans="1:35">
      <c r="A12" s="47">
        <v>42674</v>
      </c>
      <c r="B12" s="48">
        <f>Inputs!D69</f>
        <v>15911420.27</v>
      </c>
      <c r="C12" s="48">
        <f>Inputs!E69</f>
        <v>132639.69</v>
      </c>
      <c r="D12" s="48">
        <f t="shared" si="0"/>
        <v>16044059.959999999</v>
      </c>
      <c r="E12" s="48">
        <v>1234720.6599999999</v>
      </c>
      <c r="F12" s="48">
        <v>4536507.6399999997</v>
      </c>
      <c r="G12" s="48">
        <f t="shared" si="3"/>
        <v>10272831.66</v>
      </c>
      <c r="H12" s="48">
        <f>'Weather Analysis'!E17</f>
        <v>212.90000000000003</v>
      </c>
      <c r="I12" s="48">
        <f>'Weather Analysis'!E36</f>
        <v>3.3</v>
      </c>
      <c r="J12" s="48">
        <v>31</v>
      </c>
      <c r="K12" s="111">
        <v>1</v>
      </c>
      <c r="L12" s="48">
        <f>Inputs!G69+Inputs!I69+Inputs!L69+Inputs!O69+Inputs!R69+Inputs!AA69</f>
        <v>7064</v>
      </c>
      <c r="M12" s="48">
        <v>0</v>
      </c>
      <c r="N12" s="48">
        <f t="shared" si="4"/>
        <v>10075310.757917989</v>
      </c>
      <c r="O12" s="32">
        <f t="shared" si="5"/>
        <v>-197520.9020820111</v>
      </c>
      <c r="P12" s="41">
        <f t="shared" si="6"/>
        <v>-1.9227503050703268E-2</v>
      </c>
      <c r="Q12" s="12">
        <f t="shared" si="9"/>
        <v>1.9227503050703268E-2</v>
      </c>
      <c r="R12" s="135">
        <f t="shared" si="2"/>
        <v>39014506759.29142</v>
      </c>
      <c r="S12" s="135">
        <f t="shared" si="7"/>
        <v>643652.15597669594</v>
      </c>
      <c r="T12" s="135">
        <f t="shared" si="8"/>
        <v>414288097893.44891</v>
      </c>
      <c r="V12" s="114"/>
      <c r="W12" s="114" t="s">
        <v>25</v>
      </c>
      <c r="X12" s="114" t="s">
        <v>26</v>
      </c>
      <c r="Y12" s="114" t="s">
        <v>27</v>
      </c>
      <c r="Z12" s="114" t="s">
        <v>28</v>
      </c>
      <c r="AA12" s="114" t="s">
        <v>29</v>
      </c>
    </row>
    <row r="13" spans="1:35">
      <c r="A13" s="47">
        <v>42704</v>
      </c>
      <c r="B13" s="48">
        <f>Inputs!D70</f>
        <v>15908144.58</v>
      </c>
      <c r="C13" s="48">
        <f>Inputs!E70</f>
        <v>91505.37</v>
      </c>
      <c r="D13" s="48">
        <f t="shared" si="0"/>
        <v>15999649.949999999</v>
      </c>
      <c r="E13" s="48">
        <v>1266138.96</v>
      </c>
      <c r="F13" s="48">
        <v>4373435.6499999994</v>
      </c>
      <c r="G13" s="48">
        <f t="shared" si="3"/>
        <v>10360075.34</v>
      </c>
      <c r="H13" s="48">
        <f>'Weather Analysis'!E18</f>
        <v>364.5</v>
      </c>
      <c r="I13" s="48">
        <f>'Weather Analysis'!E37</f>
        <v>0</v>
      </c>
      <c r="J13" s="48">
        <v>30</v>
      </c>
      <c r="K13" s="111">
        <v>0</v>
      </c>
      <c r="L13" s="48">
        <f>Inputs!G70+Inputs!I70+Inputs!L70+Inputs!O70+Inputs!R70+Inputs!AA70</f>
        <v>7067</v>
      </c>
      <c r="M13" s="48">
        <v>0</v>
      </c>
      <c r="N13" s="48">
        <f t="shared" si="4"/>
        <v>10423458.199752158</v>
      </c>
      <c r="O13" s="32">
        <f t="shared" si="5"/>
        <v>63382.859752157703</v>
      </c>
      <c r="P13" s="41">
        <f t="shared" si="6"/>
        <v>6.1179921643463361E-3</v>
      </c>
      <c r="Q13" s="12">
        <f t="shared" si="9"/>
        <v>6.1179921643463361E-3</v>
      </c>
      <c r="R13" s="135">
        <f t="shared" si="2"/>
        <v>4017386910.3616929</v>
      </c>
      <c r="S13" s="135">
        <f t="shared" si="7"/>
        <v>260903.76183416881</v>
      </c>
      <c r="T13" s="135">
        <f t="shared" si="8"/>
        <v>68070772939.22068</v>
      </c>
      <c r="V13" t="s">
        <v>22</v>
      </c>
      <c r="W13">
        <v>6</v>
      </c>
      <c r="X13">
        <v>128317006431744.59</v>
      </c>
      <c r="Y13">
        <v>21386167738624.098</v>
      </c>
      <c r="Z13" s="138">
        <v>134.399611927168</v>
      </c>
      <c r="AA13">
        <v>1.0685257992552773E-38</v>
      </c>
    </row>
    <row r="14" spans="1:35">
      <c r="A14" s="47">
        <v>42735</v>
      </c>
      <c r="B14" s="48">
        <f>Inputs!D71</f>
        <v>16116946.359999999</v>
      </c>
      <c r="C14" s="48">
        <f>Inputs!E71</f>
        <v>14828.03</v>
      </c>
      <c r="D14" s="48">
        <f t="shared" si="0"/>
        <v>16131774.389999999</v>
      </c>
      <c r="E14" s="48">
        <v>1137069.6299999999</v>
      </c>
      <c r="F14" s="48">
        <v>3672969.6100000003</v>
      </c>
      <c r="G14" s="48">
        <f t="shared" si="3"/>
        <v>11321735.149999999</v>
      </c>
      <c r="H14" s="48">
        <f>'Weather Analysis'!E19</f>
        <v>645.10000000000014</v>
      </c>
      <c r="I14" s="48">
        <f>'Weather Analysis'!E38</f>
        <v>0</v>
      </c>
      <c r="J14" s="48">
        <v>31</v>
      </c>
      <c r="K14" s="111">
        <v>0</v>
      </c>
      <c r="L14" s="48">
        <f>Inputs!G71+Inputs!I71+Inputs!L71+Inputs!O71+Inputs!R71+Inputs!AA71</f>
        <v>7085</v>
      </c>
      <c r="M14" s="48">
        <v>0</v>
      </c>
      <c r="N14" s="48">
        <f t="shared" si="4"/>
        <v>11316956.120657843</v>
      </c>
      <c r="O14" s="32">
        <f t="shared" si="5"/>
        <v>-4779.0293421559036</v>
      </c>
      <c r="P14" s="41">
        <f t="shared" si="6"/>
        <v>-4.2211103499942802E-4</v>
      </c>
      <c r="Q14" s="12">
        <f t="shared" si="9"/>
        <v>4.2211103499942802E-4</v>
      </c>
      <c r="R14" s="135">
        <f t="shared" si="2"/>
        <v>22839121.453187089</v>
      </c>
      <c r="S14" s="135">
        <f t="shared" si="7"/>
        <v>-68161.889094313607</v>
      </c>
      <c r="T14" s="135">
        <f t="shared" si="8"/>
        <v>4646043124.905508</v>
      </c>
      <c r="V14" t="s">
        <v>23</v>
      </c>
      <c r="W14">
        <v>77</v>
      </c>
      <c r="X14">
        <v>12252527312105.867</v>
      </c>
      <c r="Y14">
        <v>159123731326.05023</v>
      </c>
      <c r="Z14" s="138"/>
      <c r="AA14" s="138"/>
    </row>
    <row r="15" spans="1:35" ht="13.8" thickBot="1">
      <c r="A15" s="47">
        <v>42766</v>
      </c>
      <c r="B15" s="48">
        <f>Inputs!D72</f>
        <v>17123786.129999999</v>
      </c>
      <c r="C15" s="48">
        <f>Inputs!E72</f>
        <v>40918.46</v>
      </c>
      <c r="D15" s="48">
        <f t="shared" si="0"/>
        <v>17164704.59</v>
      </c>
      <c r="E15" s="48">
        <v>1299339.8</v>
      </c>
      <c r="F15" s="48">
        <v>4258095.4399999995</v>
      </c>
      <c r="G15" s="48">
        <f t="shared" si="3"/>
        <v>11607269.35</v>
      </c>
      <c r="H15" s="48">
        <f>'Weather Analysis'!F8</f>
        <v>605.4</v>
      </c>
      <c r="I15" s="48">
        <f>'Weather Analysis'!F27</f>
        <v>0</v>
      </c>
      <c r="J15" s="48">
        <v>31</v>
      </c>
      <c r="K15" s="111">
        <v>0</v>
      </c>
      <c r="L15" s="48">
        <f>Inputs!G72+Inputs!I72+Inputs!L72+Inputs!O72+Inputs!R72+Inputs!AA72</f>
        <v>7094</v>
      </c>
      <c r="M15" s="48">
        <v>0</v>
      </c>
      <c r="N15" s="48">
        <f t="shared" si="4"/>
        <v>11255572.176810274</v>
      </c>
      <c r="O15" s="32">
        <f t="shared" si="5"/>
        <v>-351697.17318972573</v>
      </c>
      <c r="P15" s="41">
        <f t="shared" si="6"/>
        <v>-3.029973394989113E-2</v>
      </c>
      <c r="Q15" s="12">
        <f t="shared" si="9"/>
        <v>3.029973394989113E-2</v>
      </c>
      <c r="R15" s="135">
        <f t="shared" si="2"/>
        <v>123690901629.64394</v>
      </c>
      <c r="S15" s="135">
        <f t="shared" si="7"/>
        <v>-346918.14384756982</v>
      </c>
      <c r="T15" s="135">
        <f t="shared" si="8"/>
        <v>120352198530.64314</v>
      </c>
      <c r="V15" s="113" t="s">
        <v>7</v>
      </c>
      <c r="W15" s="113">
        <v>83</v>
      </c>
      <c r="X15" s="113">
        <v>140569533743850.47</v>
      </c>
      <c r="Y15" s="113"/>
      <c r="Z15" s="139"/>
      <c r="AA15" s="139"/>
    </row>
    <row r="16" spans="1:35" ht="13.8" thickBot="1">
      <c r="A16" s="47">
        <v>42794</v>
      </c>
      <c r="B16" s="48">
        <f>Inputs!D73</f>
        <v>15034182.73</v>
      </c>
      <c r="C16" s="48">
        <f>Inputs!E73</f>
        <v>98842.77</v>
      </c>
      <c r="D16" s="48">
        <f t="shared" si="0"/>
        <v>15133025.5</v>
      </c>
      <c r="E16" s="48">
        <v>1201380.51</v>
      </c>
      <c r="F16" s="48">
        <v>3901375.5300000003</v>
      </c>
      <c r="G16" s="48">
        <f t="shared" si="3"/>
        <v>10030269.460000001</v>
      </c>
      <c r="H16" s="48">
        <f>'Weather Analysis'!F9</f>
        <v>507.69999999999993</v>
      </c>
      <c r="I16" s="48">
        <f>'Weather Analysis'!F28</f>
        <v>0</v>
      </c>
      <c r="J16" s="48">
        <v>28</v>
      </c>
      <c r="K16" s="111">
        <v>0</v>
      </c>
      <c r="L16" s="48">
        <f>Inputs!G73+Inputs!I73+Inputs!L73+Inputs!O73+Inputs!R73+Inputs!AA73</f>
        <v>7111</v>
      </c>
      <c r="M16" s="48">
        <v>0</v>
      </c>
      <c r="N16" s="48">
        <f t="shared" si="4"/>
        <v>10108850.72928666</v>
      </c>
      <c r="O16" s="32">
        <f t="shared" si="5"/>
        <v>78581.269286658615</v>
      </c>
      <c r="P16" s="41">
        <f t="shared" si="6"/>
        <v>7.8344125848298606E-3</v>
      </c>
      <c r="Q16" s="12">
        <f t="shared" si="9"/>
        <v>7.8344125848298606E-3</v>
      </c>
      <c r="R16" s="135">
        <f t="shared" si="2"/>
        <v>6175015882.7023563</v>
      </c>
      <c r="S16" s="135">
        <f t="shared" si="7"/>
        <v>430278.44247638434</v>
      </c>
      <c r="T16" s="135">
        <f t="shared" si="8"/>
        <v>185139538059.9032</v>
      </c>
    </row>
    <row r="17" spans="1:28">
      <c r="A17" s="47">
        <v>42825</v>
      </c>
      <c r="B17" s="48">
        <f>Inputs!D74</f>
        <v>16518332.300000001</v>
      </c>
      <c r="C17" s="48">
        <f>Inputs!E74</f>
        <v>144381.45000000001</v>
      </c>
      <c r="D17" s="48">
        <f t="shared" si="0"/>
        <v>16662713.75</v>
      </c>
      <c r="E17" s="48">
        <v>1325848.7599999998</v>
      </c>
      <c r="F17" s="48">
        <v>4291491.49</v>
      </c>
      <c r="G17" s="48">
        <f t="shared" si="3"/>
        <v>11045373.5</v>
      </c>
      <c r="H17" s="48">
        <f>'Weather Analysis'!F10</f>
        <v>568.4</v>
      </c>
      <c r="I17" s="48">
        <f>'Weather Analysis'!F29</f>
        <v>0</v>
      </c>
      <c r="J17" s="48">
        <v>31</v>
      </c>
      <c r="K17" s="111">
        <v>1</v>
      </c>
      <c r="L17" s="48">
        <f>Inputs!G74+Inputs!I74+Inputs!L74+Inputs!O74+Inputs!R74+Inputs!AA74</f>
        <v>7115</v>
      </c>
      <c r="M17" s="48">
        <v>0</v>
      </c>
      <c r="N17" s="48">
        <f t="shared" si="4"/>
        <v>10737528.178466462</v>
      </c>
      <c r="O17" s="32">
        <f t="shared" si="5"/>
        <v>-307845.3215335384</v>
      </c>
      <c r="P17" s="41">
        <f t="shared" si="6"/>
        <v>-2.7870974352613643E-2</v>
      </c>
      <c r="Q17" s="12">
        <f t="shared" si="9"/>
        <v>2.7870974352613643E-2</v>
      </c>
      <c r="R17" s="135">
        <f t="shared" si="2"/>
        <v>94768741990.087646</v>
      </c>
      <c r="S17" s="135">
        <f t="shared" si="7"/>
        <v>-386426.59082019702</v>
      </c>
      <c r="T17" s="135">
        <f t="shared" si="8"/>
        <v>149325510092.91998</v>
      </c>
      <c r="V17" s="114"/>
      <c r="W17" s="114" t="s">
        <v>30</v>
      </c>
      <c r="X17" s="114" t="s">
        <v>19</v>
      </c>
      <c r="Y17" s="114" t="s">
        <v>31</v>
      </c>
      <c r="Z17" s="114" t="s">
        <v>32</v>
      </c>
      <c r="AA17" s="114" t="s">
        <v>33</v>
      </c>
      <c r="AB17" s="114" t="s">
        <v>34</v>
      </c>
    </row>
    <row r="18" spans="1:28">
      <c r="A18" s="47">
        <v>42855</v>
      </c>
      <c r="B18" s="48">
        <f>Inputs!D75</f>
        <v>13982812.939999999</v>
      </c>
      <c r="C18" s="48">
        <f>Inputs!E75</f>
        <v>180225.96</v>
      </c>
      <c r="D18" s="48">
        <f t="shared" si="0"/>
        <v>14163038.9</v>
      </c>
      <c r="E18" s="48">
        <v>1205713.79</v>
      </c>
      <c r="F18" s="48">
        <v>3567728.34</v>
      </c>
      <c r="G18" s="48">
        <f t="shared" si="3"/>
        <v>9389596.7699999996</v>
      </c>
      <c r="H18" s="48">
        <f>'Weather Analysis'!F11</f>
        <v>255.80000000000004</v>
      </c>
      <c r="I18" s="48">
        <f>'Weather Analysis'!F30</f>
        <v>0</v>
      </c>
      <c r="J18" s="48">
        <v>30</v>
      </c>
      <c r="K18" s="111">
        <v>1</v>
      </c>
      <c r="L18" s="48">
        <f>Inputs!G75+Inputs!I75+Inputs!L75+Inputs!O75+Inputs!R75+Inputs!AA75</f>
        <v>7119</v>
      </c>
      <c r="M18" s="48">
        <v>0</v>
      </c>
      <c r="N18" s="48">
        <f t="shared" si="4"/>
        <v>9818129.4793985114</v>
      </c>
      <c r="O18" s="32">
        <f t="shared" si="5"/>
        <v>428532.7093985118</v>
      </c>
      <c r="P18" s="41">
        <f t="shared" si="6"/>
        <v>4.5639096107692789E-2</v>
      </c>
      <c r="Q18" s="12">
        <f t="shared" si="9"/>
        <v>4.5639096107692789E-2</v>
      </c>
      <c r="R18" s="135">
        <f t="shared" si="2"/>
        <v>183640283024.42935</v>
      </c>
      <c r="S18" s="135">
        <f t="shared" si="7"/>
        <v>736378.0309320502</v>
      </c>
      <c r="T18" s="135">
        <f t="shared" si="8"/>
        <v>542252604439.36346</v>
      </c>
      <c r="V18" t="s">
        <v>24</v>
      </c>
      <c r="W18" s="137">
        <v>-11446292.259978946</v>
      </c>
      <c r="X18" s="137">
        <v>1894729.8713523496</v>
      </c>
      <c r="Y18" s="138">
        <v>-6.0411209181017655</v>
      </c>
      <c r="Z18" s="138">
        <v>5.0815512018787012E-8</v>
      </c>
      <c r="AA18" s="137">
        <v>-15219181.44438298</v>
      </c>
      <c r="AB18" s="137">
        <v>-7673403.0755749112</v>
      </c>
    </row>
    <row r="19" spans="1:28">
      <c r="A19" s="47">
        <v>42886</v>
      </c>
      <c r="B19" s="48">
        <f>Inputs!D76</f>
        <v>15061646.42</v>
      </c>
      <c r="C19" s="48">
        <f>Inputs!E76</f>
        <v>211937.72</v>
      </c>
      <c r="D19" s="48">
        <f t="shared" si="0"/>
        <v>15273584.140000001</v>
      </c>
      <c r="E19" s="48">
        <v>1314156.01</v>
      </c>
      <c r="F19" s="48">
        <v>3987885.81</v>
      </c>
      <c r="G19" s="48">
        <f t="shared" si="3"/>
        <v>9971542.3200000003</v>
      </c>
      <c r="H19" s="48">
        <f>'Weather Analysis'!F12</f>
        <v>194.60000000000002</v>
      </c>
      <c r="I19" s="48">
        <f>'Weather Analysis'!F31</f>
        <v>7.3</v>
      </c>
      <c r="J19" s="48">
        <v>31</v>
      </c>
      <c r="K19" s="111">
        <v>1</v>
      </c>
      <c r="L19" s="48">
        <f>Inputs!G76+Inputs!I76+Inputs!L76+Inputs!O76+Inputs!R76+Inputs!AA76</f>
        <v>7125</v>
      </c>
      <c r="M19" s="48">
        <v>0</v>
      </c>
      <c r="N19" s="48">
        <f t="shared" si="4"/>
        <v>10256540.75783916</v>
      </c>
      <c r="O19" s="32">
        <f t="shared" si="5"/>
        <v>284998.43783915974</v>
      </c>
      <c r="P19" s="41">
        <f t="shared" si="6"/>
        <v>2.8581179189054451E-2</v>
      </c>
      <c r="Q19" s="12">
        <f t="shared" si="9"/>
        <v>2.8581179189054451E-2</v>
      </c>
      <c r="R19" s="135">
        <f t="shared" si="2"/>
        <v>81224109570.761398</v>
      </c>
      <c r="S19" s="135">
        <f t="shared" si="7"/>
        <v>-143534.27155935206</v>
      </c>
      <c r="T19" s="135">
        <f t="shared" si="8"/>
        <v>20602087112.073822</v>
      </c>
      <c r="V19" t="s">
        <v>2</v>
      </c>
      <c r="W19" s="137">
        <v>1908.6774191767352</v>
      </c>
      <c r="X19" s="137">
        <v>313.91277188568682</v>
      </c>
      <c r="Y19" s="138">
        <v>6.0802795875785236</v>
      </c>
      <c r="Z19" s="138">
        <v>4.3097038926344034E-8</v>
      </c>
      <c r="AA19" s="137">
        <v>1283.5972323908099</v>
      </c>
      <c r="AB19" s="137">
        <v>2533.7576059626604</v>
      </c>
    </row>
    <row r="20" spans="1:28">
      <c r="A20" s="47">
        <v>42916</v>
      </c>
      <c r="B20" s="48">
        <f>Inputs!D77</f>
        <v>16237904.83</v>
      </c>
      <c r="C20" s="48">
        <f>Inputs!E77</f>
        <v>236828.58</v>
      </c>
      <c r="D20" s="48">
        <f t="shared" si="0"/>
        <v>16474733.41</v>
      </c>
      <c r="E20" s="48">
        <v>1376051.22</v>
      </c>
      <c r="F20" s="48">
        <v>3867008.4699999997</v>
      </c>
      <c r="G20" s="48">
        <f t="shared" si="3"/>
        <v>11231673.719999999</v>
      </c>
      <c r="H20" s="48">
        <f>'Weather Analysis'!F13</f>
        <v>37.400000000000006</v>
      </c>
      <c r="I20" s="48">
        <f>'Weather Analysis'!F32</f>
        <v>59.6</v>
      </c>
      <c r="J20" s="48">
        <v>30</v>
      </c>
      <c r="K20" s="111">
        <v>0</v>
      </c>
      <c r="L20" s="48">
        <f>Inputs!G77+Inputs!I77+Inputs!L77+Inputs!O77+Inputs!R77+Inputs!AA77</f>
        <v>7136</v>
      </c>
      <c r="M20" s="48">
        <v>0</v>
      </c>
      <c r="N20" s="48">
        <f t="shared" si="4"/>
        <v>11676937.810231786</v>
      </c>
      <c r="O20" s="32">
        <f t="shared" si="5"/>
        <v>445264.09023178741</v>
      </c>
      <c r="P20" s="41">
        <f t="shared" si="6"/>
        <v>3.9643609788887944E-2</v>
      </c>
      <c r="Q20" s="12">
        <f t="shared" si="9"/>
        <v>3.9643609788887944E-2</v>
      </c>
      <c r="R20" s="135">
        <f t="shared" si="2"/>
        <v>198260110049.94131</v>
      </c>
      <c r="S20" s="135">
        <f t="shared" si="7"/>
        <v>160265.65239262767</v>
      </c>
      <c r="T20" s="135">
        <f t="shared" si="8"/>
        <v>25685079336.834564</v>
      </c>
      <c r="V20" t="s">
        <v>3</v>
      </c>
      <c r="W20" s="137">
        <v>29655.712191950635</v>
      </c>
      <c r="X20" s="137">
        <v>2244.0233373843021</v>
      </c>
      <c r="Y20" s="138">
        <v>13.215420578699588</v>
      </c>
      <c r="Z20" s="138">
        <v>1.712362563743408E-21</v>
      </c>
      <c r="AA20" s="137">
        <v>25187.290858030032</v>
      </c>
      <c r="AB20" s="137">
        <v>34124.133525871235</v>
      </c>
    </row>
    <row r="21" spans="1:28">
      <c r="A21" s="47">
        <v>42947</v>
      </c>
      <c r="B21" s="48">
        <f>Inputs!D78</f>
        <v>16605648.27</v>
      </c>
      <c r="C21" s="48">
        <f>Inputs!E78</f>
        <v>225248.93</v>
      </c>
      <c r="D21" s="48">
        <f t="shared" si="0"/>
        <v>16830897.199999999</v>
      </c>
      <c r="E21" s="48">
        <v>1358368.19</v>
      </c>
      <c r="F21" s="48">
        <v>3233481.45</v>
      </c>
      <c r="G21" s="48">
        <f t="shared" si="3"/>
        <v>12239047.559999999</v>
      </c>
      <c r="H21" s="48">
        <f>'Weather Analysis'!F14</f>
        <v>0.8</v>
      </c>
      <c r="I21" s="48">
        <f>'Weather Analysis'!F33</f>
        <v>78.300000000000011</v>
      </c>
      <c r="J21" s="48">
        <v>31</v>
      </c>
      <c r="K21" s="111">
        <v>0</v>
      </c>
      <c r="L21" s="48">
        <f>Inputs!G78+Inputs!I78+Inputs!L78+Inputs!O78+Inputs!R78+Inputs!AA78</f>
        <v>7145</v>
      </c>
      <c r="M21" s="48">
        <v>0</v>
      </c>
      <c r="N21" s="48">
        <f t="shared" si="4"/>
        <v>12505174.522070337</v>
      </c>
      <c r="O21" s="32">
        <f t="shared" si="5"/>
        <v>266126.96207033843</v>
      </c>
      <c r="P21" s="41">
        <f t="shared" si="6"/>
        <v>2.1744090850672245E-2</v>
      </c>
      <c r="Q21" s="12">
        <f t="shared" si="9"/>
        <v>2.1744090850672245E-2</v>
      </c>
      <c r="R21" s="135">
        <f t="shared" si="2"/>
        <v>70823559940.787354</v>
      </c>
      <c r="S21" s="135">
        <f t="shared" si="7"/>
        <v>-179137.12816144899</v>
      </c>
      <c r="T21" s="135">
        <f t="shared" si="8"/>
        <v>32090110685.9314</v>
      </c>
      <c r="V21" t="s">
        <v>90</v>
      </c>
      <c r="W21" s="137">
        <v>329141.93769719225</v>
      </c>
      <c r="X21" s="137">
        <v>57750.698255594907</v>
      </c>
      <c r="Y21" s="138">
        <v>5.6993585816134242</v>
      </c>
      <c r="Z21" s="138">
        <v>2.1087728655213577E-7</v>
      </c>
      <c r="AA21" s="137">
        <v>214145.60595899058</v>
      </c>
      <c r="AB21" s="137">
        <v>444138.26943539392</v>
      </c>
    </row>
    <row r="22" spans="1:28">
      <c r="A22" s="47">
        <v>42978</v>
      </c>
      <c r="B22" s="48">
        <f>Inputs!D79</f>
        <v>16791868.32</v>
      </c>
      <c r="C22" s="48">
        <f>Inputs!E79</f>
        <v>209082.47</v>
      </c>
      <c r="D22" s="48">
        <f t="shared" si="0"/>
        <v>17000950.789999999</v>
      </c>
      <c r="E22" s="48">
        <v>1152624.01</v>
      </c>
      <c r="F22" s="48">
        <v>3878368.4</v>
      </c>
      <c r="G22" s="48">
        <f t="shared" si="3"/>
        <v>11969958.379999999</v>
      </c>
      <c r="H22" s="48">
        <f>'Weather Analysis'!F15</f>
        <v>23.500000000000004</v>
      </c>
      <c r="I22" s="48">
        <f>'Weather Analysis'!F34</f>
        <v>43.300000000000004</v>
      </c>
      <c r="J22" s="48">
        <v>31</v>
      </c>
      <c r="K22" s="111">
        <v>0</v>
      </c>
      <c r="L22" s="48">
        <f>Inputs!G79+Inputs!I79+Inputs!L79+Inputs!O79+Inputs!R79+Inputs!AA79</f>
        <v>7160</v>
      </c>
      <c r="M22" s="48">
        <v>0</v>
      </c>
      <c r="N22" s="48">
        <f t="shared" si="4"/>
        <v>11534535.82225696</v>
      </c>
      <c r="O22" s="32">
        <f t="shared" si="5"/>
        <v>-435422.55774303898</v>
      </c>
      <c r="P22" s="41">
        <f t="shared" si="6"/>
        <v>-3.6376280010343612E-2</v>
      </c>
      <c r="Q22" s="12">
        <f t="shared" si="9"/>
        <v>3.6376280010343612E-2</v>
      </c>
      <c r="R22" s="135">
        <f t="shared" si="2"/>
        <v>189592803791.49011</v>
      </c>
      <c r="S22" s="135">
        <f t="shared" si="7"/>
        <v>-701549.51981337741</v>
      </c>
      <c r="T22" s="135">
        <f t="shared" si="8"/>
        <v>492171728750.38043</v>
      </c>
      <c r="V22" t="s">
        <v>13</v>
      </c>
      <c r="W22" s="137">
        <v>-481000.88311969</v>
      </c>
      <c r="X22" s="137">
        <v>119331.6743249312</v>
      </c>
      <c r="Y22" s="138">
        <v>-4.0307896946954811</v>
      </c>
      <c r="Z22" s="138">
        <v>1.2959189063699509E-4</v>
      </c>
      <c r="AA22" s="137">
        <v>-718620.60412826447</v>
      </c>
      <c r="AB22" s="137">
        <v>-243381.1621111155</v>
      </c>
    </row>
    <row r="23" spans="1:28">
      <c r="A23" s="47">
        <v>43008</v>
      </c>
      <c r="B23" s="48">
        <f>Inputs!D80</f>
        <v>15184922.210000001</v>
      </c>
      <c r="C23" s="48">
        <f>Inputs!E80</f>
        <v>202752.04</v>
      </c>
      <c r="D23" s="48">
        <f t="shared" si="0"/>
        <v>15387674.25</v>
      </c>
      <c r="E23" s="48">
        <v>1015208.41</v>
      </c>
      <c r="F23" s="48">
        <v>3513213.06</v>
      </c>
      <c r="G23" s="48">
        <f t="shared" si="3"/>
        <v>10859252.779999999</v>
      </c>
      <c r="H23" s="48">
        <f>'Weather Analysis'!F16</f>
        <v>71.399999999999991</v>
      </c>
      <c r="I23" s="48">
        <f>'Weather Analysis'!F35</f>
        <v>52.9</v>
      </c>
      <c r="J23" s="48">
        <v>30</v>
      </c>
      <c r="K23" s="111">
        <v>1</v>
      </c>
      <c r="L23" s="48">
        <f>Inputs!G80+Inputs!I80+Inputs!L80+Inputs!O80+Inputs!R80+Inputs!AA80</f>
        <v>7167</v>
      </c>
      <c r="M23" s="48">
        <v>0</v>
      </c>
      <c r="N23" s="48">
        <f t="shared" si="4"/>
        <v>11111706.136623176</v>
      </c>
      <c r="O23" s="32">
        <f t="shared" si="5"/>
        <v>252453.35662317649</v>
      </c>
      <c r="P23" s="41">
        <f t="shared" si="6"/>
        <v>2.3247764992461711E-2</v>
      </c>
      <c r="Q23" s="12">
        <f t="shared" si="9"/>
        <v>2.3247764992461711E-2</v>
      </c>
      <c r="R23" s="135">
        <f t="shared" si="2"/>
        <v>63732697270.308723</v>
      </c>
      <c r="S23" s="135">
        <f t="shared" si="7"/>
        <v>687875.91436621547</v>
      </c>
      <c r="T23" s="135">
        <f t="shared" si="8"/>
        <v>473173273565.15698</v>
      </c>
      <c r="V23" t="s">
        <v>104</v>
      </c>
      <c r="W23" s="137">
        <v>1598.949965972183</v>
      </c>
      <c r="X23" s="137">
        <v>113.10278726807043</v>
      </c>
      <c r="Y23" s="138">
        <v>14.137140247325945</v>
      </c>
      <c r="Z23" s="138">
        <v>4.2551007095808547E-23</v>
      </c>
      <c r="AA23" s="137">
        <v>1373.7335436939602</v>
      </c>
      <c r="AB23" s="137">
        <v>1824.1663882504058</v>
      </c>
    </row>
    <row r="24" spans="1:28" ht="13.8" thickBot="1">
      <c r="A24" s="47">
        <v>43039</v>
      </c>
      <c r="B24" s="48">
        <f>Inputs!D81</f>
        <v>14823920.949999999</v>
      </c>
      <c r="C24" s="48">
        <f>Inputs!E81</f>
        <v>127443.61</v>
      </c>
      <c r="D24" s="48">
        <f t="shared" si="0"/>
        <v>14951364.559999999</v>
      </c>
      <c r="E24" s="48">
        <v>941287.92</v>
      </c>
      <c r="F24" s="48">
        <v>3734043.4200000004</v>
      </c>
      <c r="G24" s="48">
        <f t="shared" si="3"/>
        <v>10276033.219999999</v>
      </c>
      <c r="H24" s="48">
        <f>'Weather Analysis'!F17</f>
        <v>184.39999999999998</v>
      </c>
      <c r="I24" s="48">
        <f>'Weather Analysis'!F36</f>
        <v>4.6000000000000005</v>
      </c>
      <c r="J24" s="48">
        <v>31</v>
      </c>
      <c r="K24" s="111">
        <v>1</v>
      </c>
      <c r="L24" s="48">
        <f>Inputs!G81+Inputs!I81+Inputs!L81+Inputs!O81+Inputs!R81+Inputs!AA81</f>
        <v>7177</v>
      </c>
      <c r="M24" s="48">
        <v>0</v>
      </c>
      <c r="N24" s="48">
        <f t="shared" si="4"/>
        <v>10240147.223475842</v>
      </c>
      <c r="O24" s="32">
        <f t="shared" si="5"/>
        <v>-35885.996524157003</v>
      </c>
      <c r="P24" s="41">
        <f t="shared" si="6"/>
        <v>-3.4922032418417005E-3</v>
      </c>
      <c r="Q24" s="12">
        <f t="shared" si="9"/>
        <v>3.4922032418417005E-3</v>
      </c>
      <c r="R24" s="135">
        <f t="shared" si="2"/>
        <v>1287804746.5318084</v>
      </c>
      <c r="S24" s="135">
        <f t="shared" si="7"/>
        <v>-288339.35314733349</v>
      </c>
      <c r="T24" s="135">
        <f t="shared" si="8"/>
        <v>83139582573.422699</v>
      </c>
      <c r="V24" s="113" t="s">
        <v>114</v>
      </c>
      <c r="W24" s="140">
        <v>-1627709.7353904694</v>
      </c>
      <c r="X24" s="140">
        <v>290896.87693051365</v>
      </c>
      <c r="Y24" s="139">
        <v>-5.5954871450176462</v>
      </c>
      <c r="Z24" s="139">
        <v>3.2314060963009273E-7</v>
      </c>
      <c r="AA24" s="140">
        <v>-2206959.4201831087</v>
      </c>
      <c r="AB24" s="140">
        <v>-1048460.0505978301</v>
      </c>
    </row>
    <row r="25" spans="1:28">
      <c r="A25" s="47">
        <v>43069</v>
      </c>
      <c r="B25" s="48">
        <f>Inputs!D82</f>
        <v>15176795.18</v>
      </c>
      <c r="C25" s="48">
        <f>Inputs!E82</f>
        <v>76466.039999999994</v>
      </c>
      <c r="D25" s="48">
        <f t="shared" si="0"/>
        <v>15253261.219999999</v>
      </c>
      <c r="E25" s="48">
        <v>892084.91999999993</v>
      </c>
      <c r="F25" s="48">
        <v>3835597.14</v>
      </c>
      <c r="G25" s="48">
        <f t="shared" si="3"/>
        <v>10525579.159999998</v>
      </c>
      <c r="H25" s="48">
        <f>'Weather Analysis'!F18</f>
        <v>447.5</v>
      </c>
      <c r="I25" s="48">
        <f>'Weather Analysis'!F37</f>
        <v>0</v>
      </c>
      <c r="J25" s="48">
        <v>30</v>
      </c>
      <c r="K25" s="111">
        <v>0</v>
      </c>
      <c r="L25" s="48">
        <f>Inputs!G82+Inputs!I82+Inputs!L82+Inputs!O82+Inputs!R82+Inputs!AA82</f>
        <v>7191</v>
      </c>
      <c r="M25" s="48">
        <v>0</v>
      </c>
      <c r="N25" s="48">
        <f t="shared" si="4"/>
        <v>10780148.221324377</v>
      </c>
      <c r="O25" s="32">
        <f t="shared" si="5"/>
        <v>254569.06132437848</v>
      </c>
      <c r="P25" s="41">
        <f t="shared" si="6"/>
        <v>2.4185753339997541E-2</v>
      </c>
      <c r="Q25" s="12">
        <f t="shared" si="9"/>
        <v>2.4185753339997541E-2</v>
      </c>
      <c r="R25" s="135">
        <f t="shared" si="2"/>
        <v>64805406983.575172</v>
      </c>
      <c r="S25" s="135">
        <f t="shared" si="7"/>
        <v>290455.05784853548</v>
      </c>
      <c r="T25" s="135">
        <f t="shared" si="8"/>
        <v>84364140629.796097</v>
      </c>
      <c r="V25" s="43"/>
    </row>
    <row r="26" spans="1:28">
      <c r="A26" s="47">
        <v>43100</v>
      </c>
      <c r="B26" s="48">
        <f>Inputs!D83</f>
        <v>15312049.84</v>
      </c>
      <c r="C26" s="48">
        <f>Inputs!E83</f>
        <v>29462.42</v>
      </c>
      <c r="D26" s="48">
        <f t="shared" si="0"/>
        <v>15341512.26</v>
      </c>
      <c r="E26" s="48">
        <v>768931.66999999993</v>
      </c>
      <c r="F26" s="48">
        <v>3124271.8600000003</v>
      </c>
      <c r="G26" s="48">
        <f t="shared" si="3"/>
        <v>11448308.73</v>
      </c>
      <c r="H26" s="48">
        <f>'Weather Analysis'!F19</f>
        <v>730</v>
      </c>
      <c r="I26" s="48">
        <f>'Weather Analysis'!F38</f>
        <v>0</v>
      </c>
      <c r="J26" s="48">
        <v>31</v>
      </c>
      <c r="K26" s="111">
        <v>0</v>
      </c>
      <c r="L26" s="48">
        <f>Inputs!G83+Inputs!I83+Inputs!L83+Inputs!O83+Inputs!R83+Inputs!AA83</f>
        <v>7190</v>
      </c>
      <c r="M26" s="48">
        <v>0</v>
      </c>
      <c r="N26" s="48">
        <f t="shared" si="4"/>
        <v>11646892.579973025</v>
      </c>
      <c r="O26" s="32">
        <f t="shared" si="5"/>
        <v>198583.8499730248</v>
      </c>
      <c r="P26" s="41">
        <f t="shared" si="6"/>
        <v>1.7346129865684082E-2</v>
      </c>
      <c r="Q26" s="12">
        <f t="shared" si="9"/>
        <v>1.7346129865684082E-2</v>
      </c>
      <c r="R26" s="135">
        <f t="shared" si="2"/>
        <v>39435545470.108826</v>
      </c>
      <c r="S26" s="135">
        <f t="shared" si="7"/>
        <v>-55985.211351353675</v>
      </c>
      <c r="T26" s="135">
        <f t="shared" si="8"/>
        <v>3134343890.0557404</v>
      </c>
      <c r="V26" s="43" t="s">
        <v>136</v>
      </c>
      <c r="W26" s="156">
        <f>Q87</f>
        <v>2.6717272924071795E-2</v>
      </c>
    </row>
    <row r="27" spans="1:28">
      <c r="A27" s="47">
        <v>43131</v>
      </c>
      <c r="B27" s="48">
        <f>Inputs!D84</f>
        <v>16892328.899999995</v>
      </c>
      <c r="C27" s="48">
        <f>Inputs!E84</f>
        <v>37099.270000000004</v>
      </c>
      <c r="D27" s="48">
        <f t="shared" si="0"/>
        <v>16929428.169999994</v>
      </c>
      <c r="E27" s="48">
        <v>920893.58000000007</v>
      </c>
      <c r="F27" s="48">
        <v>3911965.81</v>
      </c>
      <c r="G27" s="48">
        <f t="shared" si="3"/>
        <v>12096568.779999994</v>
      </c>
      <c r="H27" s="48">
        <f>'Weather Analysis'!G8</f>
        <v>764.80000000000007</v>
      </c>
      <c r="I27" s="48">
        <f>'Weather Analysis'!G27</f>
        <v>0</v>
      </c>
      <c r="J27" s="48">
        <v>31</v>
      </c>
      <c r="K27" s="111">
        <v>0</v>
      </c>
      <c r="L27" s="48">
        <f>Inputs!G84+Inputs!I84+Inputs!L84+Inputs!O84+Inputs!R84+Inputs!AA84</f>
        <v>7199</v>
      </c>
      <c r="M27" s="48">
        <v>0</v>
      </c>
      <c r="N27" s="48">
        <f>$W$18+$W$19*H27+$W$20*I27+$W$21*J27+$W$22*K27+$W$23*L27+M27*$W$24</f>
        <v>11727705.103854125</v>
      </c>
      <c r="O27" s="32">
        <f t="shared" si="5"/>
        <v>-368863.67614586838</v>
      </c>
      <c r="P27" s="41">
        <f t="shared" si="6"/>
        <v>-3.0493248362769905E-2</v>
      </c>
      <c r="Q27" s="12">
        <f t="shared" si="9"/>
        <v>3.0493248362769905E-2</v>
      </c>
      <c r="R27" s="135">
        <f t="shared" si="2"/>
        <v>136060411579.84407</v>
      </c>
      <c r="S27" s="135">
        <f t="shared" si="7"/>
        <v>-567447.52611889318</v>
      </c>
      <c r="T27" s="135">
        <f t="shared" si="8"/>
        <v>321996694898.45197</v>
      </c>
    </row>
    <row r="28" spans="1:28">
      <c r="A28" s="47">
        <v>43159</v>
      </c>
      <c r="B28" s="48">
        <f>Inputs!D85</f>
        <v>14940711.98</v>
      </c>
      <c r="C28" s="48">
        <f>Inputs!E85</f>
        <v>50870.44</v>
      </c>
      <c r="D28" s="48">
        <f t="shared" si="0"/>
        <v>14991582.42</v>
      </c>
      <c r="E28" s="48">
        <v>760193.62</v>
      </c>
      <c r="F28" s="48">
        <v>3678957.04</v>
      </c>
      <c r="G28" s="48">
        <f t="shared" si="3"/>
        <v>10552431.760000002</v>
      </c>
      <c r="H28" s="48">
        <f>'Weather Analysis'!G9</f>
        <v>585</v>
      </c>
      <c r="I28" s="48">
        <f>'Weather Analysis'!G28</f>
        <v>0</v>
      </c>
      <c r="J28" s="48">
        <v>28</v>
      </c>
      <c r="K28" s="111">
        <v>0</v>
      </c>
      <c r="L28" s="48">
        <f>Inputs!G85+Inputs!I85+Inputs!L85+Inputs!O85+Inputs!R85+Inputs!AA85</f>
        <v>7202</v>
      </c>
      <c r="M28" s="48">
        <v>0</v>
      </c>
      <c r="N28" s="48">
        <f>$W$18+$W$19*H28+$W$20*I28+$W$21*J28+$W$22*K28+$W$23*L28+M28*$W$24</f>
        <v>10401895.94069249</v>
      </c>
      <c r="O28" s="32">
        <f t="shared" si="5"/>
        <v>-150535.81930751167</v>
      </c>
      <c r="P28" s="41">
        <f t="shared" si="6"/>
        <v>-1.4265509858886938E-2</v>
      </c>
      <c r="Q28" s="12">
        <f t="shared" si="9"/>
        <v>1.4265509858886938E-2</v>
      </c>
      <c r="R28" s="135">
        <f t="shared" si="2"/>
        <v>22661032894.583805</v>
      </c>
      <c r="S28" s="135">
        <f t="shared" si="7"/>
        <v>218327.8568383567</v>
      </c>
      <c r="T28" s="135">
        <f t="shared" si="8"/>
        <v>47667053071.629982</v>
      </c>
      <c r="V28" t="s">
        <v>137</v>
      </c>
      <c r="W28" s="144">
        <f>T87</f>
        <v>17054727050550.691</v>
      </c>
    </row>
    <row r="29" spans="1:28">
      <c r="A29" s="47">
        <v>43190</v>
      </c>
      <c r="B29" s="48">
        <f>Inputs!D86</f>
        <v>15870053.460000001</v>
      </c>
      <c r="C29" s="48">
        <f>Inputs!E86</f>
        <v>157401.99</v>
      </c>
      <c r="D29" s="48">
        <f t="shared" si="0"/>
        <v>16027455.450000001</v>
      </c>
      <c r="E29" s="48">
        <v>806290.22000000009</v>
      </c>
      <c r="F29" s="48">
        <v>3925852.3400000003</v>
      </c>
      <c r="G29" s="48">
        <f t="shared" si="3"/>
        <v>11295312.890000001</v>
      </c>
      <c r="H29" s="48">
        <f>'Weather Analysis'!G10</f>
        <v>591.50000000000011</v>
      </c>
      <c r="I29" s="48">
        <f>'Weather Analysis'!G29</f>
        <v>0</v>
      </c>
      <c r="J29" s="48">
        <v>31</v>
      </c>
      <c r="K29" s="111">
        <v>1</v>
      </c>
      <c r="L29" s="48">
        <f>Inputs!G86+Inputs!I86+Inputs!L86+Inputs!O86+Inputs!R86+Inputs!AA86</f>
        <v>7212</v>
      </c>
      <c r="M29" s="48">
        <v>0</v>
      </c>
      <c r="N29" s="48">
        <f t="shared" si="4"/>
        <v>10936716.773548746</v>
      </c>
      <c r="O29" s="32">
        <f t="shared" si="5"/>
        <v>-358596.11645125411</v>
      </c>
      <c r="P29" s="41">
        <f t="shared" si="6"/>
        <v>-3.1747338028035282E-2</v>
      </c>
      <c r="Q29" s="12">
        <f t="shared" si="9"/>
        <v>3.1747338028035282E-2</v>
      </c>
      <c r="R29" s="135">
        <f t="shared" si="2"/>
        <v>128591174733.9214</v>
      </c>
      <c r="S29" s="135">
        <f t="shared" si="7"/>
        <v>-208060.29714374244</v>
      </c>
      <c r="T29" s="135">
        <f t="shared" si="8"/>
        <v>43289087247.542397</v>
      </c>
      <c r="V29" t="s">
        <v>138</v>
      </c>
      <c r="W29" s="144">
        <f>R87</f>
        <v>12252527312105.887</v>
      </c>
    </row>
    <row r="30" spans="1:28">
      <c r="A30" s="47">
        <v>43220</v>
      </c>
      <c r="B30" s="48">
        <f>Inputs!D87</f>
        <v>14690754.840000002</v>
      </c>
      <c r="C30" s="48">
        <f>Inputs!E87</f>
        <v>155665.48000000001</v>
      </c>
      <c r="D30" s="48">
        <f t="shared" si="0"/>
        <v>14846420.320000002</v>
      </c>
      <c r="E30" s="48">
        <v>722326.02</v>
      </c>
      <c r="F30" s="48">
        <v>3713769.13</v>
      </c>
      <c r="G30" s="48">
        <f t="shared" si="3"/>
        <v>10410325.170000002</v>
      </c>
      <c r="H30" s="48">
        <f>'Weather Analysis'!G11</f>
        <v>454.2000000000001</v>
      </c>
      <c r="I30" s="48">
        <f>'Weather Analysis'!G30</f>
        <v>0</v>
      </c>
      <c r="J30" s="48">
        <v>30</v>
      </c>
      <c r="K30" s="111">
        <v>1</v>
      </c>
      <c r="L30" s="48">
        <f>Inputs!G87+Inputs!I87+Inputs!L87+Inputs!O87+Inputs!R87+Inputs!AA87</f>
        <v>7220</v>
      </c>
      <c r="M30" s="48">
        <v>0</v>
      </c>
      <c r="N30" s="48">
        <f t="shared" si="4"/>
        <v>10358305.025926366</v>
      </c>
      <c r="O30" s="32">
        <f t="shared" si="5"/>
        <v>-52020.14407363534</v>
      </c>
      <c r="P30" s="41">
        <f t="shared" si="6"/>
        <v>-4.9969759084514103E-3</v>
      </c>
      <c r="Q30" s="12">
        <f t="shared" si="9"/>
        <v>4.9969759084514103E-3</v>
      </c>
      <c r="R30" s="135">
        <f t="shared" si="2"/>
        <v>2706095389.4417782</v>
      </c>
      <c r="S30" s="135">
        <f t="shared" si="7"/>
        <v>306575.97237761877</v>
      </c>
      <c r="T30" s="135">
        <f t="shared" si="8"/>
        <v>93988826839.282471</v>
      </c>
    </row>
    <row r="31" spans="1:28">
      <c r="A31" s="47">
        <v>43251</v>
      </c>
      <c r="B31" s="48">
        <f>Inputs!D88</f>
        <v>15199975.959999999</v>
      </c>
      <c r="C31" s="48">
        <f>Inputs!E88</f>
        <v>229192.52000000002</v>
      </c>
      <c r="D31" s="48">
        <f t="shared" si="0"/>
        <v>15429168.479999999</v>
      </c>
      <c r="E31" s="48">
        <v>825640.29</v>
      </c>
      <c r="F31" s="48">
        <v>3812144.22</v>
      </c>
      <c r="G31" s="48">
        <f t="shared" si="3"/>
        <v>10791383.969999997</v>
      </c>
      <c r="H31" s="48">
        <f>'Weather Analysis'!G12</f>
        <v>83.5</v>
      </c>
      <c r="I31" s="48">
        <f>'Weather Analysis'!G31</f>
        <v>36.900000000000006</v>
      </c>
      <c r="J31" s="48">
        <v>31</v>
      </c>
      <c r="K31" s="111">
        <v>1</v>
      </c>
      <c r="L31" s="48">
        <f>Inputs!G88+Inputs!I88+Inputs!L88+Inputs!O88+Inputs!R88+Inputs!AA88</f>
        <v>7230</v>
      </c>
      <c r="M31" s="48">
        <v>0</v>
      </c>
      <c r="N31" s="48">
        <f t="shared" si="4"/>
        <v>11090185.523877444</v>
      </c>
      <c r="O31" s="32">
        <f t="shared" si="5"/>
        <v>298801.5538774468</v>
      </c>
      <c r="P31" s="41">
        <f t="shared" si="6"/>
        <v>2.7688900210400619E-2</v>
      </c>
      <c r="Q31" s="12">
        <f t="shared" ref="Q31:Q86" si="10">ABS(P31)</f>
        <v>2.7688900210400619E-2</v>
      </c>
      <c r="R31" s="135">
        <f t="shared" si="2"/>
        <v>89282368599.576736</v>
      </c>
      <c r="S31" s="135">
        <f t="shared" si="7"/>
        <v>350821.69795108214</v>
      </c>
      <c r="T31" s="135">
        <f t="shared" si="8"/>
        <v>123075863753.2803</v>
      </c>
      <c r="V31" t="s">
        <v>139</v>
      </c>
      <c r="W31" s="157">
        <f>W28/W29</f>
        <v>1.3919354445102994</v>
      </c>
    </row>
    <row r="32" spans="1:28">
      <c r="A32" s="47">
        <v>43281</v>
      </c>
      <c r="B32" s="48">
        <f>Inputs!D89</f>
        <v>15726339.940000001</v>
      </c>
      <c r="C32" s="48">
        <f>Inputs!E89</f>
        <v>208452.3</v>
      </c>
      <c r="D32" s="48">
        <f t="shared" ref="D32:D86" si="11">B32+C32</f>
        <v>15934792.240000002</v>
      </c>
      <c r="E32" s="48">
        <v>784226.41</v>
      </c>
      <c r="F32" s="48">
        <v>3559018.29</v>
      </c>
      <c r="G32" s="48">
        <f t="shared" si="3"/>
        <v>11591547.540000003</v>
      </c>
      <c r="H32" s="48">
        <f>'Weather Analysis'!G13</f>
        <v>22.600000000000005</v>
      </c>
      <c r="I32" s="48">
        <f>'Weather Analysis'!G32</f>
        <v>45.9</v>
      </c>
      <c r="J32" s="48">
        <v>30</v>
      </c>
      <c r="K32" s="111">
        <v>0</v>
      </c>
      <c r="L32" s="48">
        <f>Inputs!G89+Inputs!I89+Inputs!L89+Inputs!O89+Inputs!R89+Inputs!AA89</f>
        <v>7247</v>
      </c>
      <c r="M32" s="48">
        <v>0</v>
      </c>
      <c r="N32" s="48">
        <f t="shared" si="4"/>
        <v>11419889.573621158</v>
      </c>
      <c r="O32" s="32">
        <f t="shared" si="5"/>
        <v>-171657.96637884527</v>
      </c>
      <c r="P32" s="41">
        <f t="shared" si="6"/>
        <v>-1.4808891201669973E-2</v>
      </c>
      <c r="Q32" s="12">
        <f t="shared" si="10"/>
        <v>1.4808891201669973E-2</v>
      </c>
      <c r="R32" s="135">
        <f t="shared" si="2"/>
        <v>29466457421.320774</v>
      </c>
      <c r="S32" s="135">
        <f t="shared" si="7"/>
        <v>-470459.52025629207</v>
      </c>
      <c r="T32" s="135">
        <f t="shared" si="8"/>
        <v>221332160199.78049</v>
      </c>
    </row>
    <row r="33" spans="1:20">
      <c r="A33" s="47">
        <v>43312</v>
      </c>
      <c r="B33" s="48">
        <f>Inputs!D90</f>
        <v>17253025.84</v>
      </c>
      <c r="C33" s="48">
        <f>Inputs!E90</f>
        <v>237873.48</v>
      </c>
      <c r="D33" s="48">
        <f t="shared" si="11"/>
        <v>17490899.32</v>
      </c>
      <c r="E33" s="48">
        <v>792777.92999999993</v>
      </c>
      <c r="F33" s="48">
        <v>3396535.0500000003</v>
      </c>
      <c r="G33" s="48">
        <f t="shared" si="3"/>
        <v>13301586.34</v>
      </c>
      <c r="H33" s="48">
        <f>'Weather Analysis'!G14</f>
        <v>3.6</v>
      </c>
      <c r="I33" s="48">
        <f>'Weather Analysis'!G33</f>
        <v>91.499999999999986</v>
      </c>
      <c r="J33" s="48">
        <v>31</v>
      </c>
      <c r="K33" s="111">
        <v>0</v>
      </c>
      <c r="L33" s="48">
        <f>Inputs!G90+Inputs!I90+Inputs!L90+Inputs!O90+Inputs!R90+Inputs!AA90</f>
        <v>7270</v>
      </c>
      <c r="M33" s="48">
        <v>0</v>
      </c>
      <c r="N33" s="48">
        <f t="shared" si="4"/>
        <v>13101842.965524303</v>
      </c>
      <c r="O33" s="32">
        <f t="shared" si="5"/>
        <v>-199743.37447569706</v>
      </c>
      <c r="P33" s="41">
        <f t="shared" si="6"/>
        <v>-1.5016507758554839E-2</v>
      </c>
      <c r="Q33" s="12">
        <f t="shared" si="10"/>
        <v>1.5016507758554839E-2</v>
      </c>
      <c r="R33" s="135">
        <f t="shared" si="2"/>
        <v>39897415646.938545</v>
      </c>
      <c r="S33" s="135">
        <f t="shared" si="7"/>
        <v>-28085.408096851781</v>
      </c>
      <c r="T33" s="135">
        <f t="shared" si="8"/>
        <v>788790147.96670759</v>
      </c>
    </row>
    <row r="34" spans="1:20">
      <c r="A34" s="47">
        <v>43343</v>
      </c>
      <c r="B34" s="48">
        <f>Inputs!D91</f>
        <v>17560844.650000006</v>
      </c>
      <c r="C34" s="48">
        <f>Inputs!E91</f>
        <v>198710.13</v>
      </c>
      <c r="D34" s="48">
        <f t="shared" si="11"/>
        <v>17759554.780000005</v>
      </c>
      <c r="E34" s="48">
        <v>827923.55</v>
      </c>
      <c r="F34" s="48">
        <v>3522903.7199999997</v>
      </c>
      <c r="G34" s="48">
        <f t="shared" si="3"/>
        <v>13408727.510000005</v>
      </c>
      <c r="H34" s="48">
        <f>'Weather Analysis'!G15</f>
        <v>3.5999999999999996</v>
      </c>
      <c r="I34" s="48">
        <f>'Weather Analysis'!G34</f>
        <v>107.3</v>
      </c>
      <c r="J34" s="48">
        <v>31</v>
      </c>
      <c r="K34" s="111">
        <v>0</v>
      </c>
      <c r="L34" s="48">
        <f>Inputs!G91+Inputs!I91+Inputs!L91+Inputs!O91+Inputs!R91+Inputs!AA91</f>
        <v>7289</v>
      </c>
      <c r="M34" s="48">
        <v>0</v>
      </c>
      <c r="N34" s="48">
        <f t="shared" si="4"/>
        <v>13600783.267510595</v>
      </c>
      <c r="O34" s="32">
        <f t="shared" si="5"/>
        <v>192055.75751058944</v>
      </c>
      <c r="P34" s="41">
        <f t="shared" si="6"/>
        <v>1.432319042708247E-2</v>
      </c>
      <c r="Q34" s="12">
        <f t="shared" si="10"/>
        <v>1.432319042708247E-2</v>
      </c>
      <c r="R34" s="135">
        <f t="shared" si="2"/>
        <v>36885413992.966331</v>
      </c>
      <c r="S34" s="135">
        <f t="shared" si="7"/>
        <v>391799.13198628649</v>
      </c>
      <c r="T34" s="135">
        <f t="shared" si="8"/>
        <v>153506559825.20755</v>
      </c>
    </row>
    <row r="35" spans="1:20">
      <c r="A35" s="47">
        <v>43373</v>
      </c>
      <c r="B35" s="48">
        <f>Inputs!D92</f>
        <v>15504314.149999997</v>
      </c>
      <c r="C35" s="48">
        <f>Inputs!E92</f>
        <v>151817.58000000002</v>
      </c>
      <c r="D35" s="48">
        <f t="shared" si="11"/>
        <v>15656131.729999997</v>
      </c>
      <c r="E35" s="48">
        <v>797357.40999999992</v>
      </c>
      <c r="F35" s="48">
        <v>3371795.6599999997</v>
      </c>
      <c r="G35" s="48">
        <f t="shared" si="3"/>
        <v>11486978.659999996</v>
      </c>
      <c r="H35" s="48">
        <f>'Weather Analysis'!G16</f>
        <v>68.699999999999989</v>
      </c>
      <c r="I35" s="48">
        <f>'Weather Analysis'!G35</f>
        <v>58.699999999999996</v>
      </c>
      <c r="J35" s="48">
        <v>30</v>
      </c>
      <c r="K35" s="111">
        <v>1</v>
      </c>
      <c r="L35" s="48">
        <f>Inputs!G92+Inputs!I92+Inputs!L92+Inputs!O92+Inputs!R92+Inputs!AA92</f>
        <v>7297</v>
      </c>
      <c r="M35" s="48">
        <v>0</v>
      </c>
      <c r="N35" s="48">
        <f t="shared" si="4"/>
        <v>11486419.333881095</v>
      </c>
      <c r="O35" s="32">
        <f t="shared" si="5"/>
        <v>-559.32611890137196</v>
      </c>
      <c r="P35" s="41">
        <f t="shared" si="6"/>
        <v>-4.8692187515683273E-5</v>
      </c>
      <c r="Q35" s="12">
        <f t="shared" si="10"/>
        <v>4.8692187515683273E-5</v>
      </c>
      <c r="R35" s="135">
        <f t="shared" si="2"/>
        <v>312845.70728527167</v>
      </c>
      <c r="S35" s="135">
        <f t="shared" si="7"/>
        <v>-192615.08362949081</v>
      </c>
      <c r="T35" s="135">
        <f t="shared" si="8"/>
        <v>37100570441.595741</v>
      </c>
    </row>
    <row r="36" spans="1:20">
      <c r="A36" s="47">
        <v>43404</v>
      </c>
      <c r="B36" s="48">
        <f>Inputs!D93</f>
        <v>15079922.620000003</v>
      </c>
      <c r="C36" s="48">
        <f>Inputs!E93</f>
        <v>103570.98</v>
      </c>
      <c r="D36" s="48">
        <f t="shared" si="11"/>
        <v>15183493.600000003</v>
      </c>
      <c r="E36" s="48">
        <v>847707.74</v>
      </c>
      <c r="F36" s="48">
        <v>3547208.5700000003</v>
      </c>
      <c r="G36" s="48">
        <f t="shared" si="3"/>
        <v>10788577.290000003</v>
      </c>
      <c r="H36" s="48">
        <f>'Weather Analysis'!G17</f>
        <v>293.89999999999998</v>
      </c>
      <c r="I36" s="48">
        <f>'Weather Analysis'!G36</f>
        <v>8.9</v>
      </c>
      <c r="J36" s="48">
        <v>31</v>
      </c>
      <c r="K36" s="111">
        <v>1</v>
      </c>
      <c r="L36" s="48">
        <f>Inputs!G93+Inputs!I93+Inputs!L93+Inputs!O93+Inputs!R93+Inputs!AA93</f>
        <v>7309</v>
      </c>
      <c r="M36" s="48">
        <v>0</v>
      </c>
      <c r="N36" s="48">
        <f t="shared" si="4"/>
        <v>10787728.358809412</v>
      </c>
      <c r="O36" s="32">
        <f t="shared" si="5"/>
        <v>-848.93119059130549</v>
      </c>
      <c r="P36" s="41">
        <f t="shared" si="6"/>
        <v>-7.868796485132335E-5</v>
      </c>
      <c r="Q36" s="12">
        <f t="shared" si="10"/>
        <v>7.868796485132335E-5</v>
      </c>
      <c r="R36" s="135">
        <f t="shared" si="2"/>
        <v>720684.1663587715</v>
      </c>
      <c r="S36" s="135">
        <f t="shared" si="7"/>
        <v>-289.60507168993354</v>
      </c>
      <c r="T36" s="135">
        <f t="shared" si="8"/>
        <v>83871.097548531543</v>
      </c>
    </row>
    <row r="37" spans="1:20">
      <c r="A37" s="47">
        <v>43434</v>
      </c>
      <c r="B37" s="48">
        <f>Inputs!D94</f>
        <v>15240429.750000002</v>
      </c>
      <c r="C37" s="48">
        <f>Inputs!E94</f>
        <v>36530.949999999997</v>
      </c>
      <c r="D37" s="48">
        <f t="shared" si="11"/>
        <v>15276960.700000001</v>
      </c>
      <c r="E37" s="48">
        <v>844669.66999999993</v>
      </c>
      <c r="F37" s="48">
        <v>3441518.25</v>
      </c>
      <c r="G37" s="48">
        <f t="shared" si="3"/>
        <v>10990772.780000001</v>
      </c>
      <c r="H37" s="48">
        <f>'Weather Analysis'!G18</f>
        <v>526.9</v>
      </c>
      <c r="I37" s="48">
        <f>'Weather Analysis'!G37</f>
        <v>0</v>
      </c>
      <c r="J37" s="48">
        <v>30</v>
      </c>
      <c r="K37" s="111">
        <v>0</v>
      </c>
      <c r="L37" s="48">
        <f>Inputs!G94+Inputs!I94+Inputs!L94+Inputs!O94+Inputs!R94+Inputs!AA94</f>
        <v>7309</v>
      </c>
      <c r="M37" s="48">
        <v>0</v>
      </c>
      <c r="N37" s="48">
        <f t="shared" si="4"/>
        <v>11120373.304391727</v>
      </c>
      <c r="O37" s="32">
        <f t="shared" si="5"/>
        <v>129600.52439172566</v>
      </c>
      <c r="P37" s="41">
        <f t="shared" si="6"/>
        <v>1.1791757229988485E-2</v>
      </c>
      <c r="Q37" s="12">
        <f t="shared" si="10"/>
        <v>1.1791757229988485E-2</v>
      </c>
      <c r="R37" s="135">
        <f t="shared" si="2"/>
        <v>16796295922.610277</v>
      </c>
      <c r="S37" s="135">
        <f t="shared" si="7"/>
        <v>130449.45558231696</v>
      </c>
      <c r="T37" s="135">
        <f t="shared" si="8"/>
        <v>17017060461.722887</v>
      </c>
    </row>
    <row r="38" spans="1:20">
      <c r="A38" s="47">
        <v>43465</v>
      </c>
      <c r="B38" s="48">
        <f>Inputs!D95</f>
        <v>14436070.189999999</v>
      </c>
      <c r="C38" s="48">
        <f>Inputs!E95</f>
        <v>31997.420000000002</v>
      </c>
      <c r="D38" s="48">
        <f t="shared" si="11"/>
        <v>14468067.609999999</v>
      </c>
      <c r="E38" s="48">
        <v>620430.38</v>
      </c>
      <c r="F38" s="48">
        <v>2779734.3800000004</v>
      </c>
      <c r="G38" s="48">
        <f t="shared" si="3"/>
        <v>11067902.849999998</v>
      </c>
      <c r="H38" s="48">
        <f>'Weather Analysis'!G19</f>
        <v>573.5</v>
      </c>
      <c r="I38" s="48">
        <f>'Weather Analysis'!G38</f>
        <v>0</v>
      </c>
      <c r="J38" s="48">
        <v>31</v>
      </c>
      <c r="K38" s="111">
        <v>0</v>
      </c>
      <c r="L38" s="48">
        <f>Inputs!G95+Inputs!I95+Inputs!L95+Inputs!O95+Inputs!R95+Inputs!AA95</f>
        <v>7329</v>
      </c>
      <c r="M38" s="48">
        <v>0</v>
      </c>
      <c r="N38" s="48">
        <f t="shared" si="4"/>
        <v>11570438.609142</v>
      </c>
      <c r="O38" s="32">
        <f t="shared" si="5"/>
        <v>502535.75914200209</v>
      </c>
      <c r="P38" s="41">
        <f t="shared" si="6"/>
        <v>4.5404785888774057E-2</v>
      </c>
      <c r="Q38" s="12">
        <f t="shared" si="10"/>
        <v>4.5404785888774057E-2</v>
      </c>
      <c r="R38" s="135">
        <f t="shared" si="2"/>
        <v>252542189216.42834</v>
      </c>
      <c r="S38" s="135">
        <f t="shared" si="7"/>
        <v>372935.23475027643</v>
      </c>
      <c r="T38" s="135">
        <f t="shared" si="8"/>
        <v>139080689318.24377</v>
      </c>
    </row>
    <row r="39" spans="1:20">
      <c r="A39" s="47">
        <v>43496</v>
      </c>
      <c r="B39" s="48">
        <f>Inputs!D96</f>
        <v>16295154.600000001</v>
      </c>
      <c r="C39" s="48">
        <f>Inputs!E96</f>
        <v>46539.969999999994</v>
      </c>
      <c r="D39" s="48">
        <f t="shared" si="11"/>
        <v>16341694.570000002</v>
      </c>
      <c r="E39" s="48">
        <v>407405.83</v>
      </c>
      <c r="F39" s="48">
        <v>3683035.57</v>
      </c>
      <c r="G39" s="48">
        <f t="shared" si="3"/>
        <v>12251253.170000002</v>
      </c>
      <c r="H39" s="48">
        <f>'Weather Analysis'!H8</f>
        <v>778.9</v>
      </c>
      <c r="I39" s="48">
        <f>'Weather Analysis'!H27</f>
        <v>0</v>
      </c>
      <c r="J39" s="48">
        <v>31</v>
      </c>
      <c r="K39" s="111">
        <v>0</v>
      </c>
      <c r="L39" s="48">
        <f>Inputs!G96+Inputs!I96+Inputs!L96+Inputs!O96+Inputs!R96+Inputs!AA96</f>
        <v>7335</v>
      </c>
      <c r="M39" s="48">
        <v>0</v>
      </c>
      <c r="N39" s="48">
        <f t="shared" si="4"/>
        <v>11972074.650836734</v>
      </c>
      <c r="O39" s="32">
        <f t="shared" si="5"/>
        <v>-279178.51916326769</v>
      </c>
      <c r="P39" s="41">
        <f t="shared" si="6"/>
        <v>-2.2787752019270992E-2</v>
      </c>
      <c r="Q39" s="12">
        <f t="shared" si="10"/>
        <v>2.2787752019270992E-2</v>
      </c>
      <c r="R39" s="135">
        <f t="shared" si="2"/>
        <v>77940645562.195023</v>
      </c>
      <c r="S39" s="135">
        <f t="shared" si="7"/>
        <v>-781714.27830526978</v>
      </c>
      <c r="T39" s="135">
        <f t="shared" si="8"/>
        <v>611077212906.32874</v>
      </c>
    </row>
    <row r="40" spans="1:20">
      <c r="A40" s="47">
        <v>43524</v>
      </c>
      <c r="B40" s="48">
        <f>Inputs!D97</f>
        <v>14247811.720000001</v>
      </c>
      <c r="C40" s="48">
        <f>Inputs!E97</f>
        <v>62626.71</v>
      </c>
      <c r="D40" s="48">
        <f t="shared" si="11"/>
        <v>14310438.430000002</v>
      </c>
      <c r="E40" s="48">
        <v>332490.93</v>
      </c>
      <c r="F40" s="48">
        <v>3240575.56</v>
      </c>
      <c r="G40" s="48">
        <f t="shared" si="3"/>
        <v>10737371.940000001</v>
      </c>
      <c r="H40" s="48">
        <f>'Weather Analysis'!H9</f>
        <v>636.20000000000005</v>
      </c>
      <c r="I40" s="48">
        <f>'Weather Analysis'!H28</f>
        <v>0</v>
      </c>
      <c r="J40" s="48">
        <v>28</v>
      </c>
      <c r="K40" s="111">
        <v>0</v>
      </c>
      <c r="L40" s="48">
        <f>Inputs!G97+Inputs!I97+Inputs!L97+Inputs!O97+Inputs!R97+Inputs!AA97</f>
        <v>7343</v>
      </c>
      <c r="M40" s="48">
        <v>0</v>
      </c>
      <c r="N40" s="48">
        <f t="shared" si="4"/>
        <v>10725072.169756416</v>
      </c>
      <c r="O40" s="32">
        <f t="shared" si="5"/>
        <v>-12299.77024358511</v>
      </c>
      <c r="P40" s="41">
        <f t="shared" si="6"/>
        <v>-1.1455103085108466E-3</v>
      </c>
      <c r="Q40" s="12">
        <f t="shared" si="10"/>
        <v>1.1455103085108466E-3</v>
      </c>
      <c r="R40" s="135">
        <f t="shared" si="2"/>
        <v>151284348.04498172</v>
      </c>
      <c r="S40" s="135">
        <f t="shared" si="7"/>
        <v>266878.74891968258</v>
      </c>
      <c r="T40" s="135">
        <f t="shared" si="8"/>
        <v>71224266624.934967</v>
      </c>
    </row>
    <row r="41" spans="1:20">
      <c r="A41" s="47">
        <v>43555</v>
      </c>
      <c r="B41" s="48">
        <f>Inputs!D98</f>
        <v>14861723.25</v>
      </c>
      <c r="C41" s="48">
        <f>Inputs!E98</f>
        <v>152139.06</v>
      </c>
      <c r="D41" s="48">
        <f t="shared" si="11"/>
        <v>15013862.310000001</v>
      </c>
      <c r="E41" s="48">
        <v>257080.83</v>
      </c>
      <c r="F41" s="48">
        <v>3459058.4499999997</v>
      </c>
      <c r="G41" s="48">
        <f t="shared" si="3"/>
        <v>11297723.030000001</v>
      </c>
      <c r="H41" s="48">
        <f>'Weather Analysis'!H10</f>
        <v>617</v>
      </c>
      <c r="I41" s="48">
        <f>'Weather Analysis'!H29</f>
        <v>0</v>
      </c>
      <c r="J41" s="48">
        <v>31</v>
      </c>
      <c r="K41" s="111">
        <v>1</v>
      </c>
      <c r="L41" s="48">
        <f>Inputs!G98+Inputs!I98+Inputs!L98+Inputs!O98+Inputs!R98+Inputs!AA98</f>
        <v>7347</v>
      </c>
      <c r="M41" s="48">
        <v>0</v>
      </c>
      <c r="N41" s="48">
        <f t="shared" si="4"/>
        <v>11201246.293143999</v>
      </c>
      <c r="O41" s="32">
        <f t="shared" si="5"/>
        <v>-96476.736856002361</v>
      </c>
      <c r="P41" s="41">
        <f t="shared" si="6"/>
        <v>-8.5394850448907086E-3</v>
      </c>
      <c r="Q41" s="12">
        <f t="shared" si="10"/>
        <v>8.5394850448907086E-3</v>
      </c>
      <c r="R41" s="135">
        <f t="shared" si="2"/>
        <v>9307760754.3823242</v>
      </c>
      <c r="S41" s="135">
        <f t="shared" si="7"/>
        <v>-84176.966612417251</v>
      </c>
      <c r="T41" s="135">
        <f t="shared" si="8"/>
        <v>7085761708.0680084</v>
      </c>
    </row>
    <row r="42" spans="1:20">
      <c r="A42" s="47">
        <v>43585</v>
      </c>
      <c r="B42" s="48">
        <f>Inputs!D99</f>
        <v>13124081.850000001</v>
      </c>
      <c r="C42" s="48">
        <f>Inputs!E99</f>
        <v>151196.49</v>
      </c>
      <c r="D42" s="48">
        <f t="shared" si="11"/>
        <v>13275278.340000002</v>
      </c>
      <c r="E42" s="48">
        <v>203874.13</v>
      </c>
      <c r="F42" s="48">
        <v>3178346.6399999997</v>
      </c>
      <c r="G42" s="48">
        <f t="shared" si="3"/>
        <v>9893057.5700000003</v>
      </c>
      <c r="H42" s="48">
        <f>'Weather Analysis'!H11</f>
        <v>346.60000000000014</v>
      </c>
      <c r="I42" s="48">
        <f>'Weather Analysis'!H30</f>
        <v>0</v>
      </c>
      <c r="J42" s="48">
        <v>30</v>
      </c>
      <c r="K42" s="111">
        <v>1</v>
      </c>
      <c r="L42" s="48">
        <f>Inputs!G99+Inputs!I99+Inputs!L99+Inputs!O99+Inputs!R99+Inputs!AA99</f>
        <v>7358</v>
      </c>
      <c r="M42" s="48">
        <v>0</v>
      </c>
      <c r="N42" s="48">
        <f t="shared" si="4"/>
        <v>10373586.430927111</v>
      </c>
      <c r="O42" s="32">
        <f t="shared" si="5"/>
        <v>480528.86092711054</v>
      </c>
      <c r="P42" s="41">
        <f t="shared" si="6"/>
        <v>4.8572330397053429E-2</v>
      </c>
      <c r="Q42" s="12">
        <f t="shared" si="10"/>
        <v>4.8572330397053429E-2</v>
      </c>
      <c r="R42" s="135">
        <f t="shared" si="2"/>
        <v>230907986183.90634</v>
      </c>
      <c r="S42" s="135">
        <f t="shared" si="7"/>
        <v>577005.5977831129</v>
      </c>
      <c r="T42" s="135">
        <f t="shared" si="8"/>
        <v>332935459873.04749</v>
      </c>
    </row>
    <row r="43" spans="1:20">
      <c r="A43" s="47">
        <v>43616</v>
      </c>
      <c r="B43" s="48">
        <f>Inputs!D100</f>
        <v>13301422.26</v>
      </c>
      <c r="C43" s="48">
        <f>Inputs!E100</f>
        <v>191845.86</v>
      </c>
      <c r="D43" s="48">
        <f t="shared" si="11"/>
        <v>13493268.119999999</v>
      </c>
      <c r="E43" s="48">
        <v>178685.52999999997</v>
      </c>
      <c r="F43" s="48">
        <v>3335680.38</v>
      </c>
      <c r="G43" s="48">
        <f t="shared" si="3"/>
        <v>9978902.2100000009</v>
      </c>
      <c r="H43" s="48">
        <f>'Weather Analysis'!H12</f>
        <v>184.20000000000002</v>
      </c>
      <c r="I43" s="48">
        <f>'Weather Analysis'!H31</f>
        <v>2.2000000000000002</v>
      </c>
      <c r="J43" s="48">
        <v>31</v>
      </c>
      <c r="K43" s="111">
        <v>1</v>
      </c>
      <c r="L43" s="48">
        <f>Inputs!G100+Inputs!I100+Inputs!L100+Inputs!O100+Inputs!R100+Inputs!AA100</f>
        <v>7367</v>
      </c>
      <c r="M43" s="48">
        <v>0</v>
      </c>
      <c r="N43" s="48">
        <f t="shared" si="4"/>
        <v>10472392.272266043</v>
      </c>
      <c r="O43" s="32">
        <f t="shared" si="5"/>
        <v>493490.06226604246</v>
      </c>
      <c r="P43" s="41">
        <f t="shared" si="6"/>
        <v>4.9453341848716484E-2</v>
      </c>
      <c r="Q43" s="12">
        <f t="shared" si="10"/>
        <v>4.9453341848716484E-2</v>
      </c>
      <c r="R43" s="135">
        <f t="shared" si="2"/>
        <v>243532441555.34247</v>
      </c>
      <c r="S43" s="135">
        <f t="shared" si="7"/>
        <v>12961.201338931918</v>
      </c>
      <c r="T43" s="135">
        <f t="shared" si="8"/>
        <v>167992740.14833054</v>
      </c>
    </row>
    <row r="44" spans="1:20">
      <c r="A44" s="47">
        <v>43646</v>
      </c>
      <c r="B44" s="48">
        <f>Inputs!D101</f>
        <v>14098153.719999997</v>
      </c>
      <c r="C44" s="48">
        <f>Inputs!E101</f>
        <v>205535.26000000004</v>
      </c>
      <c r="D44" s="48">
        <f t="shared" si="11"/>
        <v>14303688.979999997</v>
      </c>
      <c r="E44" s="48">
        <v>166608.38999999998</v>
      </c>
      <c r="F44" s="48">
        <v>3264723.41</v>
      </c>
      <c r="G44" s="48">
        <f t="shared" si="3"/>
        <v>10872357.179999996</v>
      </c>
      <c r="H44" s="48">
        <f>'Weather Analysis'!H13</f>
        <v>37.800000000000004</v>
      </c>
      <c r="I44" s="48">
        <f>'Weather Analysis'!H32</f>
        <v>30.2</v>
      </c>
      <c r="J44" s="48">
        <v>30</v>
      </c>
      <c r="K44" s="111">
        <v>0</v>
      </c>
      <c r="L44" s="48">
        <f>Inputs!G101+Inputs!I101+Inputs!L101+Inputs!O101+Inputs!R101+Inputs!AA101</f>
        <v>7382</v>
      </c>
      <c r="M44" s="48">
        <v>0</v>
      </c>
      <c r="N44" s="48">
        <f t="shared" si="4"/>
        <v>11199165.034385266</v>
      </c>
      <c r="O44" s="32">
        <f t="shared" si="5"/>
        <v>326807.85438526981</v>
      </c>
      <c r="P44" s="41">
        <f t="shared" si="6"/>
        <v>3.0058601734170576E-2</v>
      </c>
      <c r="Q44" s="12">
        <f t="shared" si="10"/>
        <v>3.0058601734170576E-2</v>
      </c>
      <c r="R44" s="135">
        <f t="shared" si="2"/>
        <v>106803373687.90372</v>
      </c>
      <c r="S44" s="135">
        <f t="shared" si="7"/>
        <v>-166682.20788077265</v>
      </c>
      <c r="T44" s="135">
        <f t="shared" si="8"/>
        <v>27782958424.009109</v>
      </c>
    </row>
    <row r="45" spans="1:20">
      <c r="A45" s="47">
        <v>43677</v>
      </c>
      <c r="B45" s="48">
        <f>Inputs!D102</f>
        <v>17237421.399999999</v>
      </c>
      <c r="C45" s="48">
        <f>Inputs!E102</f>
        <v>234680.17</v>
      </c>
      <c r="D45" s="48">
        <f t="shared" si="11"/>
        <v>17472101.57</v>
      </c>
      <c r="E45" s="48">
        <v>181458.09</v>
      </c>
      <c r="F45" s="48">
        <v>3433936.9</v>
      </c>
      <c r="G45" s="48">
        <f t="shared" si="3"/>
        <v>13856706.58</v>
      </c>
      <c r="H45" s="48">
        <f>'Weather Analysis'!H14</f>
        <v>0</v>
      </c>
      <c r="I45" s="48">
        <f>'Weather Analysis'!H33</f>
        <v>127.19999999999999</v>
      </c>
      <c r="J45" s="48">
        <v>31</v>
      </c>
      <c r="K45" s="111">
        <v>0</v>
      </c>
      <c r="L45" s="48">
        <f>Inputs!G102+Inputs!I102+Inputs!L102+Inputs!O102+Inputs!R102+Inputs!AA102</f>
        <v>7383</v>
      </c>
      <c r="M45" s="48">
        <v>0</v>
      </c>
      <c r="N45" s="48">
        <f t="shared" si="4"/>
        <v>14334361.998222761</v>
      </c>
      <c r="O45" s="32">
        <f t="shared" si="5"/>
        <v>477655.41822276078</v>
      </c>
      <c r="P45" s="41">
        <f t="shared" si="6"/>
        <v>3.4471063918765664E-2</v>
      </c>
      <c r="Q45" s="12">
        <f t="shared" si="10"/>
        <v>3.4471063918765664E-2</v>
      </c>
      <c r="R45" s="135">
        <f t="shared" si="2"/>
        <v>228154698557.56052</v>
      </c>
      <c r="S45" s="135">
        <f t="shared" si="7"/>
        <v>150847.56383749098</v>
      </c>
      <c r="T45" s="135">
        <f t="shared" si="8"/>
        <v>22754987515.705914</v>
      </c>
    </row>
    <row r="46" spans="1:20">
      <c r="A46" s="47">
        <v>43708</v>
      </c>
      <c r="B46" s="48">
        <f>Inputs!D103</f>
        <v>16150313.539999997</v>
      </c>
      <c r="C46" s="48">
        <f>Inputs!E103</f>
        <v>220608.79000000004</v>
      </c>
      <c r="D46" s="48">
        <f t="shared" si="11"/>
        <v>16370922.329999998</v>
      </c>
      <c r="E46" s="48">
        <v>182486.43</v>
      </c>
      <c r="F46" s="48">
        <v>3410964.21</v>
      </c>
      <c r="G46" s="48">
        <f t="shared" si="3"/>
        <v>12777471.689999998</v>
      </c>
      <c r="H46" s="48">
        <f>'Weather Analysis'!H15</f>
        <v>11.099999999999998</v>
      </c>
      <c r="I46" s="48">
        <f>'Weather Analysis'!H34</f>
        <v>66.5</v>
      </c>
      <c r="J46" s="48">
        <v>31</v>
      </c>
      <c r="K46" s="111">
        <v>0</v>
      </c>
      <c r="L46" s="48">
        <f>Inputs!G103+Inputs!I103+Inputs!L103+Inputs!O103+Inputs!R103+Inputs!AA103</f>
        <v>7409</v>
      </c>
      <c r="M46" s="48">
        <v>0</v>
      </c>
      <c r="N46" s="48">
        <f t="shared" si="4"/>
        <v>12597019.286639497</v>
      </c>
      <c r="O46" s="32">
        <f t="shared" si="5"/>
        <v>-180452.40336050093</v>
      </c>
      <c r="P46" s="41">
        <f t="shared" si="6"/>
        <v>-1.4122700307113807E-2</v>
      </c>
      <c r="Q46" s="12">
        <f t="shared" si="10"/>
        <v>1.4122700307113807E-2</v>
      </c>
      <c r="R46" s="135">
        <f t="shared" si="2"/>
        <v>32563069878.580929</v>
      </c>
      <c r="S46" s="135">
        <f t="shared" si="7"/>
        <v>-658107.82158326171</v>
      </c>
      <c r="T46" s="135">
        <f t="shared" si="8"/>
        <v>433105904829.06622</v>
      </c>
    </row>
    <row r="47" spans="1:20">
      <c r="A47" s="47">
        <v>43738</v>
      </c>
      <c r="B47" s="48">
        <f>Inputs!D104</f>
        <v>14159844.92</v>
      </c>
      <c r="C47" s="48">
        <f>Inputs!E104</f>
        <v>176014.12</v>
      </c>
      <c r="D47" s="48">
        <f t="shared" si="11"/>
        <v>14335859.039999999</v>
      </c>
      <c r="E47" s="48">
        <v>174129.58999999997</v>
      </c>
      <c r="F47" s="48">
        <v>3388939.5999999996</v>
      </c>
      <c r="G47" s="48">
        <f t="shared" si="3"/>
        <v>10772789.85</v>
      </c>
      <c r="H47" s="48">
        <f>'Weather Analysis'!H16</f>
        <v>47.999999999999986</v>
      </c>
      <c r="I47" s="48">
        <f>'Weather Analysis'!H35</f>
        <v>23.6</v>
      </c>
      <c r="J47" s="48">
        <v>30</v>
      </c>
      <c r="K47" s="111">
        <v>1</v>
      </c>
      <c r="L47" s="48">
        <f>Inputs!G104+Inputs!I104+Inputs!L104+Inputs!O104+Inputs!R104+Inputs!AA104</f>
        <v>7446</v>
      </c>
      <c r="M47" s="48">
        <v>0</v>
      </c>
      <c r="N47" s="48">
        <f t="shared" si="4"/>
        <v>10644237.758296525</v>
      </c>
      <c r="O47" s="32">
        <f t="shared" si="5"/>
        <v>-128552.09170347452</v>
      </c>
      <c r="P47" s="41">
        <f t="shared" si="6"/>
        <v>-1.1933036241626354E-2</v>
      </c>
      <c r="Q47" s="12">
        <f t="shared" si="10"/>
        <v>1.1933036241626354E-2</v>
      </c>
      <c r="R47" s="135">
        <f t="shared" si="2"/>
        <v>16525640281.338524</v>
      </c>
      <c r="S47" s="135">
        <f t="shared" si="7"/>
        <v>51900.31165702641</v>
      </c>
      <c r="T47" s="135">
        <f t="shared" si="8"/>
        <v>2693642350.0964713</v>
      </c>
    </row>
    <row r="48" spans="1:20">
      <c r="A48" s="47">
        <v>43769</v>
      </c>
      <c r="B48" s="48">
        <f>Inputs!D105</f>
        <v>13763436.57</v>
      </c>
      <c r="C48" s="48">
        <f>Inputs!E105</f>
        <v>131016.67999999998</v>
      </c>
      <c r="D48" s="48">
        <f t="shared" si="11"/>
        <v>13894453.25</v>
      </c>
      <c r="E48" s="48">
        <v>182414.28999999998</v>
      </c>
      <c r="F48" s="48">
        <v>3391531.8600000003</v>
      </c>
      <c r="G48" s="48">
        <f t="shared" si="3"/>
        <v>10320507.100000001</v>
      </c>
      <c r="H48" s="48">
        <f>'Weather Analysis'!H17</f>
        <v>248.3</v>
      </c>
      <c r="I48" s="48">
        <f>'Weather Analysis'!H36</f>
        <v>4.4000000000000004</v>
      </c>
      <c r="J48" s="48">
        <v>31</v>
      </c>
      <c r="K48" s="111">
        <v>1</v>
      </c>
      <c r="L48" s="48">
        <f>Inputs!G105+Inputs!I105+Inputs!L105+Inputs!O105+Inputs!R105+Inputs!AA105</f>
        <v>7456</v>
      </c>
      <c r="M48" s="48">
        <v>0</v>
      </c>
      <c r="N48" s="48">
        <f t="shared" si="4"/>
        <v>10802287.608629087</v>
      </c>
      <c r="O48" s="32">
        <f t="shared" si="5"/>
        <v>481780.5086290855</v>
      </c>
      <c r="P48" s="41">
        <f t="shared" si="6"/>
        <v>4.6681863978281203E-2</v>
      </c>
      <c r="Q48" s="12">
        <f t="shared" si="10"/>
        <v>4.6681863978281203E-2</v>
      </c>
      <c r="R48" s="135">
        <f t="shared" si="2"/>
        <v>232112458494.90033</v>
      </c>
      <c r="S48" s="135">
        <f t="shared" si="7"/>
        <v>610332.60033256002</v>
      </c>
      <c r="T48" s="135">
        <f t="shared" si="8"/>
        <v>372505883028.70447</v>
      </c>
    </row>
    <row r="49" spans="1:20">
      <c r="A49" s="47">
        <v>43799</v>
      </c>
      <c r="B49" s="48">
        <f>Inputs!D106</f>
        <v>14270971.950000003</v>
      </c>
      <c r="C49" s="48">
        <f>Inputs!E106</f>
        <v>54537.3</v>
      </c>
      <c r="D49" s="48">
        <f t="shared" si="11"/>
        <v>14325509.250000004</v>
      </c>
      <c r="E49" s="48">
        <v>189033.54000000004</v>
      </c>
      <c r="F49" s="48">
        <v>3150961.7699999996</v>
      </c>
      <c r="G49" s="48">
        <f t="shared" si="3"/>
        <v>10985513.940000005</v>
      </c>
      <c r="H49" s="48">
        <f>'Weather Analysis'!H18</f>
        <v>527.1</v>
      </c>
      <c r="I49" s="48">
        <f>'Weather Analysis'!H37</f>
        <v>0</v>
      </c>
      <c r="J49" s="48">
        <v>30</v>
      </c>
      <c r="K49" s="111">
        <v>0</v>
      </c>
      <c r="L49" s="48">
        <f>Inputs!G106+Inputs!I106+Inputs!L106+Inputs!O106+Inputs!R106+Inputs!AA106</f>
        <v>7479</v>
      </c>
      <c r="M49" s="48">
        <v>0</v>
      </c>
      <c r="N49" s="48">
        <f t="shared" si="4"/>
        <v>11392576.534090834</v>
      </c>
      <c r="O49" s="32">
        <f t="shared" si="5"/>
        <v>407062.59409082867</v>
      </c>
      <c r="P49" s="41">
        <f t="shared" si="6"/>
        <v>3.7054487966070387E-2</v>
      </c>
      <c r="Q49" s="12">
        <f t="shared" si="10"/>
        <v>3.7054487966070387E-2</v>
      </c>
      <c r="R49" s="135">
        <f t="shared" si="2"/>
        <v>165699955507.95474</v>
      </c>
      <c r="S49" s="135">
        <f t="shared" si="7"/>
        <v>-74717.914538256824</v>
      </c>
      <c r="T49" s="135">
        <f t="shared" si="8"/>
        <v>5582766752.9462509</v>
      </c>
    </row>
    <row r="50" spans="1:20">
      <c r="A50" s="47">
        <v>43830</v>
      </c>
      <c r="B50" s="48">
        <f>Inputs!D107</f>
        <v>14104425.360000001</v>
      </c>
      <c r="C50" s="48">
        <f>Inputs!E107</f>
        <v>40652.15</v>
      </c>
      <c r="D50" s="48">
        <f t="shared" si="11"/>
        <v>14145077.510000002</v>
      </c>
      <c r="E50" s="48">
        <v>156379.99</v>
      </c>
      <c r="F50" s="48">
        <v>2676040.65</v>
      </c>
      <c r="G50" s="48">
        <f t="shared" si="3"/>
        <v>11312656.870000001</v>
      </c>
      <c r="H50" s="48">
        <f>'Weather Analysis'!H19</f>
        <v>535.89999999999986</v>
      </c>
      <c r="I50" s="48">
        <f>'Weather Analysis'!H38</f>
        <v>0</v>
      </c>
      <c r="J50" s="48">
        <v>31</v>
      </c>
      <c r="K50" s="111">
        <v>0</v>
      </c>
      <c r="L50" s="48">
        <f>Inputs!G107+Inputs!I107+Inputs!L107+Inputs!O107+Inputs!R107+Inputs!AA107</f>
        <v>7489</v>
      </c>
      <c r="M50" s="48">
        <v>0</v>
      </c>
      <c r="N50" s="48">
        <f t="shared" si="4"/>
        <v>11754504.332736503</v>
      </c>
      <c r="O50" s="32">
        <f t="shared" si="5"/>
        <v>441847.46273650229</v>
      </c>
      <c r="P50" s="41">
        <f t="shared" si="6"/>
        <v>3.905779763445634E-2</v>
      </c>
      <c r="Q50" s="12">
        <f t="shared" si="10"/>
        <v>3.905779763445634E-2</v>
      </c>
      <c r="R50" s="135">
        <f t="shared" si="2"/>
        <v>195229180326.68478</v>
      </c>
      <c r="S50" s="135">
        <f t="shared" si="7"/>
        <v>34784.868645673618</v>
      </c>
      <c r="T50" s="135">
        <f t="shared" si="8"/>
        <v>1209987086.6967676</v>
      </c>
    </row>
    <row r="51" spans="1:20">
      <c r="A51" s="47">
        <v>43861</v>
      </c>
      <c r="B51" s="48">
        <f>Inputs!D108</f>
        <v>15014091.720000003</v>
      </c>
      <c r="C51" s="48">
        <f>Inputs!E108</f>
        <v>35136.76</v>
      </c>
      <c r="D51" s="48">
        <f t="shared" si="11"/>
        <v>15049228.480000002</v>
      </c>
      <c r="E51" s="48">
        <v>171026.52000000002</v>
      </c>
      <c r="F51" s="48">
        <v>3175805.51</v>
      </c>
      <c r="G51" s="48">
        <f t="shared" si="3"/>
        <v>11702396.450000003</v>
      </c>
      <c r="H51" s="48">
        <f>'Weather Analysis'!I8</f>
        <v>602.6</v>
      </c>
      <c r="I51" s="48">
        <f>'Weather Analysis'!I27</f>
        <v>0</v>
      </c>
      <c r="J51" s="48">
        <v>31</v>
      </c>
      <c r="K51" s="111">
        <v>0</v>
      </c>
      <c r="L51" s="48">
        <f>Inputs!G108+Inputs!I108+Inputs!L108+Inputs!O108+Inputs!R108+Inputs!AA108</f>
        <v>7508</v>
      </c>
      <c r="M51" s="48">
        <v>0</v>
      </c>
      <c r="N51" s="48">
        <f t="shared" si="4"/>
        <v>11912193.165949063</v>
      </c>
      <c r="O51" s="32">
        <f t="shared" si="5"/>
        <v>209796.7159490604</v>
      </c>
      <c r="P51" s="41">
        <f t="shared" si="6"/>
        <v>1.7927671212084113E-2</v>
      </c>
      <c r="Q51" s="12">
        <f t="shared" si="10"/>
        <v>1.7927671212084113E-2</v>
      </c>
      <c r="R51" s="135">
        <f t="shared" si="2"/>
        <v>44014662023.010735</v>
      </c>
      <c r="S51" s="135">
        <f t="shared" si="7"/>
        <v>-232050.74678744189</v>
      </c>
      <c r="T51" s="135">
        <f t="shared" si="8"/>
        <v>53847549084.609474</v>
      </c>
    </row>
    <row r="52" spans="1:20">
      <c r="A52" s="47">
        <v>43890</v>
      </c>
      <c r="B52" s="48">
        <f>Inputs!D109</f>
        <v>14192237.660000002</v>
      </c>
      <c r="C52" s="48">
        <f>Inputs!E109</f>
        <v>77809.59</v>
      </c>
      <c r="D52" s="48">
        <f t="shared" si="11"/>
        <v>14270047.250000002</v>
      </c>
      <c r="E52" s="48">
        <v>163565.26999999999</v>
      </c>
      <c r="F52" s="48">
        <v>3106057.9</v>
      </c>
      <c r="G52" s="48">
        <f t="shared" si="3"/>
        <v>11000424.080000002</v>
      </c>
      <c r="H52" s="48">
        <f>'Weather Analysis'!I9</f>
        <v>602.69999999999993</v>
      </c>
      <c r="I52" s="48">
        <f>'Weather Analysis'!I28</f>
        <v>0</v>
      </c>
      <c r="J52" s="48">
        <v>29</v>
      </c>
      <c r="K52" s="111">
        <v>0</v>
      </c>
      <c r="L52" s="48">
        <f>Inputs!G109+Inputs!I109+Inputs!L109+Inputs!O109+Inputs!R109+Inputs!AA109</f>
        <v>7522</v>
      </c>
      <c r="M52" s="48">
        <v>0</v>
      </c>
      <c r="N52" s="48">
        <f t="shared" si="4"/>
        <v>11276485.457820209</v>
      </c>
      <c r="O52" s="32">
        <f t="shared" si="5"/>
        <v>276061.37782020681</v>
      </c>
      <c r="P52" s="41">
        <f t="shared" si="6"/>
        <v>2.5095521391954079E-2</v>
      </c>
      <c r="Q52" s="12">
        <f t="shared" si="10"/>
        <v>2.5095521391954079E-2</v>
      </c>
      <c r="R52" s="135">
        <f t="shared" si="2"/>
        <v>76209884323.990967</v>
      </c>
      <c r="S52" s="135">
        <f t="shared" si="7"/>
        <v>66264.661871146411</v>
      </c>
      <c r="T52" s="135">
        <f t="shared" si="8"/>
        <v>4391005412.8973646</v>
      </c>
    </row>
    <row r="53" spans="1:20">
      <c r="A53" s="47">
        <v>43921</v>
      </c>
      <c r="B53" s="48">
        <f>Inputs!D110</f>
        <v>13448796.610000001</v>
      </c>
      <c r="C53" s="48">
        <f>Inputs!E110</f>
        <v>139741.92000000001</v>
      </c>
      <c r="D53" s="48">
        <f t="shared" si="11"/>
        <v>13588538.530000001</v>
      </c>
      <c r="E53" s="48">
        <v>155745.59</v>
      </c>
      <c r="F53" s="48">
        <v>2605804.7000000002</v>
      </c>
      <c r="G53" s="48">
        <f t="shared" si="3"/>
        <v>10826988.240000002</v>
      </c>
      <c r="H53" s="48">
        <f>'Weather Analysis'!I10</f>
        <v>463.4</v>
      </c>
      <c r="I53" s="48">
        <f>'Weather Analysis'!I29</f>
        <v>0</v>
      </c>
      <c r="J53" s="48">
        <v>31</v>
      </c>
      <c r="K53" s="111">
        <v>1</v>
      </c>
      <c r="L53" s="48">
        <f>Inputs!G110+Inputs!I110+Inputs!L110+Inputs!O110+Inputs!R110+Inputs!AA110</f>
        <v>7534</v>
      </c>
      <c r="M53" s="48">
        <v>0</v>
      </c>
      <c r="N53" s="48">
        <f t="shared" si="4"/>
        <v>11207077.085195251</v>
      </c>
      <c r="O53" s="32">
        <f t="shared" si="5"/>
        <v>380088.84519524872</v>
      </c>
      <c r="P53" s="41">
        <f t="shared" si="6"/>
        <v>3.5105685604332811E-2</v>
      </c>
      <c r="Q53" s="12">
        <f t="shared" si="10"/>
        <v>3.5105685604332811E-2</v>
      </c>
      <c r="R53" s="135">
        <f t="shared" si="2"/>
        <v>144467530241.85776</v>
      </c>
      <c r="S53" s="135">
        <f t="shared" si="7"/>
        <v>104027.46737504192</v>
      </c>
      <c r="T53" s="135">
        <f t="shared" si="8"/>
        <v>10821713968.46541</v>
      </c>
    </row>
    <row r="54" spans="1:20">
      <c r="A54" s="47">
        <v>43951</v>
      </c>
      <c r="B54" s="48">
        <f>Inputs!D111</f>
        <v>10036078.820000004</v>
      </c>
      <c r="C54" s="48">
        <f>Inputs!E111</f>
        <v>191301.65</v>
      </c>
      <c r="D54" s="48">
        <f t="shared" si="11"/>
        <v>10227380.470000004</v>
      </c>
      <c r="E54" s="48">
        <v>130250.96000000002</v>
      </c>
      <c r="F54" s="48">
        <v>981046.64999999991</v>
      </c>
      <c r="G54" s="48">
        <f t="shared" si="3"/>
        <v>9116082.8600000031</v>
      </c>
      <c r="H54" s="48">
        <f>'Weather Analysis'!I11</f>
        <v>381.59999999999997</v>
      </c>
      <c r="I54" s="48">
        <f>'Weather Analysis'!I30</f>
        <v>0</v>
      </c>
      <c r="J54" s="48">
        <v>30</v>
      </c>
      <c r="K54" s="111">
        <v>1</v>
      </c>
      <c r="L54" s="48">
        <f>Inputs!G111+Inputs!I111+Inputs!L111+Inputs!O111+Inputs!R111+Inputs!AA111</f>
        <v>7547</v>
      </c>
      <c r="M54" s="48">
        <v>1</v>
      </c>
      <c r="N54" s="48">
        <f t="shared" si="4"/>
        <v>9114881.9487765692</v>
      </c>
      <c r="O54" s="32">
        <f t="shared" si="5"/>
        <v>-1200.9112234339118</v>
      </c>
      <c r="P54" s="41">
        <f t="shared" si="6"/>
        <v>-1.3173544403631183E-4</v>
      </c>
      <c r="Q54" s="12">
        <f t="shared" si="10"/>
        <v>1.3173544403631183E-4</v>
      </c>
      <c r="R54" s="135">
        <f t="shared" si="2"/>
        <v>1442187.7665695348</v>
      </c>
      <c r="S54" s="135">
        <f t="shared" si="7"/>
        <v>-381289.75641868263</v>
      </c>
      <c r="T54" s="135">
        <f t="shared" si="8"/>
        <v>145381878349.81833</v>
      </c>
    </row>
    <row r="55" spans="1:20">
      <c r="A55" s="47">
        <v>43982</v>
      </c>
      <c r="B55" s="48">
        <f>Inputs!D112</f>
        <v>11027735.910000004</v>
      </c>
      <c r="C55" s="48">
        <f>Inputs!E112</f>
        <v>221551.47</v>
      </c>
      <c r="D55" s="48">
        <f t="shared" si="11"/>
        <v>11249287.380000005</v>
      </c>
      <c r="E55" s="48">
        <v>127787.47</v>
      </c>
      <c r="F55" s="48">
        <v>1321734.96</v>
      </c>
      <c r="G55" s="48">
        <f t="shared" si="3"/>
        <v>9799764.950000003</v>
      </c>
      <c r="H55" s="48">
        <f>'Weather Analysis'!I12</f>
        <v>213.39999999999995</v>
      </c>
      <c r="I55" s="48">
        <f>'Weather Analysis'!I31</f>
        <v>22.699999999999996</v>
      </c>
      <c r="J55" s="48">
        <v>31</v>
      </c>
      <c r="K55" s="111">
        <v>1</v>
      </c>
      <c r="L55" s="48">
        <f>Inputs!G112+Inputs!I112+Inputs!L112+Inputs!O112+Inputs!R112+Inputs!AA112</f>
        <v>7550</v>
      </c>
      <c r="M55" s="48">
        <v>1</v>
      </c>
      <c r="N55" s="48">
        <f t="shared" si="4"/>
        <v>9800965.8612234313</v>
      </c>
      <c r="O55" s="32">
        <f t="shared" si="5"/>
        <v>1200.9112234283239</v>
      </c>
      <c r="P55" s="41">
        <f t="shared" si="6"/>
        <v>1.225449007762501E-4</v>
      </c>
      <c r="Q55" s="12">
        <f t="shared" si="10"/>
        <v>1.225449007762501E-4</v>
      </c>
      <c r="R55" s="135">
        <f t="shared" si="2"/>
        <v>1442187.7665561135</v>
      </c>
      <c r="S55" s="135">
        <f t="shared" si="7"/>
        <v>2401.8224468622357</v>
      </c>
      <c r="T55" s="135">
        <f t="shared" si="8"/>
        <v>5768751.0662512966</v>
      </c>
    </row>
    <row r="56" spans="1:20">
      <c r="A56" s="47">
        <v>44012</v>
      </c>
      <c r="B56" s="48">
        <f>Inputs!D113</f>
        <v>15117286.629999997</v>
      </c>
      <c r="C56" s="48">
        <f>Inputs!E113</f>
        <v>271293.49</v>
      </c>
      <c r="D56" s="48">
        <f t="shared" si="11"/>
        <v>15388580.119999997</v>
      </c>
      <c r="E56" s="48">
        <v>140825.13</v>
      </c>
      <c r="F56" s="48">
        <v>2831032.41</v>
      </c>
      <c r="G56" s="48">
        <f t="shared" si="3"/>
        <v>12416722.579999996</v>
      </c>
      <c r="H56" s="48">
        <f>'Weather Analysis'!I13</f>
        <v>33.9</v>
      </c>
      <c r="I56" s="48">
        <f>'Weather Analysis'!I32</f>
        <v>59.9</v>
      </c>
      <c r="J56" s="48">
        <v>30</v>
      </c>
      <c r="K56" s="111">
        <v>0</v>
      </c>
      <c r="L56" s="48">
        <f>Inputs!G113+Inputs!I113+Inputs!L113+Inputs!O113+Inputs!R113+Inputs!AA113</f>
        <v>7557</v>
      </c>
      <c r="M56" s="48">
        <v>0</v>
      </c>
      <c r="N56" s="48">
        <f t="shared" si="4"/>
        <v>12352312.088596541</v>
      </c>
      <c r="O56" s="32">
        <f t="shared" si="5"/>
        <v>-64410.491403454915</v>
      </c>
      <c r="P56" s="41">
        <f t="shared" si="6"/>
        <v>-5.187398767143506E-3</v>
      </c>
      <c r="Q56" s="12">
        <f t="shared" si="10"/>
        <v>5.187398767143506E-3</v>
      </c>
      <c r="R56" s="135">
        <f t="shared" si="2"/>
        <v>4148711402.8345394</v>
      </c>
      <c r="S56" s="135">
        <f t="shared" si="7"/>
        <v>-65611.402626883239</v>
      </c>
      <c r="T56" s="135">
        <f t="shared" si="8"/>
        <v>4304856154.6669807</v>
      </c>
    </row>
    <row r="57" spans="1:20">
      <c r="A57" s="47">
        <v>44043</v>
      </c>
      <c r="B57" s="48">
        <f>Inputs!D114</f>
        <v>18014751.010000002</v>
      </c>
      <c r="C57" s="48">
        <f>Inputs!E114</f>
        <v>250058.56000000003</v>
      </c>
      <c r="D57" s="48">
        <f t="shared" si="11"/>
        <v>18264809.57</v>
      </c>
      <c r="E57" s="48">
        <v>162185.27999999997</v>
      </c>
      <c r="F57" s="48">
        <v>3020618.2</v>
      </c>
      <c r="G57" s="48">
        <f t="shared" si="3"/>
        <v>15082006.09</v>
      </c>
      <c r="H57" s="48">
        <f>'Weather Analysis'!I14</f>
        <v>0</v>
      </c>
      <c r="I57" s="48">
        <f>'Weather Analysis'!I33</f>
        <v>159.19999999999993</v>
      </c>
      <c r="J57" s="48">
        <v>31</v>
      </c>
      <c r="K57" s="111">
        <v>0</v>
      </c>
      <c r="L57" s="48">
        <f>Inputs!G114+Inputs!I114+Inputs!L114+Inputs!O114+Inputs!R114+Inputs!AA114</f>
        <v>7566</v>
      </c>
      <c r="M57" s="48">
        <v>0</v>
      </c>
      <c r="N57" s="48">
        <f t="shared" si="4"/>
        <v>15575952.632138088</v>
      </c>
      <c r="O57" s="32">
        <f t="shared" si="5"/>
        <v>493946.54213808849</v>
      </c>
      <c r="P57" s="41">
        <f t="shared" si="6"/>
        <v>3.2750718915674999E-2</v>
      </c>
      <c r="Q57" s="12">
        <f t="shared" si="10"/>
        <v>3.2750718915674999E-2</v>
      </c>
      <c r="R57" s="135">
        <f t="shared" si="2"/>
        <v>243983186490.17444</v>
      </c>
      <c r="S57" s="135">
        <f t="shared" si="7"/>
        <v>558357.03354154341</v>
      </c>
      <c r="T57" s="135">
        <f t="shared" si="8"/>
        <v>311762576905.31226</v>
      </c>
    </row>
    <row r="58" spans="1:20">
      <c r="A58" s="47">
        <v>44074</v>
      </c>
      <c r="B58" s="48">
        <f>Inputs!D115</f>
        <v>16733868.93</v>
      </c>
      <c r="C58" s="48">
        <f>Inputs!E115</f>
        <v>221686.43</v>
      </c>
      <c r="D58" s="48">
        <f t="shared" si="11"/>
        <v>16955555.359999999</v>
      </c>
      <c r="E58" s="48">
        <v>158668.94</v>
      </c>
      <c r="F58" s="48">
        <v>3014862.76</v>
      </c>
      <c r="G58" s="48">
        <f t="shared" si="3"/>
        <v>13782023.659999998</v>
      </c>
      <c r="H58" s="48">
        <f>'Weather Analysis'!I15</f>
        <v>5.6</v>
      </c>
      <c r="I58" s="48">
        <f>'Weather Analysis'!I34</f>
        <v>75.699999999999989</v>
      </c>
      <c r="J58" s="48">
        <v>31</v>
      </c>
      <c r="K58" s="111">
        <v>0</v>
      </c>
      <c r="L58" s="48">
        <f>Inputs!G115+Inputs!I115+Inputs!L115+Inputs!O115+Inputs!R115+Inputs!AA115</f>
        <v>7581</v>
      </c>
      <c r="M58" s="48">
        <v>0</v>
      </c>
      <c r="N58" s="48">
        <f t="shared" si="4"/>
        <v>13134373.507147186</v>
      </c>
      <c r="O58" s="32">
        <f t="shared" si="5"/>
        <v>-647650.15285281278</v>
      </c>
      <c r="P58" s="41">
        <f t="shared" si="6"/>
        <v>-4.6992384342838436E-2</v>
      </c>
      <c r="Q58" s="12">
        <f t="shared" si="10"/>
        <v>4.6992384342838436E-2</v>
      </c>
      <c r="R58" s="135">
        <f t="shared" si="2"/>
        <v>419450720490.27179</v>
      </c>
      <c r="S58" s="135">
        <f t="shared" si="7"/>
        <v>-1141596.6949909013</v>
      </c>
      <c r="T58" s="135">
        <f t="shared" si="8"/>
        <v>1303243014014.1489</v>
      </c>
    </row>
    <row r="59" spans="1:20">
      <c r="A59" s="47">
        <v>44104</v>
      </c>
      <c r="B59" s="48">
        <f>Inputs!D116</f>
        <v>14451425.119999997</v>
      </c>
      <c r="C59" s="48">
        <f>Inputs!E116</f>
        <v>189577.9</v>
      </c>
      <c r="D59" s="48">
        <f t="shared" si="11"/>
        <v>14641003.019999998</v>
      </c>
      <c r="E59" s="48">
        <v>149561.73000000001</v>
      </c>
      <c r="F59" s="48">
        <v>3076655.74</v>
      </c>
      <c r="G59" s="48">
        <f t="shared" si="3"/>
        <v>11414785.549999997</v>
      </c>
      <c r="H59" s="48">
        <f>'Weather Analysis'!I16</f>
        <v>91.6</v>
      </c>
      <c r="I59" s="48">
        <f>'Weather Analysis'!I35</f>
        <v>10.600000000000001</v>
      </c>
      <c r="J59" s="48">
        <v>30</v>
      </c>
      <c r="K59" s="111">
        <v>1</v>
      </c>
      <c r="L59" s="48">
        <f>Inputs!G116+Inputs!I116+Inputs!L116+Inputs!O116+Inputs!R116+Inputs!AA116</f>
        <v>7596</v>
      </c>
      <c r="M59" s="48">
        <v>0</v>
      </c>
      <c r="N59" s="48">
        <f t="shared" si="4"/>
        <v>10581774.330173099</v>
      </c>
      <c r="O59" s="32">
        <f t="shared" si="5"/>
        <v>-833011.21982689761</v>
      </c>
      <c r="P59" s="41">
        <f t="shared" si="6"/>
        <v>-7.2976510699922684E-2</v>
      </c>
      <c r="Q59" s="12">
        <f t="shared" si="10"/>
        <v>7.2976510699922684E-2</v>
      </c>
      <c r="R59" s="135">
        <f t="shared" si="2"/>
        <v>693907692357.49597</v>
      </c>
      <c r="S59" s="135">
        <f t="shared" si="7"/>
        <v>-185361.06697408482</v>
      </c>
      <c r="T59" s="135">
        <f t="shared" si="8"/>
        <v>34358725149.77116</v>
      </c>
    </row>
    <row r="60" spans="1:20">
      <c r="A60" s="47">
        <v>44135</v>
      </c>
      <c r="B60" s="48">
        <f>Inputs!D117</f>
        <v>14304932.470000003</v>
      </c>
      <c r="C60" s="48">
        <f>Inputs!E117</f>
        <v>116353.45999999999</v>
      </c>
      <c r="D60" s="48">
        <f t="shared" si="11"/>
        <v>14421285.930000003</v>
      </c>
      <c r="E60" s="48">
        <v>146356.07999999999</v>
      </c>
      <c r="F60" s="48">
        <v>3018748.12</v>
      </c>
      <c r="G60" s="48">
        <f t="shared" si="3"/>
        <v>11256181.730000004</v>
      </c>
      <c r="H60" s="48">
        <f>'Weather Analysis'!I17</f>
        <v>273.00000000000006</v>
      </c>
      <c r="I60" s="48">
        <f>'Weather Analysis'!I36</f>
        <v>0</v>
      </c>
      <c r="J60" s="48">
        <v>31</v>
      </c>
      <c r="K60" s="111">
        <v>1</v>
      </c>
      <c r="L60" s="48">
        <f>Inputs!G117+Inputs!I117+Inputs!L117+Inputs!O117+Inputs!R117+Inputs!AA117</f>
        <v>7650</v>
      </c>
      <c r="M60" s="48">
        <v>0</v>
      </c>
      <c r="N60" s="48">
        <f t="shared" si="4"/>
        <v>11029143.100636773</v>
      </c>
      <c r="O60" s="32">
        <f t="shared" si="5"/>
        <v>-227038.62936323136</v>
      </c>
      <c r="P60" s="41">
        <f t="shared" si="6"/>
        <v>-2.0170128273438181E-2</v>
      </c>
      <c r="Q60" s="12">
        <f t="shared" si="10"/>
        <v>2.0170128273438181E-2</v>
      </c>
      <c r="R60" s="135">
        <f t="shared" si="2"/>
        <v>51546539223.134743</v>
      </c>
      <c r="S60" s="135">
        <f t="shared" si="7"/>
        <v>605972.59046366625</v>
      </c>
      <c r="T60" s="135">
        <f t="shared" si="8"/>
        <v>367202780393.24615</v>
      </c>
    </row>
    <row r="61" spans="1:20">
      <c r="A61" s="47">
        <v>44165</v>
      </c>
      <c r="B61" s="48">
        <f>Inputs!D118</f>
        <v>14279909.410000002</v>
      </c>
      <c r="C61" s="48">
        <f>Inputs!E118</f>
        <v>82903.28</v>
      </c>
      <c r="D61" s="48">
        <f t="shared" si="11"/>
        <v>14362812.690000001</v>
      </c>
      <c r="E61" s="48">
        <v>165563.92000000001</v>
      </c>
      <c r="F61" s="48">
        <v>2950185.69</v>
      </c>
      <c r="G61" s="48">
        <f t="shared" si="3"/>
        <v>11247063.080000002</v>
      </c>
      <c r="H61" s="48">
        <f>'Weather Analysis'!I18</f>
        <v>354.3</v>
      </c>
      <c r="I61" s="48">
        <f>'Weather Analysis'!I37</f>
        <v>0</v>
      </c>
      <c r="J61" s="48">
        <v>30</v>
      </c>
      <c r="K61" s="111">
        <v>0</v>
      </c>
      <c r="L61" s="48">
        <f>Inputs!G118+Inputs!I118+Inputs!L118+Inputs!O118+Inputs!R118+Inputs!AA118</f>
        <v>7665</v>
      </c>
      <c r="M61" s="48">
        <v>0</v>
      </c>
      <c r="N61" s="48">
        <f t="shared" si="4"/>
        <v>11360161.769727919</v>
      </c>
      <c r="O61" s="32">
        <f t="shared" si="5"/>
        <v>113098.68972791731</v>
      </c>
      <c r="P61" s="41">
        <f t="shared" si="6"/>
        <v>1.005584203835703E-2</v>
      </c>
      <c r="Q61" s="12">
        <f t="shared" si="10"/>
        <v>1.005584203835703E-2</v>
      </c>
      <c r="R61" s="135">
        <f t="shared" si="2"/>
        <v>12791313618.171709</v>
      </c>
      <c r="S61" s="135">
        <f t="shared" si="7"/>
        <v>340137.31909114867</v>
      </c>
      <c r="T61" s="135">
        <f t="shared" si="8"/>
        <v>115693395838.51389</v>
      </c>
    </row>
    <row r="62" spans="1:20">
      <c r="A62" s="47">
        <v>44196</v>
      </c>
      <c r="B62" s="48">
        <f>Inputs!D119</f>
        <v>14921507.26</v>
      </c>
      <c r="C62" s="48">
        <f>Inputs!E119</f>
        <v>40422.69</v>
      </c>
      <c r="D62" s="48">
        <f t="shared" si="11"/>
        <v>14961929.949999999</v>
      </c>
      <c r="E62" s="48">
        <v>196766.91999999998</v>
      </c>
      <c r="F62" s="48">
        <v>2363231.4300000002</v>
      </c>
      <c r="G62" s="48">
        <f t="shared" si="3"/>
        <v>12401931.6</v>
      </c>
      <c r="H62" s="48">
        <f>'Weather Analysis'!I19</f>
        <v>567.59999999999991</v>
      </c>
      <c r="I62" s="48">
        <f>'Weather Analysis'!I38</f>
        <v>0</v>
      </c>
      <c r="J62" s="48">
        <v>31</v>
      </c>
      <c r="K62" s="111">
        <v>0</v>
      </c>
      <c r="L62" s="48">
        <f>Inputs!G119+Inputs!I119+Inputs!L119+Inputs!O119+Inputs!R119+Inputs!AA119</f>
        <v>7688</v>
      </c>
      <c r="M62" s="48">
        <v>0</v>
      </c>
      <c r="N62" s="48">
        <f t="shared" si="4"/>
        <v>12133200.45015287</v>
      </c>
      <c r="O62" s="32">
        <f t="shared" si="5"/>
        <v>-268731.14984712936</v>
      </c>
      <c r="P62" s="41">
        <f t="shared" si="6"/>
        <v>-2.1668491531361887E-2</v>
      </c>
      <c r="Q62" s="12">
        <f t="shared" si="10"/>
        <v>2.1668491531361887E-2</v>
      </c>
      <c r="R62" s="135">
        <f t="shared" si="2"/>
        <v>72216430898.160294</v>
      </c>
      <c r="S62" s="135">
        <f t="shared" si="7"/>
        <v>-381829.83957504667</v>
      </c>
      <c r="T62" s="135">
        <f t="shared" si="8"/>
        <v>145794026389.90588</v>
      </c>
    </row>
    <row r="63" spans="1:20">
      <c r="A63" s="47">
        <v>44227</v>
      </c>
      <c r="B63" s="48">
        <f>Inputs!D120</f>
        <v>15381838.239999998</v>
      </c>
      <c r="C63" s="48">
        <f>Inputs!E120</f>
        <v>41700.25</v>
      </c>
      <c r="D63" s="48">
        <f t="shared" si="11"/>
        <v>15423538.489999998</v>
      </c>
      <c r="E63" s="48">
        <v>543748.41999999993</v>
      </c>
      <c r="F63" s="48">
        <v>2652843.8200000003</v>
      </c>
      <c r="G63" s="48">
        <f t="shared" si="3"/>
        <v>12226946.249999998</v>
      </c>
      <c r="H63" s="48">
        <f>'Weather Analysis'!J8</f>
        <v>615.30000000000007</v>
      </c>
      <c r="I63" s="48">
        <f>'Weather Analysis'!J27</f>
        <v>0</v>
      </c>
      <c r="J63" s="48">
        <v>31</v>
      </c>
      <c r="K63" s="111">
        <v>0</v>
      </c>
      <c r="L63" s="48">
        <f>Inputs!G120+Inputs!I120+Inputs!L120+Inputs!O120+Inputs!R120+Inputs!AA120</f>
        <v>7720</v>
      </c>
      <c r="M63" s="48">
        <v>0</v>
      </c>
      <c r="N63" s="48">
        <f t="shared" si="4"/>
        <v>12275410.761958713</v>
      </c>
      <c r="O63" s="32">
        <f t="shared" si="5"/>
        <v>48464.511958714575</v>
      </c>
      <c r="P63" s="41">
        <f t="shared" si="6"/>
        <v>3.9637462182116473E-3</v>
      </c>
      <c r="Q63" s="12">
        <f t="shared" si="10"/>
        <v>3.9637462182116473E-3</v>
      </c>
      <c r="R63" s="135">
        <f t="shared" si="2"/>
        <v>2348808919.3963881</v>
      </c>
      <c r="S63" s="135">
        <f t="shared" si="7"/>
        <v>317195.66180584393</v>
      </c>
      <c r="T63" s="135">
        <f t="shared" si="8"/>
        <v>100613087868.44733</v>
      </c>
    </row>
    <row r="64" spans="1:20">
      <c r="A64" s="47">
        <v>44255</v>
      </c>
      <c r="B64" s="48">
        <f>Inputs!D121</f>
        <v>14338372.879999999</v>
      </c>
      <c r="C64" s="48">
        <f>Inputs!E121</f>
        <v>36904.899999999994</v>
      </c>
      <c r="D64" s="48">
        <f t="shared" si="11"/>
        <v>14375277.779999999</v>
      </c>
      <c r="E64" s="48">
        <v>463830.81</v>
      </c>
      <c r="F64" s="48">
        <v>2406118.8199999998</v>
      </c>
      <c r="G64" s="48">
        <f t="shared" si="3"/>
        <v>11505328.149999999</v>
      </c>
      <c r="H64" s="48">
        <f>'Weather Analysis'!J9</f>
        <v>692.7</v>
      </c>
      <c r="I64" s="48">
        <f>'Weather Analysis'!J28</f>
        <v>0</v>
      </c>
      <c r="J64" s="48">
        <v>28</v>
      </c>
      <c r="K64" s="111">
        <v>0</v>
      </c>
      <c r="L64" s="48">
        <f>Inputs!G121+Inputs!I121+Inputs!L121+Inputs!O121+Inputs!R121+Inputs!AA121</f>
        <v>7739</v>
      </c>
      <c r="M64" s="48">
        <v>0</v>
      </c>
      <c r="N64" s="48">
        <f t="shared" si="4"/>
        <v>11466096.630464885</v>
      </c>
      <c r="O64" s="32">
        <f t="shared" si="5"/>
        <v>-39231.519535113126</v>
      </c>
      <c r="P64" s="41">
        <f t="shared" si="6"/>
        <v>-3.4098566354331347E-3</v>
      </c>
      <c r="Q64" s="12">
        <f t="shared" si="10"/>
        <v>3.4098566354331347E-3</v>
      </c>
      <c r="R64" s="135">
        <f t="shared" si="2"/>
        <v>1539112125.0339627</v>
      </c>
      <c r="S64" s="135">
        <f t="shared" si="7"/>
        <v>-87696.031493827701</v>
      </c>
      <c r="T64" s="135">
        <f t="shared" si="8"/>
        <v>7690593939.7664204</v>
      </c>
    </row>
    <row r="65" spans="1:20">
      <c r="A65" s="47">
        <v>44286</v>
      </c>
      <c r="B65" s="48">
        <f>Inputs!D122</f>
        <v>14839569.93</v>
      </c>
      <c r="C65" s="48">
        <f>Inputs!E122</f>
        <v>197009.1</v>
      </c>
      <c r="D65" s="48">
        <f t="shared" si="11"/>
        <v>15036579.029999999</v>
      </c>
      <c r="E65" s="48">
        <v>537531.31000000006</v>
      </c>
      <c r="F65" s="48">
        <v>2855575.39</v>
      </c>
      <c r="G65" s="48">
        <f t="shared" si="3"/>
        <v>11643472.329999998</v>
      </c>
      <c r="H65" s="48">
        <f>'Weather Analysis'!J10</f>
        <v>456</v>
      </c>
      <c r="I65" s="48">
        <f>'Weather Analysis'!J29</f>
        <v>0</v>
      </c>
      <c r="J65" s="48">
        <v>31</v>
      </c>
      <c r="K65" s="111">
        <v>1</v>
      </c>
      <c r="L65" s="48">
        <f>Inputs!G122+Inputs!I122+Inputs!L122+Inputs!O122+Inputs!R122+Inputs!AA122</f>
        <v>7764</v>
      </c>
      <c r="M65" s="48">
        <v>0</v>
      </c>
      <c r="N65" s="48">
        <f t="shared" si="4"/>
        <v>11560711.364466943</v>
      </c>
      <c r="O65" s="32">
        <f t="shared" si="5"/>
        <v>-82760.965533055365</v>
      </c>
      <c r="P65" s="41">
        <f t="shared" si="6"/>
        <v>-7.1079282182702087E-3</v>
      </c>
      <c r="Q65" s="12">
        <f t="shared" si="10"/>
        <v>7.1079282182702087E-3</v>
      </c>
      <c r="R65" s="135">
        <f t="shared" si="2"/>
        <v>6849377415.9635782</v>
      </c>
      <c r="S65" s="135">
        <f t="shared" si="7"/>
        <v>-43529.445997942239</v>
      </c>
      <c r="T65" s="135">
        <f t="shared" si="8"/>
        <v>1894812668.8877697</v>
      </c>
    </row>
    <row r="66" spans="1:20">
      <c r="A66" s="47">
        <v>44316</v>
      </c>
      <c r="B66" s="48">
        <f>Inputs!D123</f>
        <v>12258026.33</v>
      </c>
      <c r="C66" s="48">
        <f>Inputs!E123</f>
        <v>195594.22999999998</v>
      </c>
      <c r="D66" s="48">
        <f t="shared" si="11"/>
        <v>12453620.560000001</v>
      </c>
      <c r="E66" s="48">
        <v>208735.52999999997</v>
      </c>
      <c r="F66" s="48">
        <v>2127833.12</v>
      </c>
      <c r="G66" s="48">
        <f t="shared" si="3"/>
        <v>10117051.91</v>
      </c>
      <c r="H66" s="48">
        <f>'Weather Analysis'!J11</f>
        <v>302.70000000000005</v>
      </c>
      <c r="I66" s="48">
        <f>'Weather Analysis'!J30</f>
        <v>0</v>
      </c>
      <c r="J66" s="48">
        <v>30</v>
      </c>
      <c r="K66" s="111">
        <v>1</v>
      </c>
      <c r="L66" s="48">
        <f>Inputs!G123+Inputs!I123+Inputs!L123+Inputs!O123+Inputs!R123+Inputs!AA123</f>
        <v>7789</v>
      </c>
      <c r="M66" s="48">
        <v>0</v>
      </c>
      <c r="N66" s="48">
        <f t="shared" si="4"/>
        <v>10978942.927559262</v>
      </c>
      <c r="O66" s="32">
        <f t="shared" si="5"/>
        <v>861891.01755926199</v>
      </c>
      <c r="P66" s="41">
        <f t="shared" si="6"/>
        <v>8.5191914129386134E-2</v>
      </c>
      <c r="Q66" s="12">
        <f t="shared" si="10"/>
        <v>8.5191914129386134E-2</v>
      </c>
      <c r="R66" s="135">
        <f t="shared" si="2"/>
        <v>742856126149.34009</v>
      </c>
      <c r="S66" s="135">
        <f t="shared" si="7"/>
        <v>944651.98309231736</v>
      </c>
      <c r="T66" s="135">
        <f t="shared" si="8"/>
        <v>892367369160.2478</v>
      </c>
    </row>
    <row r="67" spans="1:20">
      <c r="A67" s="47">
        <v>44347</v>
      </c>
      <c r="B67" s="48">
        <f>Inputs!D124</f>
        <v>13244338.23</v>
      </c>
      <c r="C67" s="48">
        <f>Inputs!E124</f>
        <v>234500.96000000002</v>
      </c>
      <c r="D67" s="48">
        <f t="shared" si="11"/>
        <v>13478839.190000001</v>
      </c>
      <c r="E67" s="48">
        <v>137709.51999999999</v>
      </c>
      <c r="F67" s="48">
        <v>2246884.9300000002</v>
      </c>
      <c r="G67" s="48">
        <f t="shared" si="3"/>
        <v>11094244.740000002</v>
      </c>
      <c r="H67" s="48">
        <f>'Weather Analysis'!J12</f>
        <v>175.60000000000005</v>
      </c>
      <c r="I67" s="48">
        <f>'Weather Analysis'!J31</f>
        <v>19.8</v>
      </c>
      <c r="J67" s="48">
        <v>31</v>
      </c>
      <c r="K67" s="111">
        <v>1</v>
      </c>
      <c r="L67" s="48">
        <f>Inputs!G124+Inputs!I124+Inputs!L124+Inputs!O124+Inputs!R124+Inputs!AA124</f>
        <v>7811</v>
      </c>
      <c r="M67" s="48">
        <v>0</v>
      </c>
      <c r="N67" s="48">
        <f t="shared" si="4"/>
        <v>11687851.965931103</v>
      </c>
      <c r="O67" s="32">
        <f t="shared" si="5"/>
        <v>593607.22593110055</v>
      </c>
      <c r="P67" s="41">
        <f t="shared" si="6"/>
        <v>5.3505870822451354E-2</v>
      </c>
      <c r="Q67" s="12">
        <f t="shared" si="10"/>
        <v>5.3505870822451354E-2</v>
      </c>
      <c r="R67" s="135">
        <f t="shared" ref="R67:R86" si="12">O67*O67</f>
        <v>352369538677.61664</v>
      </c>
      <c r="S67" s="135">
        <f t="shared" si="7"/>
        <v>-268283.79162816145</v>
      </c>
      <c r="T67" s="135">
        <f t="shared" si="8"/>
        <v>71976192850.382751</v>
      </c>
    </row>
    <row r="68" spans="1:20">
      <c r="A68" s="47">
        <v>44377</v>
      </c>
      <c r="B68" s="48">
        <f>Inputs!D125</f>
        <v>15554413.700000001</v>
      </c>
      <c r="C68" s="48">
        <f>Inputs!E125</f>
        <v>235576.17000000004</v>
      </c>
      <c r="D68" s="48">
        <f t="shared" si="11"/>
        <v>15789989.870000001</v>
      </c>
      <c r="E68" s="48">
        <v>157595.26999999999</v>
      </c>
      <c r="F68" s="48">
        <v>2636157.2999999998</v>
      </c>
      <c r="G68" s="48">
        <f t="shared" ref="G68:G86" si="13">D68-E68-F68</f>
        <v>12996237.300000001</v>
      </c>
      <c r="H68" s="48">
        <f>'Weather Analysis'!J13</f>
        <v>20.799999999999997</v>
      </c>
      <c r="I68" s="48">
        <f>'Weather Analysis'!J32</f>
        <v>88.100000000000009</v>
      </c>
      <c r="J68" s="48">
        <v>30</v>
      </c>
      <c r="K68" s="111">
        <v>0</v>
      </c>
      <c r="L68" s="48">
        <f>Inputs!G125+Inputs!I125+Inputs!L125+Inputs!O125+Inputs!R125+Inputs!AA125</f>
        <v>7846</v>
      </c>
      <c r="M68" s="48">
        <v>0</v>
      </c>
      <c r="N68" s="48">
        <f t="shared" ref="N68:N110" si="14">$W$18+$W$19*H68+$W$20*I68+$W$21*J68+$W$22*K68+$W$23*L68+M68*$W$24</f>
        <v>13625696.038384294</v>
      </c>
      <c r="O68" s="32">
        <f t="shared" ref="O68:O86" si="15">N68-G68</f>
        <v>629458.73838429339</v>
      </c>
      <c r="P68" s="41">
        <f t="shared" ref="P68:P86" si="16">O68/G68</f>
        <v>4.8433921592389927E-2</v>
      </c>
      <c r="Q68" s="12">
        <f t="shared" si="10"/>
        <v>4.8433921592389927E-2</v>
      </c>
      <c r="R68" s="135">
        <f t="shared" si="12"/>
        <v>396218303328.34631</v>
      </c>
      <c r="S68" s="135">
        <f t="shared" ref="S68:S86" si="17">O68-O67</f>
        <v>35851.512453192845</v>
      </c>
      <c r="T68" s="135">
        <f t="shared" ref="T68:T86" si="18">S68*S68</f>
        <v>1285330945.1814415</v>
      </c>
    </row>
    <row r="69" spans="1:20">
      <c r="A69" s="47">
        <v>44408</v>
      </c>
      <c r="B69" s="48">
        <f>Inputs!D126</f>
        <v>15685342.790000003</v>
      </c>
      <c r="C69" s="48">
        <f>Inputs!E126</f>
        <v>213581.17999999996</v>
      </c>
      <c r="D69" s="48">
        <f t="shared" si="11"/>
        <v>15898923.970000003</v>
      </c>
      <c r="E69" s="48">
        <v>155916.87</v>
      </c>
      <c r="F69" s="48">
        <v>2079124.17</v>
      </c>
      <c r="G69" s="48">
        <f t="shared" si="13"/>
        <v>13663882.930000003</v>
      </c>
      <c r="H69" s="48">
        <f>'Weather Analysis'!J14</f>
        <v>6</v>
      </c>
      <c r="I69" s="48">
        <f>'Weather Analysis'!J33</f>
        <v>76.5</v>
      </c>
      <c r="J69" s="48">
        <v>31</v>
      </c>
      <c r="K69" s="111">
        <v>0</v>
      </c>
      <c r="L69" s="48">
        <f>Inputs!G126+Inputs!I126+Inputs!L126+Inputs!O126+Inputs!R126+Inputs!AA126</f>
        <v>7883</v>
      </c>
      <c r="M69" s="48">
        <v>0</v>
      </c>
      <c r="N69" s="48">
        <f t="shared" si="14"/>
        <v>13641744.437592015</v>
      </c>
      <c r="O69" s="32">
        <f t="shared" si="15"/>
        <v>-22138.492407988757</v>
      </c>
      <c r="P69" s="41">
        <f t="shared" si="16"/>
        <v>-1.6202197077802942E-3</v>
      </c>
      <c r="Q69" s="12">
        <f t="shared" si="10"/>
        <v>1.6202197077802942E-3</v>
      </c>
      <c r="R69" s="135">
        <f t="shared" si="12"/>
        <v>490112846.09857583</v>
      </c>
      <c r="S69" s="135">
        <f t="shared" si="17"/>
        <v>-651597.23079228215</v>
      </c>
      <c r="T69" s="135">
        <f t="shared" si="18"/>
        <v>424578951176.17059</v>
      </c>
    </row>
    <row r="70" spans="1:20">
      <c r="A70" s="47">
        <v>44439</v>
      </c>
      <c r="B70" s="48">
        <f>Inputs!D127</f>
        <v>17774632.540000003</v>
      </c>
      <c r="C70" s="48">
        <f>Inputs!E127</f>
        <v>222339.34000000003</v>
      </c>
      <c r="D70" s="48">
        <f t="shared" si="11"/>
        <v>17996971.880000003</v>
      </c>
      <c r="E70" s="48">
        <v>171945.79</v>
      </c>
      <c r="F70" s="48">
        <v>2857704.54</v>
      </c>
      <c r="G70" s="48">
        <f t="shared" si="13"/>
        <v>14967321.550000004</v>
      </c>
      <c r="H70" s="48">
        <f>'Weather Analysis'!J15</f>
        <v>2.2999999999999998</v>
      </c>
      <c r="I70" s="48">
        <f>'Weather Analysis'!J34</f>
        <v>112.89999999999999</v>
      </c>
      <c r="J70" s="48">
        <v>31</v>
      </c>
      <c r="K70" s="111">
        <v>0</v>
      </c>
      <c r="L70" s="48">
        <f>Inputs!G127+Inputs!I127+Inputs!L127+Inputs!O127+Inputs!R127+Inputs!AA127</f>
        <v>7901</v>
      </c>
      <c r="M70" s="48">
        <v>0</v>
      </c>
      <c r="N70" s="48">
        <f t="shared" si="14"/>
        <v>14742931.354315564</v>
      </c>
      <c r="O70" s="32">
        <f t="shared" si="15"/>
        <v>-224390.19568444043</v>
      </c>
      <c r="P70" s="41">
        <f t="shared" si="16"/>
        <v>-1.4992007416613587E-2</v>
      </c>
      <c r="Q70" s="12">
        <f t="shared" si="10"/>
        <v>1.4992007416613587E-2</v>
      </c>
      <c r="R70" s="135">
        <f t="shared" si="12"/>
        <v>50350959919.301468</v>
      </c>
      <c r="S70" s="135">
        <f t="shared" si="17"/>
        <v>-202251.70327645168</v>
      </c>
      <c r="T70" s="135">
        <f t="shared" si="18"/>
        <v>40905751478.225853</v>
      </c>
    </row>
    <row r="71" spans="1:20">
      <c r="A71" s="47">
        <v>44469</v>
      </c>
      <c r="B71" s="48">
        <f>Inputs!D128</f>
        <v>14020372.270000001</v>
      </c>
      <c r="C71" s="48">
        <f>Inputs!E128</f>
        <v>193179.75</v>
      </c>
      <c r="D71" s="48">
        <f t="shared" si="11"/>
        <v>14213552.020000001</v>
      </c>
      <c r="E71" s="48">
        <v>148189.84</v>
      </c>
      <c r="F71" s="48">
        <v>2457487.63</v>
      </c>
      <c r="G71" s="48">
        <f t="shared" si="13"/>
        <v>11607874.550000001</v>
      </c>
      <c r="H71" s="48">
        <f>'Weather Analysis'!J16</f>
        <v>58.4</v>
      </c>
      <c r="I71" s="48">
        <f>'Weather Analysis'!J35</f>
        <v>11.700000000000001</v>
      </c>
      <c r="J71" s="48">
        <v>30</v>
      </c>
      <c r="K71" s="111">
        <v>1</v>
      </c>
      <c r="L71" s="48">
        <f>Inputs!G128+Inputs!I128+Inputs!L128+Inputs!O128+Inputs!R128+Inputs!AA128</f>
        <v>7934</v>
      </c>
      <c r="M71" s="48">
        <v>0</v>
      </c>
      <c r="N71" s="48">
        <f t="shared" si="14"/>
        <v>11091472.611766174</v>
      </c>
      <c r="O71" s="32">
        <f t="shared" si="15"/>
        <v>-516401.93823382631</v>
      </c>
      <c r="P71" s="41">
        <f t="shared" si="16"/>
        <v>-4.4487208748635751E-2</v>
      </c>
      <c r="Q71" s="12">
        <f t="shared" si="10"/>
        <v>4.4487208748635751E-2</v>
      </c>
      <c r="R71" s="135">
        <f t="shared" si="12"/>
        <v>266670961811.65256</v>
      </c>
      <c r="S71" s="135">
        <f t="shared" si="17"/>
        <v>-292011.74254938588</v>
      </c>
      <c r="T71" s="135">
        <f t="shared" si="18"/>
        <v>85270857786.728821</v>
      </c>
    </row>
    <row r="72" spans="1:20">
      <c r="A72" s="47">
        <v>44500</v>
      </c>
      <c r="B72" s="48">
        <f>Inputs!D129</f>
        <v>13896446.370000001</v>
      </c>
      <c r="C72" s="48">
        <f>Inputs!E129</f>
        <v>100673.29000000002</v>
      </c>
      <c r="D72" s="48">
        <f t="shared" si="11"/>
        <v>13997119.66</v>
      </c>
      <c r="E72" s="48">
        <v>161878.74</v>
      </c>
      <c r="F72" s="48">
        <v>2421664.91</v>
      </c>
      <c r="G72" s="48">
        <f t="shared" si="13"/>
        <v>11413576.01</v>
      </c>
      <c r="H72" s="48">
        <f>'Weather Analysis'!J17</f>
        <v>157.30000000000001</v>
      </c>
      <c r="I72" s="48">
        <f>'Weather Analysis'!J36</f>
        <v>10.3</v>
      </c>
      <c r="J72" s="48">
        <v>31</v>
      </c>
      <c r="K72" s="111">
        <v>1</v>
      </c>
      <c r="L72" s="48">
        <f>Inputs!G129+Inputs!I129+Inputs!L129+Inputs!O129+Inputs!R129+Inputs!AA129</f>
        <v>7977</v>
      </c>
      <c r="M72" s="48">
        <v>0</v>
      </c>
      <c r="N72" s="48">
        <f t="shared" si="14"/>
        <v>11636619.597688019</v>
      </c>
      <c r="O72" s="32">
        <f t="shared" si="15"/>
        <v>223043.5876880195</v>
      </c>
      <c r="P72" s="41">
        <f t="shared" si="16"/>
        <v>1.9541954904632865E-2</v>
      </c>
      <c r="Q72" s="12">
        <f t="shared" si="10"/>
        <v>1.9541954904632865E-2</v>
      </c>
      <c r="R72" s="135">
        <f t="shared" si="12"/>
        <v>49748442008.74324</v>
      </c>
      <c r="S72" s="135">
        <f t="shared" si="17"/>
        <v>739445.52592184581</v>
      </c>
      <c r="T72" s="135">
        <f t="shared" si="18"/>
        <v>546779685805.83514</v>
      </c>
    </row>
    <row r="73" spans="1:20">
      <c r="A73" s="47">
        <v>44530</v>
      </c>
      <c r="B73" s="48">
        <f>Inputs!D130</f>
        <v>14538013.570000002</v>
      </c>
      <c r="C73" s="48">
        <f>Inputs!E130</f>
        <v>75643.289999999994</v>
      </c>
      <c r="D73" s="48">
        <f t="shared" si="11"/>
        <v>14613656.860000001</v>
      </c>
      <c r="E73" s="48">
        <v>216918.55</v>
      </c>
      <c r="F73" s="48">
        <v>2535706.0500000003</v>
      </c>
      <c r="G73" s="48">
        <f t="shared" si="13"/>
        <v>11861032.26</v>
      </c>
      <c r="H73" s="48">
        <f>'Weather Analysis'!J18</f>
        <v>447.7000000000001</v>
      </c>
      <c r="I73" s="48">
        <f>'Weather Analysis'!J37</f>
        <v>0</v>
      </c>
      <c r="J73" s="48">
        <v>30</v>
      </c>
      <c r="K73" s="111">
        <v>0</v>
      </c>
      <c r="L73" s="48">
        <f>Inputs!G130+Inputs!I130+Inputs!L130+Inputs!O130+Inputs!R130+Inputs!AA130</f>
        <v>8016</v>
      </c>
      <c r="M73" s="48">
        <v>0</v>
      </c>
      <c r="N73" s="48">
        <f t="shared" si="14"/>
        <v>12099663.678735266</v>
      </c>
      <c r="O73" s="32">
        <f t="shared" si="15"/>
        <v>238631.41873526573</v>
      </c>
      <c r="P73" s="41">
        <f t="shared" si="16"/>
        <v>2.0118941885018171E-2</v>
      </c>
      <c r="Q73" s="12">
        <f t="shared" si="10"/>
        <v>2.0118941885018171E-2</v>
      </c>
      <c r="R73" s="135">
        <f t="shared" si="12"/>
        <v>56944954007.605736</v>
      </c>
      <c r="S73" s="135">
        <f t="shared" si="17"/>
        <v>15587.831047246233</v>
      </c>
      <c r="T73" s="135">
        <f t="shared" si="18"/>
        <v>242980476.75749359</v>
      </c>
    </row>
    <row r="74" spans="1:20">
      <c r="A74" s="47">
        <v>44561</v>
      </c>
      <c r="B74" s="48">
        <f>Inputs!D131</f>
        <v>14738839.719999997</v>
      </c>
      <c r="C74" s="48">
        <f>Inputs!E131</f>
        <v>46959.739999999991</v>
      </c>
      <c r="D74" s="48">
        <f t="shared" si="11"/>
        <v>14785799.459999997</v>
      </c>
      <c r="E74" s="48">
        <v>205565.01</v>
      </c>
      <c r="F74" s="48">
        <v>2333799.2400000002</v>
      </c>
      <c r="G74" s="48">
        <f t="shared" si="13"/>
        <v>12246435.209999997</v>
      </c>
      <c r="H74" s="48">
        <f>'Weather Analysis'!J19</f>
        <v>515.4</v>
      </c>
      <c r="I74" s="48">
        <f>'Weather Analysis'!J38</f>
        <v>0</v>
      </c>
      <c r="J74" s="48">
        <v>31</v>
      </c>
      <c r="K74" s="111">
        <v>0</v>
      </c>
      <c r="L74" s="48">
        <f>Inputs!G131+Inputs!I131+Inputs!L131+Inputs!O131+Inputs!R131+Inputs!AA131</f>
        <v>8043</v>
      </c>
      <c r="M74" s="48">
        <v>0</v>
      </c>
      <c r="N74" s="48">
        <f t="shared" si="14"/>
        <v>12601194.72679197</v>
      </c>
      <c r="O74" s="32">
        <f t="shared" si="15"/>
        <v>354759.51679197326</v>
      </c>
      <c r="P74" s="41">
        <f t="shared" si="16"/>
        <v>2.8968390450658608E-2</v>
      </c>
      <c r="Q74" s="12">
        <f t="shared" si="10"/>
        <v>2.8968390450658608E-2</v>
      </c>
      <c r="R74" s="135">
        <f t="shared" si="12"/>
        <v>125854314754.47437</v>
      </c>
      <c r="S74" s="135">
        <f t="shared" si="17"/>
        <v>116128.09805670753</v>
      </c>
      <c r="T74" s="135">
        <f t="shared" si="18"/>
        <v>13485735158.26828</v>
      </c>
    </row>
    <row r="75" spans="1:20">
      <c r="A75" s="47">
        <v>44592</v>
      </c>
      <c r="B75" s="48">
        <f>Inputs!D132</f>
        <v>16412005.120000001</v>
      </c>
      <c r="C75" s="48">
        <f>Inputs!E132</f>
        <v>39551.119999999995</v>
      </c>
      <c r="D75" s="48">
        <f t="shared" si="11"/>
        <v>16451556.24</v>
      </c>
      <c r="E75" s="48">
        <v>229885.46</v>
      </c>
      <c r="F75" s="48">
        <v>2704683.5200000005</v>
      </c>
      <c r="G75" s="48">
        <f t="shared" si="13"/>
        <v>13516987.259999998</v>
      </c>
      <c r="H75" s="48">
        <f>'Weather Analysis'!K8</f>
        <v>824.49999999999989</v>
      </c>
      <c r="I75" s="48">
        <f>'Weather Analysis'!K27</f>
        <v>0</v>
      </c>
      <c r="J75" s="48">
        <v>31</v>
      </c>
      <c r="K75" s="111">
        <v>0</v>
      </c>
      <c r="L75" s="48">
        <f>Inputs!G132+Inputs!I132+Inputs!L132+Inputs!O132+Inputs!R132+Inputs!AA132</f>
        <v>8062</v>
      </c>
      <c r="M75" s="48">
        <v>0</v>
      </c>
      <c r="N75" s="48">
        <f t="shared" si="14"/>
        <v>13221546.966412971</v>
      </c>
      <c r="O75" s="32">
        <f t="shared" si="15"/>
        <v>-295440.29358702712</v>
      </c>
      <c r="P75" s="41">
        <f t="shared" si="16"/>
        <v>-2.1856963234796092E-2</v>
      </c>
      <c r="Q75" s="12">
        <f t="shared" si="10"/>
        <v>2.1856963234796092E-2</v>
      </c>
      <c r="R75" s="135">
        <f t="shared" si="12"/>
        <v>87284967074.788773</v>
      </c>
      <c r="S75" s="135">
        <f t="shared" si="17"/>
        <v>-650199.81037900038</v>
      </c>
      <c r="T75" s="135">
        <f t="shared" si="18"/>
        <v>422759793416.88806</v>
      </c>
    </row>
    <row r="76" spans="1:20">
      <c r="A76" s="47">
        <v>44620</v>
      </c>
      <c r="B76" s="48">
        <f>Inputs!D133</f>
        <v>14716423.85</v>
      </c>
      <c r="C76" s="48">
        <f>Inputs!E133</f>
        <v>71042.73</v>
      </c>
      <c r="D76" s="48">
        <f t="shared" si="11"/>
        <v>14787466.58</v>
      </c>
      <c r="E76" s="48">
        <v>215471.86000000002</v>
      </c>
      <c r="F76" s="48">
        <v>2459020.0700000003</v>
      </c>
      <c r="G76" s="48">
        <f t="shared" si="13"/>
        <v>12112974.65</v>
      </c>
      <c r="H76" s="48">
        <f>'Weather Analysis'!K9</f>
        <v>635.30000000000018</v>
      </c>
      <c r="I76" s="48">
        <f>'Weather Analysis'!K28</f>
        <v>0</v>
      </c>
      <c r="J76" s="48">
        <v>28</v>
      </c>
      <c r="K76" s="111">
        <v>0</v>
      </c>
      <c r="L76" s="48">
        <f>Inputs!G133+Inputs!I133+Inputs!L133+Inputs!O133+Inputs!R133+Inputs!AA133</f>
        <v>8086</v>
      </c>
      <c r="M76" s="48">
        <v>0</v>
      </c>
      <c r="N76" s="48">
        <f t="shared" si="14"/>
        <v>11911374.184796488</v>
      </c>
      <c r="O76" s="32">
        <f t="shared" si="15"/>
        <v>-201600.46520351246</v>
      </c>
      <c r="P76" s="41">
        <f t="shared" si="16"/>
        <v>-1.6643349055759187E-2</v>
      </c>
      <c r="Q76" s="12">
        <f t="shared" si="10"/>
        <v>1.6643349055759187E-2</v>
      </c>
      <c r="R76" s="135">
        <f t="shared" si="12"/>
        <v>40642747570.272636</v>
      </c>
      <c r="S76" s="135">
        <f t="shared" si="17"/>
        <v>93839.828383514658</v>
      </c>
      <c r="T76" s="135">
        <f t="shared" si="18"/>
        <v>8805913391.0474834</v>
      </c>
    </row>
    <row r="77" spans="1:20">
      <c r="A77" s="47">
        <v>44651</v>
      </c>
      <c r="B77" s="48">
        <f>Inputs!D134</f>
        <v>15784695.399999995</v>
      </c>
      <c r="C77" s="48">
        <f>Inputs!E134</f>
        <v>118490.18000000001</v>
      </c>
      <c r="D77" s="48">
        <f t="shared" si="11"/>
        <v>15903185.579999994</v>
      </c>
      <c r="E77" s="48">
        <v>258483.46000000002</v>
      </c>
      <c r="F77" s="48">
        <v>2650068.8200000003</v>
      </c>
      <c r="G77" s="48">
        <f t="shared" si="13"/>
        <v>12994633.299999993</v>
      </c>
      <c r="H77" s="48">
        <f>'Weather Analysis'!K10</f>
        <v>499.2</v>
      </c>
      <c r="I77" s="48">
        <f>'Weather Analysis'!K29</f>
        <v>0</v>
      </c>
      <c r="J77" s="48">
        <v>31</v>
      </c>
      <c r="K77" s="111">
        <v>1</v>
      </c>
      <c r="L77" s="48">
        <f>Inputs!G134+Inputs!I134+Inputs!L134+Inputs!O134+Inputs!R134+Inputs!AA134</f>
        <v>8093</v>
      </c>
      <c r="M77" s="48">
        <v>0</v>
      </c>
      <c r="N77" s="48">
        <f t="shared" si="14"/>
        <v>12169220.767780226</v>
      </c>
      <c r="O77" s="32">
        <f t="shared" si="15"/>
        <v>-825412.53221976757</v>
      </c>
      <c r="P77" s="41">
        <f t="shared" si="16"/>
        <v>-6.3519494022179754E-2</v>
      </c>
      <c r="Q77" s="12">
        <f t="shared" si="10"/>
        <v>6.3519494022179754E-2</v>
      </c>
      <c r="R77" s="135">
        <f t="shared" si="12"/>
        <v>681305848345.44885</v>
      </c>
      <c r="S77" s="135">
        <f t="shared" si="17"/>
        <v>-623812.06701625511</v>
      </c>
      <c r="T77" s="135">
        <f t="shared" si="18"/>
        <v>389141494955.09277</v>
      </c>
    </row>
    <row r="78" spans="1:20">
      <c r="A78" s="47">
        <v>44681</v>
      </c>
      <c r="B78" s="48">
        <f>Inputs!D135</f>
        <v>13400986.82</v>
      </c>
      <c r="C78" s="48">
        <f>Inputs!E135</f>
        <v>183397.94000000003</v>
      </c>
      <c r="D78" s="48">
        <f t="shared" si="11"/>
        <v>13584384.76</v>
      </c>
      <c r="E78" s="48">
        <v>215327.68000000002</v>
      </c>
      <c r="F78" s="48">
        <v>2124042.29</v>
      </c>
      <c r="G78" s="48">
        <f t="shared" si="13"/>
        <v>11245014.789999999</v>
      </c>
      <c r="H78" s="48">
        <f>'Weather Analysis'!K11</f>
        <v>371.9</v>
      </c>
      <c r="I78" s="48">
        <f>'Weather Analysis'!K30</f>
        <v>0</v>
      </c>
      <c r="J78" s="48">
        <v>30</v>
      </c>
      <c r="K78" s="111">
        <v>1</v>
      </c>
      <c r="L78" s="48">
        <f>Inputs!G135+Inputs!I135+Inputs!L135+Inputs!O135+Inputs!R135+Inputs!AA135</f>
        <v>8106</v>
      </c>
      <c r="M78" s="48">
        <v>0</v>
      </c>
      <c r="N78" s="48">
        <f t="shared" si="14"/>
        <v>11617890.544179473</v>
      </c>
      <c r="O78" s="32">
        <f t="shared" si="15"/>
        <v>372875.75417947397</v>
      </c>
      <c r="P78" s="41">
        <f t="shared" si="16"/>
        <v>3.315920531390195E-2</v>
      </c>
      <c r="Q78" s="12">
        <f t="shared" si="10"/>
        <v>3.315920531390195E-2</v>
      </c>
      <c r="R78" s="135">
        <f t="shared" si="12"/>
        <v>139036328054.9115</v>
      </c>
      <c r="S78" s="135">
        <f t="shared" si="17"/>
        <v>1198288.2863992415</v>
      </c>
      <c r="T78" s="135">
        <f t="shared" si="18"/>
        <v>1435894817321.6306</v>
      </c>
    </row>
    <row r="79" spans="1:20">
      <c r="A79" s="47">
        <v>44712</v>
      </c>
      <c r="B79" s="48">
        <f>Inputs!D136</f>
        <v>14301607.030000005</v>
      </c>
      <c r="C79" s="48">
        <f>Inputs!E136</f>
        <v>237124.88999999996</v>
      </c>
      <c r="D79" s="48">
        <f t="shared" si="11"/>
        <v>14538731.920000006</v>
      </c>
      <c r="E79" s="48">
        <v>190188.46999999997</v>
      </c>
      <c r="F79" s="48">
        <v>2149731.92</v>
      </c>
      <c r="G79" s="48">
        <f t="shared" si="13"/>
        <v>12198811.530000005</v>
      </c>
      <c r="H79" s="48">
        <f>'Weather Analysis'!K12</f>
        <v>120.5</v>
      </c>
      <c r="I79" s="48">
        <f>'Weather Analysis'!K31</f>
        <v>23.699999999999996</v>
      </c>
      <c r="J79" s="48">
        <v>31</v>
      </c>
      <c r="K79" s="111">
        <v>1</v>
      </c>
      <c r="L79" s="48">
        <f>Inputs!G136+Inputs!I136+Inputs!L136+Inputs!O136+Inputs!R136+Inputs!AA136</f>
        <v>8119</v>
      </c>
      <c r="M79" s="48">
        <v>0</v>
      </c>
      <c r="N79" s="48">
        <f t="shared" si="14"/>
        <v>12190817.707202505</v>
      </c>
      <c r="O79" s="32">
        <f t="shared" si="15"/>
        <v>-7993.8227974995971</v>
      </c>
      <c r="P79" s="41">
        <f t="shared" si="16"/>
        <v>-6.552952128033733E-4</v>
      </c>
      <c r="Q79" s="12">
        <f t="shared" si="10"/>
        <v>6.552952128033733E-4</v>
      </c>
      <c r="R79" s="135">
        <f t="shared" si="12"/>
        <v>63901202.917824283</v>
      </c>
      <c r="S79" s="135">
        <f t="shared" si="17"/>
        <v>-380869.57697697356</v>
      </c>
      <c r="T79" s="135">
        <f t="shared" si="18"/>
        <v>145061634666.6188</v>
      </c>
    </row>
    <row r="80" spans="1:20">
      <c r="A80" s="47">
        <v>44742</v>
      </c>
      <c r="B80" s="48">
        <f>Inputs!D137</f>
        <v>15576117.430000002</v>
      </c>
      <c r="C80" s="48">
        <f>Inputs!E137</f>
        <v>248877.21999999997</v>
      </c>
      <c r="D80" s="48">
        <f t="shared" si="11"/>
        <v>15824994.650000002</v>
      </c>
      <c r="E80" s="48">
        <v>186475.58000000002</v>
      </c>
      <c r="F80" s="48">
        <v>2378714.67</v>
      </c>
      <c r="G80" s="48">
        <f t="shared" si="13"/>
        <v>13259804.400000002</v>
      </c>
      <c r="H80" s="48">
        <f>'Weather Analysis'!K13</f>
        <v>36.700000000000003</v>
      </c>
      <c r="I80" s="48">
        <f>'Weather Analysis'!K32</f>
        <v>45.5</v>
      </c>
      <c r="J80" s="48">
        <v>30</v>
      </c>
      <c r="K80" s="111">
        <v>0</v>
      </c>
      <c r="L80" s="48">
        <f>Inputs!G137+Inputs!I137+Inputs!L137+Inputs!O137+Inputs!R137+Inputs!AA137</f>
        <v>8166</v>
      </c>
      <c r="M80" s="48">
        <v>0</v>
      </c>
      <c r="N80" s="48">
        <f t="shared" si="14"/>
        <v>12904374.659083208</v>
      </c>
      <c r="O80" s="32">
        <f t="shared" si="15"/>
        <v>-355429.74091679417</v>
      </c>
      <c r="P80" s="41">
        <f t="shared" si="16"/>
        <v>-2.6805051582570412E-2</v>
      </c>
      <c r="Q80" s="12">
        <f t="shared" si="10"/>
        <v>2.6805051582570412E-2</v>
      </c>
      <c r="R80" s="135">
        <f t="shared" si="12"/>
        <v>126330300728.17943</v>
      </c>
      <c r="S80" s="135">
        <f t="shared" si="17"/>
        <v>-347435.91811929457</v>
      </c>
      <c r="T80" s="135">
        <f t="shared" si="18"/>
        <v>120711717199.39716</v>
      </c>
    </row>
    <row r="81" spans="1:20">
      <c r="A81" s="47">
        <v>44773</v>
      </c>
      <c r="B81" s="48">
        <f>Inputs!D138</f>
        <v>17012436.870000001</v>
      </c>
      <c r="C81" s="48">
        <f>Inputs!E138</f>
        <v>229151.86</v>
      </c>
      <c r="D81" s="48">
        <f t="shared" si="11"/>
        <v>17241588.73</v>
      </c>
      <c r="E81" s="48">
        <v>188489.26</v>
      </c>
      <c r="F81" s="48">
        <v>2333898.79</v>
      </c>
      <c r="G81" s="48">
        <f t="shared" si="13"/>
        <v>14719200.68</v>
      </c>
      <c r="H81" s="48">
        <f>'Weather Analysis'!K14</f>
        <v>0.9</v>
      </c>
      <c r="I81" s="48">
        <f>'Weather Analysis'!K33</f>
        <v>80</v>
      </c>
      <c r="J81" s="48">
        <v>31</v>
      </c>
      <c r="K81" s="111">
        <v>0</v>
      </c>
      <c r="L81" s="48">
        <f>Inputs!G138+Inputs!I138+Inputs!L138+Inputs!O138+Inputs!R138+Inputs!AA138</f>
        <v>8192</v>
      </c>
      <c r="M81" s="48">
        <v>0</v>
      </c>
      <c r="N81" s="48">
        <f t="shared" si="14"/>
        <v>14229880.714911444</v>
      </c>
      <c r="O81" s="32">
        <f t="shared" si="15"/>
        <v>-489319.96508855559</v>
      </c>
      <c r="P81" s="41">
        <f t="shared" si="16"/>
        <v>-3.324365063881686E-2</v>
      </c>
      <c r="Q81" s="12">
        <f t="shared" si="10"/>
        <v>3.324365063881686E-2</v>
      </c>
      <c r="R81" s="135">
        <f t="shared" si="12"/>
        <v>239434028234.26526</v>
      </c>
      <c r="S81" s="135">
        <f t="shared" si="17"/>
        <v>-133890.22417176142</v>
      </c>
      <c r="T81" s="135">
        <f t="shared" si="18"/>
        <v>17926592128.764526</v>
      </c>
    </row>
    <row r="82" spans="1:20">
      <c r="A82" s="47">
        <v>44804</v>
      </c>
      <c r="B82" s="48">
        <f>Inputs!D139</f>
        <v>17747489.990000002</v>
      </c>
      <c r="C82" s="48">
        <f>Inputs!E139</f>
        <v>216120.18</v>
      </c>
      <c r="D82" s="48">
        <f t="shared" si="11"/>
        <v>17963610.170000002</v>
      </c>
      <c r="E82" s="48">
        <v>201468.34999999998</v>
      </c>
      <c r="F82" s="48">
        <v>2759316.12</v>
      </c>
      <c r="G82" s="48">
        <f t="shared" si="13"/>
        <v>15002825.699999999</v>
      </c>
      <c r="H82" s="48">
        <f>'Weather Analysis'!K15</f>
        <v>2.2000000000000002</v>
      </c>
      <c r="I82" s="48">
        <f>'Weather Analysis'!K34</f>
        <v>71.5</v>
      </c>
      <c r="J82" s="48">
        <v>31</v>
      </c>
      <c r="K82" s="111">
        <v>0</v>
      </c>
      <c r="L82" s="48">
        <f>Inputs!G139+Inputs!I139+Inputs!L139+Inputs!O139+Inputs!R139+Inputs!AA139</f>
        <v>8221</v>
      </c>
      <c r="M82" s="48">
        <v>0</v>
      </c>
      <c r="N82" s="48">
        <f t="shared" si="14"/>
        <v>14026657.990937989</v>
      </c>
      <c r="O82" s="32">
        <f t="shared" si="15"/>
        <v>-976167.70906201005</v>
      </c>
      <c r="P82" s="41">
        <f t="shared" si="16"/>
        <v>-6.5065590214915994E-2</v>
      </c>
      <c r="Q82" s="12">
        <f t="shared" si="10"/>
        <v>6.5065590214915994E-2</v>
      </c>
      <c r="R82" s="135">
        <f t="shared" si="12"/>
        <v>952903396215.37305</v>
      </c>
      <c r="S82" s="135">
        <f t="shared" si="17"/>
        <v>-486847.74397345446</v>
      </c>
      <c r="T82" s="135">
        <f t="shared" si="18"/>
        <v>237020725812.04227</v>
      </c>
    </row>
    <row r="83" spans="1:20">
      <c r="A83" s="47">
        <v>44834</v>
      </c>
      <c r="B83" s="48">
        <f>Inputs!D140</f>
        <v>14825218.609999998</v>
      </c>
      <c r="C83" s="48">
        <f>Inputs!E140</f>
        <v>177422.69</v>
      </c>
      <c r="D83" s="48">
        <f t="shared" si="11"/>
        <v>15002641.299999997</v>
      </c>
      <c r="E83" s="48">
        <v>184986.37</v>
      </c>
      <c r="F83" s="48">
        <v>2284987.33</v>
      </c>
      <c r="G83" s="48">
        <f t="shared" si="13"/>
        <v>12532667.599999998</v>
      </c>
      <c r="H83" s="48">
        <f>'Weather Analysis'!K16</f>
        <v>69.899999999999991</v>
      </c>
      <c r="I83" s="48">
        <f>'Weather Analysis'!K35</f>
        <v>26.900000000000006</v>
      </c>
      <c r="J83" s="48">
        <v>30</v>
      </c>
      <c r="K83" s="111">
        <v>1</v>
      </c>
      <c r="L83" s="48">
        <f>Inputs!G140+Inputs!I140+Inputs!L140+Inputs!O140+Inputs!R140+Inputs!AA140</f>
        <v>8244</v>
      </c>
      <c r="M83" s="48">
        <v>0</v>
      </c>
      <c r="N83" s="48">
        <f t="shared" si="14"/>
        <v>12059863.716855733</v>
      </c>
      <c r="O83" s="32">
        <f t="shared" si="15"/>
        <v>-472803.88314426504</v>
      </c>
      <c r="P83" s="41">
        <f t="shared" si="16"/>
        <v>-3.7725717958422923E-2</v>
      </c>
      <c r="Q83" s="12">
        <f t="shared" si="10"/>
        <v>3.7725717958422923E-2</v>
      </c>
      <c r="R83" s="135">
        <f t="shared" si="12"/>
        <v>223543511916.29584</v>
      </c>
      <c r="S83" s="135">
        <f t="shared" si="17"/>
        <v>503363.82591774501</v>
      </c>
      <c r="T83" s="135">
        <f t="shared" si="18"/>
        <v>253375141242.5499</v>
      </c>
    </row>
    <row r="84" spans="1:20">
      <c r="A84" s="47">
        <v>44865</v>
      </c>
      <c r="B84" s="48">
        <f>Inputs!D141</f>
        <v>13962206.960000001</v>
      </c>
      <c r="C84" s="48">
        <f>Inputs!E141</f>
        <v>150969.89999999997</v>
      </c>
      <c r="D84" s="48">
        <f t="shared" si="11"/>
        <v>14113176.860000001</v>
      </c>
      <c r="E84" s="48">
        <v>203934.89</v>
      </c>
      <c r="F84" s="48">
        <v>2142061.7199999997</v>
      </c>
      <c r="G84" s="48">
        <f t="shared" si="13"/>
        <v>11767180.25</v>
      </c>
      <c r="H84" s="48">
        <f>'Weather Analysis'!K17</f>
        <v>254</v>
      </c>
      <c r="I84" s="48">
        <f>'Weather Analysis'!K36</f>
        <v>0</v>
      </c>
      <c r="J84" s="48">
        <v>31</v>
      </c>
      <c r="K84" s="111">
        <v>1</v>
      </c>
      <c r="L84" s="48">
        <f>Inputs!G141+Inputs!I141+Inputs!L141+Inputs!O141+Inputs!R141+Inputs!AA141</f>
        <v>8288</v>
      </c>
      <c r="M84" s="48">
        <v>0</v>
      </c>
      <c r="N84" s="48">
        <f t="shared" si="14"/>
        <v>12013008.307962667</v>
      </c>
      <c r="O84" s="32">
        <f t="shared" si="15"/>
        <v>245828.0579626672</v>
      </c>
      <c r="P84" s="41">
        <f t="shared" si="16"/>
        <v>2.0890991107463251E-2</v>
      </c>
      <c r="Q84" s="12">
        <f t="shared" si="10"/>
        <v>2.0890991107463251E-2</v>
      </c>
      <c r="R84" s="135">
        <f t="shared" si="12"/>
        <v>60431434081.696465</v>
      </c>
      <c r="S84" s="135">
        <f t="shared" si="17"/>
        <v>718631.94110693224</v>
      </c>
      <c r="T84" s="135">
        <f t="shared" si="18"/>
        <v>516431866779.11731</v>
      </c>
    </row>
    <row r="85" spans="1:20">
      <c r="A85" s="47">
        <v>44895</v>
      </c>
      <c r="B85" s="48">
        <f>Inputs!D142</f>
        <v>14546118.099999998</v>
      </c>
      <c r="C85" s="48">
        <f>Inputs!E142</f>
        <v>89129.83</v>
      </c>
      <c r="D85" s="48">
        <f t="shared" si="11"/>
        <v>14635247.929999998</v>
      </c>
      <c r="E85" s="48">
        <v>227343.93</v>
      </c>
      <c r="F85" s="48">
        <v>2384245.9500000002</v>
      </c>
      <c r="G85" s="48">
        <f t="shared" si="13"/>
        <v>12023658.049999997</v>
      </c>
      <c r="H85" s="48">
        <f>'Weather Analysis'!K18</f>
        <v>401.29999999999995</v>
      </c>
      <c r="I85" s="48">
        <f>'Weather Analysis'!K37</f>
        <v>0.4</v>
      </c>
      <c r="J85" s="48">
        <v>30</v>
      </c>
      <c r="K85" s="111">
        <v>0</v>
      </c>
      <c r="L85" s="48">
        <f>Inputs!G142+Inputs!I142+Inputs!L142+Inputs!O142+Inputs!R142+Inputs!AA142</f>
        <v>8301</v>
      </c>
      <c r="M85" s="48">
        <v>0</v>
      </c>
      <c r="N85" s="48">
        <f t="shared" si="14"/>
        <v>12478664.071664315</v>
      </c>
      <c r="O85" s="32">
        <f t="shared" si="15"/>
        <v>455006.0216643177</v>
      </c>
      <c r="P85" s="41">
        <f t="shared" si="16"/>
        <v>3.7842561703949805E-2</v>
      </c>
      <c r="Q85" s="12">
        <f t="shared" si="10"/>
        <v>3.7842561703949805E-2</v>
      </c>
      <c r="R85" s="135">
        <f t="shared" si="12"/>
        <v>207030479750.78955</v>
      </c>
      <c r="S85" s="135">
        <f t="shared" si="17"/>
        <v>209177.9637016505</v>
      </c>
      <c r="T85" s="135">
        <f t="shared" si="18"/>
        <v>43755420498.369011</v>
      </c>
    </row>
    <row r="86" spans="1:20">
      <c r="A86" s="47">
        <v>44926</v>
      </c>
      <c r="B86" s="48">
        <f>Inputs!D143</f>
        <v>15060786.930000003</v>
      </c>
      <c r="C86" s="48">
        <f>Inputs!E143</f>
        <v>37383.910000000003</v>
      </c>
      <c r="D86" s="48">
        <f t="shared" si="11"/>
        <v>15098170.840000004</v>
      </c>
      <c r="E86" s="48">
        <v>219977.99</v>
      </c>
      <c r="F86" s="48">
        <v>2024507.74</v>
      </c>
      <c r="G86" s="48">
        <f t="shared" si="13"/>
        <v>12853685.110000003</v>
      </c>
      <c r="H86" s="48">
        <f>'Weather Analysis'!K19</f>
        <v>557.30000000000007</v>
      </c>
      <c r="I86" s="48">
        <f>'Weather Analysis'!K38</f>
        <v>0</v>
      </c>
      <c r="J86" s="48">
        <v>31</v>
      </c>
      <c r="K86" s="111">
        <v>0</v>
      </c>
      <c r="L86" s="48">
        <f>Inputs!G143+Inputs!I143+Inputs!L143+Inputs!O143+Inputs!R143+Inputs!AA143</f>
        <v>8315</v>
      </c>
      <c r="M86" s="48">
        <v>0</v>
      </c>
      <c r="N86" s="48">
        <f t="shared" si="14"/>
        <v>13116082.701399909</v>
      </c>
      <c r="O86" s="32">
        <f t="shared" si="15"/>
        <v>262397.5913999062</v>
      </c>
      <c r="P86" s="41">
        <f t="shared" si="16"/>
        <v>2.0414191662106628E-2</v>
      </c>
      <c r="Q86" s="12">
        <f t="shared" si="10"/>
        <v>2.0414191662106628E-2</v>
      </c>
      <c r="R86" s="135">
        <f t="shared" si="12"/>
        <v>68852495972.472137</v>
      </c>
      <c r="S86" s="135">
        <f t="shared" si="17"/>
        <v>-192608.43026441149</v>
      </c>
      <c r="T86" s="135">
        <f t="shared" si="18"/>
        <v>37098007408.920662</v>
      </c>
    </row>
    <row r="87" spans="1:20">
      <c r="A87" s="47">
        <v>44957</v>
      </c>
      <c r="B87" s="48"/>
      <c r="C87" s="48"/>
      <c r="D87" s="48"/>
      <c r="E87" s="48"/>
      <c r="F87" s="48"/>
      <c r="G87" s="48"/>
      <c r="H87" s="56">
        <f>(H3+H15+H27+H39+H51+H63+H75)/7</f>
        <v>698.71428571428567</v>
      </c>
      <c r="I87" s="56">
        <f>(I3+I15+I27+I39+I51+I63+I75)/7</f>
        <v>0</v>
      </c>
      <c r="J87" s="94">
        <v>31</v>
      </c>
      <c r="K87" s="112">
        <v>0</v>
      </c>
      <c r="L87" s="97">
        <f>'Rate Class Customer Model'!Q12</f>
        <v>8327.2413739661624</v>
      </c>
      <c r="M87" s="48">
        <v>0</v>
      </c>
      <c r="N87" s="48">
        <f t="shared" si="14"/>
        <v>13405570.29977842</v>
      </c>
      <c r="O87" s="32"/>
      <c r="Q87" s="5">
        <f>AVERAGE(Q3:Q86)</f>
        <v>2.6717272924071795E-2</v>
      </c>
      <c r="R87" s="135">
        <f>SUM(R3:R86)</f>
        <v>12252527312105.887</v>
      </c>
      <c r="S87" s="135"/>
      <c r="T87" s="135">
        <f>SUM(T4:T86)</f>
        <v>17054727050550.691</v>
      </c>
    </row>
    <row r="88" spans="1:20">
      <c r="A88" s="47">
        <v>44985</v>
      </c>
      <c r="B88" s="48"/>
      <c r="C88" s="48"/>
      <c r="D88" s="48"/>
      <c r="E88" s="48"/>
      <c r="F88" s="48"/>
      <c r="G88" s="48"/>
      <c r="H88" s="56">
        <f t="shared" ref="H88:I98" si="19">(H4+H16+H28+H40+H52+H64+H76)/7</f>
        <v>609.08571428571418</v>
      </c>
      <c r="I88" s="56">
        <f t="shared" si="19"/>
        <v>0</v>
      </c>
      <c r="J88" s="94">
        <v>28</v>
      </c>
      <c r="K88" s="112">
        <v>0</v>
      </c>
      <c r="L88" s="97">
        <f>'Rate Class Customer Model'!Q13</f>
        <v>8339.5007697286655</v>
      </c>
      <c r="M88" s="48">
        <v>0</v>
      </c>
      <c r="N88" s="48">
        <f t="shared" si="14"/>
        <v>12266674.616725355</v>
      </c>
      <c r="O88" s="32"/>
      <c r="R88" s="135"/>
      <c r="S88" s="135"/>
      <c r="T88" s="135"/>
    </row>
    <row r="89" spans="1:20">
      <c r="A89" s="47">
        <v>45016</v>
      </c>
      <c r="B89" s="48"/>
      <c r="C89" s="48"/>
      <c r="D89" s="48"/>
      <c r="E89" s="48"/>
      <c r="F89" s="48"/>
      <c r="G89" s="48"/>
      <c r="H89" s="56">
        <f t="shared" si="19"/>
        <v>523.14285714285711</v>
      </c>
      <c r="I89" s="56">
        <f t="shared" si="19"/>
        <v>0</v>
      </c>
      <c r="J89" s="94">
        <v>31</v>
      </c>
      <c r="K89" s="112">
        <v>1</v>
      </c>
      <c r="L89" s="97">
        <f>'Rate Class Customer Model'!Q14</f>
        <v>8351.778213819267</v>
      </c>
      <c r="M89" s="48">
        <v>0</v>
      </c>
      <c r="N89" s="48">
        <f t="shared" si="14"/>
        <v>12628693.374740031</v>
      </c>
      <c r="O89" s="32"/>
      <c r="R89" s="135"/>
      <c r="S89" s="135"/>
      <c r="T89" s="135"/>
    </row>
    <row r="90" spans="1:20">
      <c r="A90" s="47">
        <v>45046</v>
      </c>
      <c r="B90" s="48"/>
      <c r="C90" s="48"/>
      <c r="D90" s="48"/>
      <c r="E90" s="48"/>
      <c r="F90" s="48"/>
      <c r="G90" s="48"/>
      <c r="H90" s="56">
        <f t="shared" si="19"/>
        <v>357.7</v>
      </c>
      <c r="I90" s="56">
        <f t="shared" si="19"/>
        <v>0</v>
      </c>
      <c r="J90" s="94">
        <v>30</v>
      </c>
      <c r="K90" s="112">
        <v>1</v>
      </c>
      <c r="L90" s="97">
        <f>'Rate Class Customer Model'!Q15</f>
        <v>8364.0737328087816</v>
      </c>
      <c r="M90" s="48">
        <v>0</v>
      </c>
      <c r="N90" s="48">
        <f t="shared" si="14"/>
        <v>12003434.311120082</v>
      </c>
      <c r="O90" s="32"/>
      <c r="R90" s="135"/>
      <c r="S90" s="135"/>
      <c r="T90" s="135"/>
    </row>
    <row r="91" spans="1:20">
      <c r="A91" s="47">
        <v>45077</v>
      </c>
      <c r="B91" s="48"/>
      <c r="C91" s="48"/>
      <c r="D91" s="48"/>
      <c r="E91" s="48"/>
      <c r="F91" s="48"/>
      <c r="G91" s="48"/>
      <c r="H91" s="56">
        <f t="shared" si="19"/>
        <v>160</v>
      </c>
      <c r="I91" s="56">
        <f t="shared" si="19"/>
        <v>19.771428571428572</v>
      </c>
      <c r="J91" s="94">
        <v>31</v>
      </c>
      <c r="K91" s="112">
        <v>1</v>
      </c>
      <c r="L91" s="97">
        <f>'Rate Class Customer Model'!Q16</f>
        <v>8376.3873533071419</v>
      </c>
      <c r="M91" s="48">
        <v>0</v>
      </c>
      <c r="N91" s="48">
        <f t="shared" si="14"/>
        <v>12561255.381460875</v>
      </c>
      <c r="O91" s="32"/>
      <c r="R91" s="135"/>
      <c r="S91" s="135"/>
      <c r="T91" s="135"/>
    </row>
    <row r="92" spans="1:20">
      <c r="A92" s="47">
        <v>45107</v>
      </c>
      <c r="B92" s="48"/>
      <c r="C92" s="48"/>
      <c r="D92" s="48"/>
      <c r="E92" s="48"/>
      <c r="F92" s="48"/>
      <c r="G92" s="48"/>
      <c r="H92" s="56">
        <f t="shared" si="19"/>
        <v>33.1</v>
      </c>
      <c r="I92" s="56">
        <f t="shared" si="19"/>
        <v>53.285714285714285</v>
      </c>
      <c r="J92" s="94">
        <v>30</v>
      </c>
      <c r="K92" s="112">
        <v>0</v>
      </c>
      <c r="L92" s="97">
        <f>'Rate Class Customer Model'!Q17</f>
        <v>8388.7191019634574</v>
      </c>
      <c r="M92" s="48">
        <v>0</v>
      </c>
      <c r="N92" s="48">
        <f t="shared" si="14"/>
        <v>13484511.022945898</v>
      </c>
      <c r="O92" s="32"/>
      <c r="R92" s="135"/>
      <c r="S92" s="135"/>
      <c r="T92" s="135"/>
    </row>
    <row r="93" spans="1:20">
      <c r="A93" s="47">
        <v>45138</v>
      </c>
      <c r="B93" s="48"/>
      <c r="C93" s="48"/>
      <c r="D93" s="48"/>
      <c r="E93" s="48"/>
      <c r="F93" s="48"/>
      <c r="G93" s="48"/>
      <c r="H93" s="56">
        <f t="shared" si="19"/>
        <v>2.2428571428571429</v>
      </c>
      <c r="I93" s="56">
        <f t="shared" si="19"/>
        <v>103.11428571428571</v>
      </c>
      <c r="J93" s="94">
        <v>31</v>
      </c>
      <c r="K93" s="112">
        <v>0</v>
      </c>
      <c r="L93" s="97">
        <f>'Rate Class Customer Model'!Q18</f>
        <v>8401.0690054660699</v>
      </c>
      <c r="M93" s="48">
        <v>0</v>
      </c>
      <c r="N93" s="48">
        <f t="shared" si="14"/>
        <v>15252205.279858381</v>
      </c>
      <c r="O93" s="32"/>
      <c r="P93"/>
      <c r="Q93"/>
      <c r="R93" s="135"/>
      <c r="S93" s="135"/>
      <c r="T93" s="135"/>
    </row>
    <row r="94" spans="1:20">
      <c r="A94" s="47">
        <v>45169</v>
      </c>
      <c r="B94" s="48"/>
      <c r="C94" s="48"/>
      <c r="D94" s="48"/>
      <c r="E94" s="48"/>
      <c r="F94" s="48"/>
      <c r="G94" s="48"/>
      <c r="H94" s="56">
        <f t="shared" si="19"/>
        <v>7.0000000000000009</v>
      </c>
      <c r="I94" s="56">
        <f t="shared" si="19"/>
        <v>85.914285714285711</v>
      </c>
      <c r="J94" s="94">
        <v>31</v>
      </c>
      <c r="K94" s="112">
        <v>0</v>
      </c>
      <c r="L94" s="97">
        <f>'Rate Class Customer Model'!Q19</f>
        <v>8413.4370905426113</v>
      </c>
      <c r="M94" s="48">
        <v>0</v>
      </c>
      <c r="N94" s="48">
        <f t="shared" si="14"/>
        <v>14770982.830520334</v>
      </c>
      <c r="O94" s="32"/>
      <c r="P94"/>
      <c r="Q94"/>
      <c r="R94" s="135"/>
      <c r="S94" s="135"/>
      <c r="T94" s="135"/>
    </row>
    <row r="95" spans="1:20">
      <c r="A95" s="47">
        <v>45199</v>
      </c>
      <c r="B95" s="48"/>
      <c r="C95" s="48"/>
      <c r="D95" s="48"/>
      <c r="E95" s="48"/>
      <c r="F95" s="48"/>
      <c r="G95" s="48"/>
      <c r="H95" s="56">
        <f t="shared" si="19"/>
        <v>64.128571428571405</v>
      </c>
      <c r="I95" s="56">
        <f t="shared" si="19"/>
        <v>32.057142857142857</v>
      </c>
      <c r="J95" s="94">
        <v>30</v>
      </c>
      <c r="K95" s="112">
        <v>1</v>
      </c>
      <c r="L95" s="97">
        <f>'Rate Class Customer Model'!Q20</f>
        <v>8425.8233839600634</v>
      </c>
      <c r="M95" s="48">
        <v>0</v>
      </c>
      <c r="N95" s="48">
        <f t="shared" si="14"/>
        <v>12492513.159365147</v>
      </c>
      <c r="O95" s="32"/>
      <c r="P95"/>
      <c r="Q95"/>
      <c r="R95" s="135"/>
      <c r="S95" s="135"/>
      <c r="T95" s="135"/>
    </row>
    <row r="96" spans="1:20">
      <c r="A96" s="47">
        <v>45230</v>
      </c>
      <c r="B96" s="48"/>
      <c r="C96" s="48"/>
      <c r="D96" s="48"/>
      <c r="E96" s="48"/>
      <c r="F96" s="48"/>
      <c r="G96" s="48"/>
      <c r="H96" s="56">
        <f t="shared" si="19"/>
        <v>231.97142857142856</v>
      </c>
      <c r="I96" s="56">
        <f t="shared" si="19"/>
        <v>4.5000000000000009</v>
      </c>
      <c r="J96" s="94">
        <v>31</v>
      </c>
      <c r="K96" s="112">
        <v>1</v>
      </c>
      <c r="L96" s="97">
        <f>'Rate Class Customer Model'!Q21</f>
        <v>8438.2279125248133</v>
      </c>
      <c r="M96" s="48">
        <v>0</v>
      </c>
      <c r="N96" s="48">
        <f t="shared" si="14"/>
        <v>12344620.49158363</v>
      </c>
      <c r="O96" s="32"/>
      <c r="P96"/>
      <c r="Q96"/>
      <c r="R96" s="135"/>
      <c r="S96" s="135"/>
      <c r="T96" s="135"/>
    </row>
    <row r="97" spans="1:20">
      <c r="A97" s="47">
        <v>45260</v>
      </c>
      <c r="B97" s="48"/>
      <c r="C97" s="48"/>
      <c r="D97" s="48"/>
      <c r="E97" s="48"/>
      <c r="F97" s="48"/>
      <c r="G97" s="48"/>
      <c r="H97" s="56">
        <f t="shared" si="19"/>
        <v>438.47142857142859</v>
      </c>
      <c r="I97" s="56">
        <f t="shared" si="19"/>
        <v>5.7142857142857148E-2</v>
      </c>
      <c r="J97" s="94">
        <v>30</v>
      </c>
      <c r="K97" s="112">
        <v>0</v>
      </c>
      <c r="L97" s="97">
        <f>'Rate Class Customer Model'!Q22</f>
        <v>8450.6507030827124</v>
      </c>
      <c r="M97" s="48">
        <v>0</v>
      </c>
      <c r="N97" s="48">
        <f t="shared" si="14"/>
        <v>12778728.651867433</v>
      </c>
      <c r="O97" s="32"/>
      <c r="P97"/>
      <c r="Q97"/>
      <c r="R97" s="135"/>
      <c r="S97" s="135"/>
      <c r="T97" s="135"/>
    </row>
    <row r="98" spans="1:20">
      <c r="A98" s="47">
        <v>45291</v>
      </c>
      <c r="B98" s="48"/>
      <c r="C98" s="48"/>
      <c r="D98" s="48"/>
      <c r="E98" s="48"/>
      <c r="F98" s="48"/>
      <c r="G98" s="48"/>
      <c r="H98" s="56">
        <f t="shared" si="19"/>
        <v>589.25714285714287</v>
      </c>
      <c r="I98" s="56">
        <f t="shared" si="19"/>
        <v>0</v>
      </c>
      <c r="J98" s="94">
        <v>31</v>
      </c>
      <c r="K98" s="112">
        <v>0</v>
      </c>
      <c r="L98" s="97">
        <f>'Rate Class Customer Model'!Q23</f>
        <v>8463.0917825191336</v>
      </c>
      <c r="M98" s="48">
        <v>0</v>
      </c>
      <c r="N98" s="48">
        <f t="shared" si="14"/>
        <v>13413869.928972472</v>
      </c>
      <c r="O98" s="32"/>
      <c r="P98"/>
      <c r="Q98"/>
      <c r="R98" s="135"/>
      <c r="S98" s="135"/>
      <c r="T98" s="135"/>
    </row>
    <row r="99" spans="1:20">
      <c r="A99" s="47">
        <v>45322</v>
      </c>
      <c r="B99" s="48"/>
      <c r="C99" s="48"/>
      <c r="D99" s="48"/>
      <c r="E99" s="48"/>
      <c r="F99" s="48"/>
      <c r="G99" s="48"/>
      <c r="H99" s="56">
        <f>H87</f>
        <v>698.71428571428567</v>
      </c>
      <c r="I99" s="56">
        <f>I87</f>
        <v>0</v>
      </c>
      <c r="J99" s="94">
        <v>31</v>
      </c>
      <c r="K99" s="112">
        <v>0</v>
      </c>
      <c r="L99" s="97">
        <f>'Rate Class Customer Model'!R12</f>
        <v>8485.9271318984902</v>
      </c>
      <c r="M99" s="48">
        <v>0</v>
      </c>
      <c r="N99" s="48">
        <f t="shared" si="14"/>
        <v>13659300.887024587</v>
      </c>
      <c r="O99" s="32"/>
      <c r="P99"/>
      <c r="Q99"/>
      <c r="R99" s="135"/>
      <c r="S99" s="135"/>
      <c r="T99" s="135"/>
    </row>
    <row r="100" spans="1:20">
      <c r="A100" s="47">
        <v>45351</v>
      </c>
      <c r="B100" s="48"/>
      <c r="C100" s="48"/>
      <c r="D100" s="48"/>
      <c r="E100" s="48"/>
      <c r="F100" s="48"/>
      <c r="G100" s="48"/>
      <c r="H100" s="56">
        <f t="shared" ref="H100:I110" si="20">H88</f>
        <v>609.08571428571418</v>
      </c>
      <c r="I100" s="56">
        <f t="shared" si="20"/>
        <v>0</v>
      </c>
      <c r="J100" s="94">
        <v>29</v>
      </c>
      <c r="K100" s="112">
        <v>0</v>
      </c>
      <c r="L100" s="97">
        <f>'Rate Class Customer Model'!R13</f>
        <v>8508.8240962519812</v>
      </c>
      <c r="M100" s="48">
        <v>0</v>
      </c>
      <c r="N100" s="48">
        <f t="shared" si="14"/>
        <v>12866556.081605302</v>
      </c>
      <c r="O100" s="32"/>
      <c r="P100"/>
      <c r="Q100"/>
      <c r="R100" s="135"/>
      <c r="S100" s="135"/>
      <c r="T100" s="135"/>
    </row>
    <row r="101" spans="1:20">
      <c r="A101" s="47">
        <v>45382</v>
      </c>
      <c r="B101" s="48"/>
      <c r="C101" s="48"/>
      <c r="D101" s="48"/>
      <c r="E101" s="48"/>
      <c r="F101" s="48"/>
      <c r="G101" s="48"/>
      <c r="H101" s="56">
        <f t="shared" si="20"/>
        <v>523.14285714285711</v>
      </c>
      <c r="I101" s="56">
        <f t="shared" si="20"/>
        <v>0</v>
      </c>
      <c r="J101" s="94">
        <v>31</v>
      </c>
      <c r="K101" s="112">
        <v>1</v>
      </c>
      <c r="L101" s="97">
        <f>'Rate Class Customer Model'!R14</f>
        <v>8531.7828418308418</v>
      </c>
      <c r="M101" s="48">
        <v>0</v>
      </c>
      <c r="N101" s="48">
        <f t="shared" si="14"/>
        <v>12916511.768573975</v>
      </c>
      <c r="O101" s="32"/>
      <c r="P101"/>
      <c r="Q101"/>
      <c r="R101" s="135"/>
      <c r="S101" s="135"/>
      <c r="T101" s="135"/>
    </row>
    <row r="102" spans="1:20">
      <c r="A102" s="47">
        <v>45412</v>
      </c>
      <c r="B102" s="48"/>
      <c r="C102" s="48"/>
      <c r="D102" s="48"/>
      <c r="E102" s="48"/>
      <c r="F102" s="48"/>
      <c r="G102" s="48"/>
      <c r="H102" s="56">
        <f t="shared" si="20"/>
        <v>357.7</v>
      </c>
      <c r="I102" s="56">
        <f t="shared" si="20"/>
        <v>0</v>
      </c>
      <c r="J102" s="94">
        <v>30</v>
      </c>
      <c r="K102" s="112">
        <v>1</v>
      </c>
      <c r="L102" s="97">
        <f>'Rate Class Customer Model'!R15</f>
        <v>8554.8035353348914</v>
      </c>
      <c r="M102" s="48">
        <v>0</v>
      </c>
      <c r="N102" s="48">
        <f t="shared" si="14"/>
        <v>12308401.722379085</v>
      </c>
      <c r="O102" s="32"/>
      <c r="P102"/>
      <c r="Q102"/>
      <c r="R102" s="135"/>
      <c r="S102" s="135"/>
      <c r="T102" s="135"/>
    </row>
    <row r="103" spans="1:20">
      <c r="A103" s="47">
        <v>45443</v>
      </c>
      <c r="B103" s="48"/>
      <c r="C103" s="48"/>
      <c r="D103" s="48"/>
      <c r="E103" s="48"/>
      <c r="F103" s="48"/>
      <c r="G103" s="48"/>
      <c r="H103" s="56">
        <f t="shared" si="20"/>
        <v>160</v>
      </c>
      <c r="I103" s="56">
        <f t="shared" si="20"/>
        <v>19.771428571428572</v>
      </c>
      <c r="J103" s="94">
        <v>31</v>
      </c>
      <c r="K103" s="112">
        <v>1</v>
      </c>
      <c r="L103" s="97">
        <f>'Rate Class Customer Model'!R16</f>
        <v>8577.8863439137422</v>
      </c>
      <c r="M103" s="48">
        <v>0</v>
      </c>
      <c r="N103" s="48">
        <f t="shared" si="14"/>
        <v>12883442.185634729</v>
      </c>
      <c r="O103" s="32"/>
      <c r="P103"/>
      <c r="Q103"/>
      <c r="R103" s="135"/>
      <c r="S103" s="135"/>
      <c r="T103" s="135"/>
    </row>
    <row r="104" spans="1:20">
      <c r="A104" s="47">
        <v>45473</v>
      </c>
      <c r="B104" s="48"/>
      <c r="C104" s="48"/>
      <c r="D104" s="48"/>
      <c r="E104" s="48"/>
      <c r="F104" s="48"/>
      <c r="G104" s="48"/>
      <c r="H104" s="56">
        <f t="shared" si="20"/>
        <v>33.1</v>
      </c>
      <c r="I104" s="56">
        <f t="shared" si="20"/>
        <v>53.285714285714285</v>
      </c>
      <c r="J104" s="94">
        <v>30</v>
      </c>
      <c r="K104" s="112">
        <v>0</v>
      </c>
      <c r="L104" s="97">
        <f>'Rate Class Customer Model'!R17</f>
        <v>8601.0314351680136</v>
      </c>
      <c r="M104" s="48">
        <v>0</v>
      </c>
      <c r="N104" s="48">
        <f t="shared" si="14"/>
        <v>13823987.820898797</v>
      </c>
      <c r="O104" s="32"/>
      <c r="P104"/>
      <c r="Q104"/>
      <c r="R104" s="135"/>
      <c r="S104" s="135"/>
      <c r="T104" s="135"/>
    </row>
    <row r="105" spans="1:20">
      <c r="A105" s="47">
        <v>45504</v>
      </c>
      <c r="B105" s="48"/>
      <c r="C105" s="48"/>
      <c r="D105" s="48"/>
      <c r="E105" s="48"/>
      <c r="F105" s="48"/>
      <c r="G105" s="48"/>
      <c r="H105" s="56">
        <f t="shared" si="20"/>
        <v>2.2428571428571429</v>
      </c>
      <c r="I105" s="56">
        <f t="shared" si="20"/>
        <v>103.11428571428571</v>
      </c>
      <c r="J105" s="94">
        <v>31</v>
      </c>
      <c r="K105" s="112">
        <v>0</v>
      </c>
      <c r="L105" s="97">
        <f>'Rate Class Customer Model'!R18</f>
        <v>8624.2389771505532</v>
      </c>
      <c r="M105" s="48">
        <v>0</v>
      </c>
      <c r="N105" s="48">
        <f t="shared" si="14"/>
        <v>15609042.898489298</v>
      </c>
      <c r="O105" s="32"/>
      <c r="P105"/>
      <c r="Q105"/>
      <c r="R105" s="135"/>
      <c r="S105" s="135"/>
      <c r="T105" s="135"/>
    </row>
    <row r="106" spans="1:20">
      <c r="A106" s="47">
        <v>45535</v>
      </c>
      <c r="B106" s="48"/>
      <c r="C106" s="48"/>
      <c r="D106" s="48"/>
      <c r="E106" s="48"/>
      <c r="F106" s="48"/>
      <c r="G106" s="48"/>
      <c r="H106" s="56">
        <f t="shared" si="20"/>
        <v>7.0000000000000009</v>
      </c>
      <c r="I106" s="56">
        <f t="shared" si="20"/>
        <v>85.914285714285711</v>
      </c>
      <c r="J106" s="94">
        <v>31</v>
      </c>
      <c r="K106" s="112">
        <v>0</v>
      </c>
      <c r="L106" s="97">
        <f>'Rate Class Customer Model'!R19</f>
        <v>8647.5091383676499</v>
      </c>
      <c r="M106" s="48">
        <v>0</v>
      </c>
      <c r="N106" s="48">
        <f t="shared" si="14"/>
        <v>15145252.323425218</v>
      </c>
      <c r="O106" s="32"/>
      <c r="P106"/>
      <c r="Q106"/>
      <c r="R106" s="135"/>
      <c r="S106" s="135"/>
      <c r="T106" s="135"/>
    </row>
    <row r="107" spans="1:20">
      <c r="A107" s="47">
        <v>45565</v>
      </c>
      <c r="B107" s="48"/>
      <c r="C107" s="48"/>
      <c r="D107" s="48"/>
      <c r="E107" s="48"/>
      <c r="F107" s="48"/>
      <c r="G107" s="48"/>
      <c r="H107" s="56">
        <f t="shared" si="20"/>
        <v>64.128571428571405</v>
      </c>
      <c r="I107" s="56">
        <f t="shared" si="20"/>
        <v>32.057142857142857</v>
      </c>
      <c r="J107" s="94">
        <v>30</v>
      </c>
      <c r="K107" s="112">
        <v>1</v>
      </c>
      <c r="L107" s="97">
        <f>'Rate Class Customer Model'!R20</f>
        <v>8670.8420877802619</v>
      </c>
      <c r="M107" s="48">
        <v>0</v>
      </c>
      <c r="N107" s="48">
        <f t="shared" si="14"/>
        <v>12884285.807501003</v>
      </c>
      <c r="O107" s="32"/>
      <c r="P107"/>
      <c r="Q107"/>
      <c r="R107" s="135"/>
      <c r="S107" s="135"/>
      <c r="T107" s="135"/>
    </row>
    <row r="108" spans="1:20">
      <c r="A108" s="47">
        <v>45596</v>
      </c>
      <c r="B108" s="48"/>
      <c r="C108" s="48"/>
      <c r="D108" s="48"/>
      <c r="E108" s="48"/>
      <c r="F108" s="48"/>
      <c r="G108" s="48"/>
      <c r="H108" s="56">
        <f t="shared" si="20"/>
        <v>231.97142857142856</v>
      </c>
      <c r="I108" s="56">
        <f t="shared" si="20"/>
        <v>4.5000000000000009</v>
      </c>
      <c r="J108" s="94">
        <v>31</v>
      </c>
      <c r="K108" s="112">
        <v>1</v>
      </c>
      <c r="L108" s="97">
        <f>'Rate Class Customer Model'!R21</f>
        <v>8694.2379948052421</v>
      </c>
      <c r="M108" s="48">
        <v>0</v>
      </c>
      <c r="N108" s="48">
        <f t="shared" si="14"/>
        <v>12753967.803934457</v>
      </c>
      <c r="O108" s="32"/>
      <c r="P108"/>
      <c r="Q108"/>
      <c r="R108" s="135"/>
      <c r="S108" s="135"/>
      <c r="T108" s="135"/>
    </row>
    <row r="109" spans="1:20">
      <c r="A109" s="47">
        <v>45626</v>
      </c>
      <c r="B109" s="48"/>
      <c r="C109" s="48"/>
      <c r="D109" s="48"/>
      <c r="E109" s="48"/>
      <c r="F109" s="48"/>
      <c r="G109" s="48"/>
      <c r="H109" s="56">
        <f t="shared" si="20"/>
        <v>438.47142857142859</v>
      </c>
      <c r="I109" s="56">
        <f t="shared" si="20"/>
        <v>5.7142857142857148E-2</v>
      </c>
      <c r="J109" s="94">
        <v>30</v>
      </c>
      <c r="K109" s="112">
        <v>0</v>
      </c>
      <c r="L109" s="97">
        <f>'Rate Class Customer Model'!R22</f>
        <v>8717.6970293165705</v>
      </c>
      <c r="M109" s="48">
        <v>0</v>
      </c>
      <c r="N109" s="48">
        <f t="shared" si="14"/>
        <v>13205722.366112057</v>
      </c>
      <c r="O109" s="32"/>
      <c r="R109" s="135"/>
      <c r="S109" s="135"/>
      <c r="T109" s="135"/>
    </row>
    <row r="110" spans="1:20">
      <c r="A110" s="47">
        <v>45657</v>
      </c>
      <c r="B110" s="48"/>
      <c r="C110" s="48"/>
      <c r="D110" s="48"/>
      <c r="E110" s="48"/>
      <c r="F110" s="48"/>
      <c r="G110" s="48"/>
      <c r="H110" s="56">
        <f t="shared" si="20"/>
        <v>589.25714285714287</v>
      </c>
      <c r="I110" s="56">
        <f t="shared" si="20"/>
        <v>0</v>
      </c>
      <c r="J110" s="94">
        <v>31</v>
      </c>
      <c r="K110" s="112">
        <v>0</v>
      </c>
      <c r="L110" s="97">
        <f>'Rate Class Customer Model'!R23</f>
        <v>8741.2193616465847</v>
      </c>
      <c r="M110" s="48">
        <v>0</v>
      </c>
      <c r="N110" s="48">
        <f t="shared" si="14"/>
        <v>13858582.012154235</v>
      </c>
      <c r="O110" s="32"/>
      <c r="R110" s="135"/>
      <c r="S110" s="135"/>
      <c r="T110" s="135"/>
    </row>
    <row r="111" spans="1:20">
      <c r="A111" s="33"/>
      <c r="J111" s="10"/>
      <c r="K111" s="58"/>
    </row>
    <row r="112" spans="1:20">
      <c r="A112" s="33"/>
      <c r="J112" s="10"/>
      <c r="K112" s="58"/>
      <c r="S112" s="169" t="s">
        <v>141</v>
      </c>
    </row>
    <row r="113" spans="1:20" ht="12.6" customHeight="1">
      <c r="A113" s="33"/>
      <c r="H113" s="99" t="s">
        <v>124</v>
      </c>
      <c r="I113" s="96"/>
      <c r="J113" s="10"/>
      <c r="K113" s="58"/>
      <c r="S113" s="169"/>
    </row>
    <row r="114" spans="1:20">
      <c r="A114" s="33"/>
      <c r="H114" s="100" t="s">
        <v>89</v>
      </c>
      <c r="I114" s="98"/>
      <c r="J114" s="10"/>
      <c r="K114" s="58"/>
      <c r="N114" s="32">
        <f>SUM(N2:N110)</f>
        <v>1297543448.4066706</v>
      </c>
      <c r="S114" s="169"/>
    </row>
    <row r="115" spans="1:20">
      <c r="A115" s="33"/>
      <c r="J115" s="10"/>
      <c r="K115" s="58"/>
      <c r="O115" s="52" t="s">
        <v>134</v>
      </c>
      <c r="P115" s="52" t="s">
        <v>135</v>
      </c>
      <c r="Q115" s="52" t="s">
        <v>140</v>
      </c>
      <c r="R115" s="52" t="s">
        <v>106</v>
      </c>
      <c r="S115" s="169"/>
    </row>
    <row r="116" spans="1:20">
      <c r="A116" s="27">
        <v>2016</v>
      </c>
      <c r="B116" s="6">
        <f>SUM(B3:B14)</f>
        <v>199907738.60000002</v>
      </c>
      <c r="D116" s="6">
        <f>SUM(D3:D14)</f>
        <v>201771248.14999998</v>
      </c>
      <c r="E116" s="6">
        <f>SUM(E3:E14)</f>
        <v>15515215.030000001</v>
      </c>
      <c r="F116" s="6">
        <f>SUM(F3:F14)</f>
        <v>51080246.740000002</v>
      </c>
      <c r="G116" s="6">
        <f>SUM(G3:G14)</f>
        <v>135175786.38</v>
      </c>
      <c r="N116" s="6">
        <f>SUM(N3:N14)</f>
        <v>132656123.76515472</v>
      </c>
      <c r="O116" s="6">
        <f>E116</f>
        <v>15515215.030000001</v>
      </c>
      <c r="P116" s="6">
        <f>F116</f>
        <v>51080246.740000002</v>
      </c>
      <c r="Q116" s="6">
        <f>N116+O116+P116</f>
        <v>199251585.53515473</v>
      </c>
      <c r="R116" s="6">
        <f>'Power Purchased Model WN'!Q116</f>
        <v>198023336.48896956</v>
      </c>
      <c r="S116" s="5">
        <f>R116/Q116</f>
        <v>0.9938356874657418</v>
      </c>
      <c r="T116" s="6"/>
    </row>
    <row r="117" spans="1:20">
      <c r="A117" s="27">
        <v>2017</v>
      </c>
      <c r="B117" s="6">
        <f>SUM(B15:B26)</f>
        <v>187853870.12</v>
      </c>
      <c r="D117" s="6">
        <f>SUM(D15:D26)</f>
        <v>189637460.56999999</v>
      </c>
      <c r="E117" s="6">
        <f>SUM(E15:E26)</f>
        <v>13850995.209999999</v>
      </c>
      <c r="F117" s="6">
        <f>SUM(F15:F26)</f>
        <v>45192560.409999996</v>
      </c>
      <c r="G117" s="6">
        <f>SUM(G15:G26)</f>
        <v>130593904.94999999</v>
      </c>
      <c r="N117" s="6">
        <f>SUM(N15:N26)</f>
        <v>131672163.63775657</v>
      </c>
      <c r="O117" s="6">
        <f t="shared" ref="O117:O122" si="21">E117</f>
        <v>13850995.209999999</v>
      </c>
      <c r="P117" s="6">
        <f>F117</f>
        <v>45192560.409999996</v>
      </c>
      <c r="Q117" s="6">
        <f t="shared" ref="Q117:Q122" si="22">N117+O117+P117</f>
        <v>190715719.25775656</v>
      </c>
      <c r="R117" s="6">
        <f>'Power Purchased Model WN'!Q117</f>
        <v>192446375.30223826</v>
      </c>
      <c r="S117" s="5">
        <f t="shared" ref="S117:S124" si="23">R117/Q117</f>
        <v>1.0090745327716939</v>
      </c>
      <c r="T117" s="6"/>
    </row>
    <row r="118" spans="1:20">
      <c r="A118" s="27">
        <v>2018</v>
      </c>
      <c r="B118" s="6">
        <f>SUM(B27:B38)</f>
        <v>188394772.28</v>
      </c>
      <c r="D118" s="6">
        <f>SUM(D27:D38)</f>
        <v>189993954.81999999</v>
      </c>
      <c r="E118" s="6">
        <f>SUM(E27:E38)</f>
        <v>9550436.8200000022</v>
      </c>
      <c r="F118" s="6">
        <f>SUM(F27:F38)</f>
        <v>42661402.460000001</v>
      </c>
      <c r="G118" s="6">
        <f>SUM(G27:G38)</f>
        <v>137782115.54000002</v>
      </c>
      <c r="N118" s="6">
        <f>SUM(N27:N38)</f>
        <v>137602283.78077945</v>
      </c>
      <c r="O118" s="6">
        <f t="shared" si="21"/>
        <v>9550436.8200000022</v>
      </c>
      <c r="P118" s="6">
        <f>F118</f>
        <v>42661402.460000001</v>
      </c>
      <c r="Q118" s="6">
        <f t="shared" si="22"/>
        <v>189814123.06077945</v>
      </c>
      <c r="R118" s="6">
        <f>'Power Purchased Model WN'!Q118</f>
        <v>187826006.76517779</v>
      </c>
      <c r="S118" s="5">
        <f t="shared" si="23"/>
        <v>0.98952598329595809</v>
      </c>
      <c r="T118" s="6"/>
    </row>
    <row r="119" spans="1:20">
      <c r="A119" s="27">
        <v>2019</v>
      </c>
      <c r="B119" s="6">
        <f>SUM(B39:B50)</f>
        <v>175614761.14000005</v>
      </c>
      <c r="D119" s="6">
        <f>SUM(D39:D50)</f>
        <v>177282153.69999999</v>
      </c>
      <c r="E119" s="6">
        <f>SUM(E39:E50)</f>
        <v>2612047.5700000003</v>
      </c>
      <c r="F119" s="6">
        <f>SUM(F39:F50)</f>
        <v>39613794.999999993</v>
      </c>
      <c r="G119" s="6">
        <f>SUM(G39:G50)</f>
        <v>135056311.13</v>
      </c>
      <c r="N119" s="6">
        <f>SUM(N39:N50)</f>
        <v>137468524.36993077</v>
      </c>
      <c r="O119" s="6">
        <f t="shared" si="21"/>
        <v>2612047.5700000003</v>
      </c>
      <c r="P119" s="6">
        <f>F119</f>
        <v>39613794.999999993</v>
      </c>
      <c r="Q119" s="6">
        <f t="shared" si="22"/>
        <v>179694366.93993077</v>
      </c>
      <c r="R119" s="6">
        <f>'Power Purchased Model WN'!Q119</f>
        <v>180527844.94797704</v>
      </c>
      <c r="S119" s="5">
        <f t="shared" si="23"/>
        <v>1.0046383090479676</v>
      </c>
      <c r="T119" s="6"/>
    </row>
    <row r="120" spans="1:20">
      <c r="A120" s="27">
        <v>2020</v>
      </c>
      <c r="B120" s="6">
        <f>SUM(B51:B62)</f>
        <v>171542621.55000001</v>
      </c>
      <c r="D120" s="6">
        <f>SUM(D51:D62)</f>
        <v>173380458.75</v>
      </c>
      <c r="E120" s="6">
        <f>SUM(E51:E62)</f>
        <v>1868303.8099999998</v>
      </c>
      <c r="F120" s="6">
        <f>SUM(F51:F62)</f>
        <v>31465784.07</v>
      </c>
      <c r="G120" s="6">
        <f>SUM(G51:G62)</f>
        <v>140046370.87</v>
      </c>
      <c r="N120" s="6">
        <f>SUM(N51:N62)</f>
        <v>139478521.39753702</v>
      </c>
      <c r="O120" s="6">
        <f t="shared" si="21"/>
        <v>1868303.8099999998</v>
      </c>
      <c r="P120" s="6">
        <f>F120</f>
        <v>31465784.07</v>
      </c>
      <c r="Q120" s="6">
        <f t="shared" si="22"/>
        <v>172812609.27753702</v>
      </c>
      <c r="R120" s="6">
        <f>'Power Purchased Model WN'!Q120</f>
        <v>172179534.15105292</v>
      </c>
      <c r="S120" s="5">
        <f t="shared" si="23"/>
        <v>0.99633663811263118</v>
      </c>
      <c r="T120" s="6"/>
    </row>
    <row r="121" spans="1:20">
      <c r="A121" s="27">
        <v>2021</v>
      </c>
      <c r="B121" s="6">
        <f>SUM(B63:B74)</f>
        <v>176270206.56999999</v>
      </c>
      <c r="D121" s="6">
        <f>SUM(D63:D74)</f>
        <v>178063868.77000004</v>
      </c>
      <c r="E121" s="6">
        <f>SUM(E63:E74)</f>
        <v>3109565.6599999992</v>
      </c>
      <c r="F121" s="6">
        <f>SUM(F63:F74)</f>
        <v>29610899.920000002</v>
      </c>
      <c r="G121" s="6">
        <f>SUM(G63:G74)</f>
        <v>145343403.19000003</v>
      </c>
      <c r="N121" s="6">
        <f>SUM(N63:N74)</f>
        <v>147408336.09565422</v>
      </c>
      <c r="O121" s="6">
        <f t="shared" si="21"/>
        <v>3109565.6599999992</v>
      </c>
      <c r="P121" s="6">
        <f t="shared" ref="P121" si="24">F121</f>
        <v>29610899.920000002</v>
      </c>
      <c r="Q121" s="6">
        <f t="shared" si="22"/>
        <v>180128801.67565423</v>
      </c>
      <c r="R121" s="6">
        <f>'Power Purchased Model WN'!Q121</f>
        <v>180022957.31643444</v>
      </c>
      <c r="S121" s="5">
        <f t="shared" si="23"/>
        <v>0.99941239625070966</v>
      </c>
      <c r="T121" s="6"/>
    </row>
    <row r="122" spans="1:20">
      <c r="A122" s="27">
        <v>2022</v>
      </c>
      <c r="B122" s="6">
        <f>SUM(B75:B86)</f>
        <v>183346093.11000001</v>
      </c>
      <c r="D122" s="6">
        <f>SUM(D75:D86)</f>
        <v>185144755.56000003</v>
      </c>
      <c r="E122" s="6">
        <f>SUM(E75:E86)</f>
        <v>2522033.3000000007</v>
      </c>
      <c r="F122" s="6">
        <f>SUM(F75:F86)</f>
        <v>28395278.939999998</v>
      </c>
      <c r="G122" s="6">
        <f>SUM(G75:G86)</f>
        <v>154227443.32000002</v>
      </c>
      <c r="N122" s="6">
        <f>SUM(N75:N86)</f>
        <v>151939382.33318695</v>
      </c>
      <c r="O122" s="6">
        <f t="shared" si="21"/>
        <v>2522033.3000000007</v>
      </c>
      <c r="P122" s="6">
        <f>F122</f>
        <v>28395278.939999998</v>
      </c>
      <c r="Q122" s="6">
        <f t="shared" si="22"/>
        <v>182856694.57318696</v>
      </c>
      <c r="R122" s="6">
        <f>'Power Purchased Model WN'!Q122</f>
        <v>184247845.3481496</v>
      </c>
      <c r="S122" s="5">
        <f t="shared" si="23"/>
        <v>1.0076078744516834</v>
      </c>
      <c r="T122" s="6"/>
    </row>
    <row r="123" spans="1:20">
      <c r="A123" s="27">
        <v>2023</v>
      </c>
      <c r="N123" s="15">
        <f>SUM(N87:N98)</f>
        <v>157403059.34893805</v>
      </c>
      <c r="O123" s="6">
        <v>0</v>
      </c>
      <c r="P123" s="6">
        <f>TREND(P116:P122,$A$116:$A$122,2023)</f>
        <v>22515160.681428909</v>
      </c>
      <c r="Q123" s="6">
        <f t="shared" ref="Q123:Q124" si="25">N123+O123+P123</f>
        <v>179918220.03036696</v>
      </c>
      <c r="R123" s="6">
        <f>'Power Purchased Model WN'!Q123</f>
        <v>179918220.03036696</v>
      </c>
      <c r="S123" s="5">
        <f t="shared" si="23"/>
        <v>1</v>
      </c>
      <c r="T123" s="6"/>
    </row>
    <row r="124" spans="1:20">
      <c r="A124" s="27">
        <v>2024</v>
      </c>
      <c r="N124" s="15">
        <f>SUM(N99:N110)</f>
        <v>161915053.67773274</v>
      </c>
      <c r="O124" s="6">
        <v>0</v>
      </c>
      <c r="P124" s="6">
        <f>TREND(P116:P123,$A$116:$A$123,2024)</f>
        <v>18571809.153927803</v>
      </c>
      <c r="Q124" s="6">
        <f t="shared" si="25"/>
        <v>180486862.83166054</v>
      </c>
      <c r="R124" s="6">
        <f>'Power Purchased Model WN'!Q124</f>
        <v>180486862.83166054</v>
      </c>
      <c r="S124" s="5">
        <f t="shared" si="23"/>
        <v>1</v>
      </c>
      <c r="T124" s="5"/>
    </row>
    <row r="125" spans="1:20">
      <c r="N125" s="6"/>
    </row>
    <row r="126" spans="1:20">
      <c r="A126" s="42" t="s">
        <v>7</v>
      </c>
      <c r="B126" s="6">
        <f>SUM(B116:B122)</f>
        <v>1282930063.3699999</v>
      </c>
      <c r="D126" s="6">
        <f>SUM(D116:D122)</f>
        <v>1295273900.3199999</v>
      </c>
      <c r="E126" s="6">
        <f>SUM(E116:E122)</f>
        <v>49028597.400000006</v>
      </c>
      <c r="F126" s="6">
        <f>SUM(F116:F122)</f>
        <v>268019967.54000002</v>
      </c>
      <c r="G126" s="6">
        <f>SUM(G116:G122)</f>
        <v>978225335.38000011</v>
      </c>
      <c r="L126" s="1" t="s">
        <v>126</v>
      </c>
      <c r="N126" s="6">
        <f>SUM(N116:N122)</f>
        <v>978225335.37999976</v>
      </c>
      <c r="Q126" s="6">
        <f>SUM(Q116:Q122)</f>
        <v>1295273900.3199997</v>
      </c>
    </row>
    <row r="127" spans="1:20">
      <c r="N127" s="32">
        <f>N126-G126</f>
        <v>0</v>
      </c>
      <c r="Q127" s="6">
        <f>Q126-D126</f>
        <v>0</v>
      </c>
    </row>
    <row r="129" spans="1:20">
      <c r="O129"/>
      <c r="P129"/>
      <c r="Q129"/>
      <c r="R129"/>
      <c r="S129"/>
      <c r="T129"/>
    </row>
    <row r="130" spans="1:20">
      <c r="N130" s="6">
        <f>SUM(N116:N124)</f>
        <v>1297543448.4066706</v>
      </c>
    </row>
    <row r="131" spans="1:20">
      <c r="N131" s="32">
        <f>N114-N130</f>
        <v>0</v>
      </c>
    </row>
    <row r="132" spans="1:20">
      <c r="A132"/>
      <c r="B132"/>
      <c r="C132"/>
      <c r="D132"/>
      <c r="E132"/>
      <c r="F132"/>
      <c r="G132"/>
      <c r="H132"/>
      <c r="I132"/>
      <c r="J132"/>
      <c r="L132"/>
      <c r="M132"/>
      <c r="N132"/>
      <c r="O132"/>
    </row>
    <row r="133" spans="1:20">
      <c r="A133"/>
      <c r="B133"/>
      <c r="C133"/>
      <c r="D133"/>
      <c r="E133"/>
      <c r="F133"/>
      <c r="G133"/>
      <c r="H133"/>
      <c r="I133"/>
      <c r="J133"/>
      <c r="L133"/>
      <c r="M133"/>
      <c r="N133"/>
      <c r="O133"/>
    </row>
    <row r="134" spans="1:20">
      <c r="A134"/>
      <c r="B134"/>
      <c r="C134"/>
      <c r="D134"/>
      <c r="E134"/>
      <c r="F134"/>
      <c r="G134"/>
      <c r="H134"/>
      <c r="I134"/>
      <c r="J134"/>
      <c r="L134"/>
      <c r="M134"/>
      <c r="N134"/>
      <c r="O134"/>
    </row>
    <row r="135" spans="1:20">
      <c r="A135"/>
      <c r="B135"/>
      <c r="C135"/>
      <c r="D135"/>
      <c r="E135"/>
      <c r="F135"/>
      <c r="G135"/>
      <c r="H135"/>
      <c r="I135"/>
      <c r="J135"/>
      <c r="L135"/>
      <c r="M135"/>
      <c r="N135"/>
      <c r="O135"/>
    </row>
    <row r="136" spans="1:20">
      <c r="A136"/>
      <c r="B136"/>
      <c r="C136"/>
      <c r="H136" s="6"/>
      <c r="I136" s="6"/>
      <c r="J136" s="6"/>
      <c r="L136"/>
      <c r="M136"/>
      <c r="N136"/>
      <c r="O136"/>
    </row>
    <row r="137" spans="1:20">
      <c r="A137"/>
      <c r="B137"/>
      <c r="C137"/>
      <c r="H137" s="6"/>
      <c r="I137" s="6"/>
      <c r="J137" s="6"/>
      <c r="L137"/>
      <c r="M137"/>
      <c r="N137"/>
      <c r="O137"/>
    </row>
    <row r="138" spans="1:20">
      <c r="A138"/>
      <c r="B138"/>
      <c r="C138"/>
      <c r="H138" s="6"/>
      <c r="I138" s="6"/>
      <c r="J138" s="6"/>
      <c r="L138"/>
      <c r="M138"/>
      <c r="N138"/>
      <c r="O138"/>
    </row>
    <row r="139" spans="1:20">
      <c r="A139"/>
      <c r="B139"/>
      <c r="C139"/>
      <c r="H139" s="6"/>
      <c r="I139" s="6"/>
      <c r="J139" s="6"/>
      <c r="L139"/>
      <c r="M139"/>
      <c r="N139"/>
      <c r="O139"/>
    </row>
    <row r="140" spans="1:20">
      <c r="A140"/>
      <c r="B140"/>
      <c r="C140"/>
      <c r="H140" s="6"/>
      <c r="I140" s="6"/>
      <c r="J140" s="6"/>
      <c r="L140"/>
      <c r="M140"/>
      <c r="N140"/>
      <c r="O140"/>
      <c r="P140"/>
      <c r="Q140"/>
      <c r="R140"/>
      <c r="S140"/>
      <c r="T140"/>
    </row>
    <row r="141" spans="1:20">
      <c r="A141"/>
      <c r="B141"/>
      <c r="C141"/>
      <c r="H141" s="6"/>
      <c r="I141" s="6"/>
      <c r="J141" s="6"/>
      <c r="L141"/>
      <c r="M141"/>
      <c r="N141"/>
      <c r="O141"/>
      <c r="P141"/>
      <c r="Q141"/>
      <c r="R141"/>
      <c r="S141"/>
      <c r="T141"/>
    </row>
    <row r="142" spans="1:20">
      <c r="A142"/>
      <c r="B142"/>
      <c r="C142"/>
      <c r="H142" s="6"/>
      <c r="I142" s="6"/>
      <c r="J142" s="6"/>
      <c r="L142"/>
      <c r="M142"/>
      <c r="N142"/>
      <c r="O142"/>
      <c r="P142"/>
      <c r="Q142"/>
      <c r="R142"/>
      <c r="S142"/>
      <c r="T142"/>
    </row>
    <row r="143" spans="1:20">
      <c r="A143"/>
      <c r="B143"/>
      <c r="C143"/>
      <c r="H143" s="6"/>
      <c r="I143" s="6"/>
      <c r="J143" s="6"/>
      <c r="L143"/>
      <c r="M143"/>
      <c r="N143"/>
      <c r="O143"/>
      <c r="P143"/>
      <c r="Q143"/>
      <c r="R143"/>
      <c r="S143"/>
      <c r="T143"/>
    </row>
    <row r="144" spans="1:20">
      <c r="A144"/>
      <c r="B144"/>
      <c r="C144"/>
      <c r="H144" s="6"/>
      <c r="I144" s="6"/>
      <c r="J144" s="6"/>
      <c r="L144"/>
      <c r="M144"/>
      <c r="N144"/>
      <c r="O144"/>
      <c r="P144"/>
      <c r="Q144"/>
      <c r="R144"/>
      <c r="S144"/>
      <c r="T144"/>
    </row>
    <row r="145" spans="1:20">
      <c r="A145"/>
      <c r="H145" s="6"/>
      <c r="I145" s="6"/>
      <c r="J145" s="6"/>
      <c r="P145"/>
      <c r="Q145"/>
      <c r="R145"/>
      <c r="S145"/>
      <c r="T145"/>
    </row>
    <row r="146" spans="1:20">
      <c r="A146"/>
      <c r="H146" s="6"/>
      <c r="I146" s="6"/>
      <c r="J146" s="6"/>
      <c r="P146"/>
      <c r="Q146"/>
      <c r="R146"/>
      <c r="S146"/>
      <c r="T146"/>
    </row>
    <row r="147" spans="1:20">
      <c r="A147"/>
      <c r="H147" s="6"/>
      <c r="I147" s="6"/>
      <c r="J147" s="6"/>
      <c r="P147"/>
      <c r="Q147"/>
      <c r="R147"/>
      <c r="S147"/>
      <c r="T147"/>
    </row>
    <row r="148" spans="1:20">
      <c r="A148"/>
      <c r="H148" s="6"/>
      <c r="I148" s="6"/>
      <c r="J148" s="6"/>
      <c r="K148" s="6"/>
      <c r="P148"/>
      <c r="Q148"/>
      <c r="R148"/>
      <c r="S148"/>
      <c r="T148"/>
    </row>
    <row r="149" spans="1:20">
      <c r="A149"/>
      <c r="P149"/>
      <c r="Q149"/>
      <c r="R149"/>
      <c r="S149"/>
      <c r="T149"/>
    </row>
    <row r="150" spans="1:20">
      <c r="A150"/>
      <c r="P150"/>
      <c r="Q150"/>
      <c r="R150"/>
      <c r="S150"/>
      <c r="T150"/>
    </row>
    <row r="151" spans="1:20">
      <c r="A151"/>
      <c r="P151"/>
      <c r="Q151"/>
      <c r="R151"/>
      <c r="S151"/>
      <c r="T151"/>
    </row>
    <row r="152" spans="1:20">
      <c r="A152"/>
      <c r="P152"/>
      <c r="Q152"/>
      <c r="R152"/>
      <c r="S152"/>
      <c r="T152"/>
    </row>
    <row r="153" spans="1:20">
      <c r="A153"/>
      <c r="P153"/>
      <c r="Q153"/>
      <c r="R153"/>
      <c r="S153"/>
      <c r="T153"/>
    </row>
    <row r="154" spans="1:20">
      <c r="A154"/>
      <c r="P154"/>
      <c r="Q154"/>
      <c r="R154"/>
      <c r="S154"/>
      <c r="T154"/>
    </row>
    <row r="155" spans="1:20">
      <c r="A155"/>
      <c r="P155"/>
      <c r="Q155"/>
      <c r="R155"/>
      <c r="S155"/>
      <c r="T155"/>
    </row>
    <row r="156" spans="1:20">
      <c r="A156"/>
      <c r="B156"/>
      <c r="C156"/>
      <c r="D156"/>
      <c r="E156"/>
      <c r="F156"/>
      <c r="G156"/>
      <c r="H156"/>
      <c r="I156"/>
      <c r="J156"/>
      <c r="L156"/>
      <c r="M156"/>
      <c r="N156"/>
      <c r="O156"/>
      <c r="P156"/>
      <c r="Q156"/>
      <c r="R156"/>
      <c r="S156"/>
      <c r="T156"/>
    </row>
    <row r="157" spans="1:20">
      <c r="A157"/>
      <c r="B157"/>
      <c r="C157"/>
      <c r="D157"/>
      <c r="E157"/>
      <c r="F157"/>
      <c r="G157"/>
      <c r="H157"/>
      <c r="I157"/>
      <c r="J157"/>
      <c r="L157"/>
      <c r="M157"/>
      <c r="N157"/>
      <c r="O157"/>
      <c r="P157"/>
      <c r="Q157"/>
      <c r="R157"/>
      <c r="S157"/>
      <c r="T157"/>
    </row>
  </sheetData>
  <mergeCells count="1">
    <mergeCell ref="S112:S115"/>
  </mergeCells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I157"/>
  <sheetViews>
    <sheetView zoomScale="78" zoomScaleNormal="78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O87" sqref="O1:T87"/>
    </sheetView>
  </sheetViews>
  <sheetFormatPr defaultRowHeight="13.2"/>
  <cols>
    <col min="1" max="1" width="11.88671875" style="27" customWidth="1"/>
    <col min="2" max="7" width="16.88671875" style="6" customWidth="1"/>
    <col min="8" max="8" width="11.5546875" style="1" customWidth="1"/>
    <col min="9" max="9" width="13.44140625" style="1" customWidth="1"/>
    <col min="10" max="10" width="10.109375" style="1" customWidth="1"/>
    <col min="11" max="11" width="10.33203125" style="57" customWidth="1"/>
    <col min="12" max="13" width="13" style="1" customWidth="1"/>
    <col min="14" max="14" width="15.5546875" style="1" bestFit="1" customWidth="1"/>
    <col min="15" max="15" width="16" style="1" customWidth="1"/>
    <col min="16" max="16" width="18.33203125" style="1" bestFit="1" customWidth="1"/>
    <col min="17" max="17" width="15" style="1" bestFit="1" customWidth="1"/>
    <col min="18" max="18" width="17.88671875" style="1" bestFit="1" customWidth="1"/>
    <col min="19" max="19" width="11.44140625" style="1" customWidth="1"/>
    <col min="20" max="20" width="17.88671875" style="1" bestFit="1" customWidth="1"/>
    <col min="21" max="21" width="4.88671875" customWidth="1"/>
    <col min="22" max="22" width="44.44140625" customWidth="1"/>
    <col min="23" max="23" width="18.44140625" customWidth="1"/>
    <col min="24" max="28" width="12.5546875" customWidth="1"/>
    <col min="29" max="29" width="21.88671875" customWidth="1"/>
    <col min="30" max="30" width="12.5546875" customWidth="1"/>
    <col min="31" max="31" width="42.44140625" bestFit="1" customWidth="1"/>
    <col min="32" max="32" width="15.5546875" bestFit="1" customWidth="1"/>
    <col min="33" max="33" width="26.109375" bestFit="1" customWidth="1"/>
    <col min="34" max="34" width="23" bestFit="1" customWidth="1"/>
    <col min="37" max="37" width="40.5546875" bestFit="1" customWidth="1"/>
    <col min="38" max="38" width="42.88671875" bestFit="1" customWidth="1"/>
  </cols>
  <sheetData>
    <row r="1" spans="1:35">
      <c r="O1"/>
      <c r="P1"/>
      <c r="Q1"/>
      <c r="R1"/>
      <c r="S1"/>
      <c r="T1"/>
      <c r="AF1" s="106"/>
      <c r="AG1" s="106"/>
      <c r="AH1" s="106"/>
      <c r="AI1" s="106"/>
    </row>
    <row r="2" spans="1:35" ht="39.6">
      <c r="A2" s="101"/>
      <c r="B2" s="102" t="s">
        <v>75</v>
      </c>
      <c r="C2" s="102" t="s">
        <v>107</v>
      </c>
      <c r="D2" s="102" t="s">
        <v>113</v>
      </c>
      <c r="E2" s="102" t="s">
        <v>115</v>
      </c>
      <c r="F2" s="102" t="s">
        <v>116</v>
      </c>
      <c r="G2" s="102" t="s">
        <v>117</v>
      </c>
      <c r="H2" s="103" t="s">
        <v>2</v>
      </c>
      <c r="I2" s="103" t="s">
        <v>3</v>
      </c>
      <c r="J2" s="103" t="s">
        <v>90</v>
      </c>
      <c r="K2" s="104" t="s">
        <v>13</v>
      </c>
      <c r="L2" s="103" t="s">
        <v>104</v>
      </c>
      <c r="M2" s="103" t="s">
        <v>114</v>
      </c>
      <c r="N2" s="103" t="s">
        <v>8</v>
      </c>
      <c r="O2"/>
      <c r="P2"/>
      <c r="Q2"/>
      <c r="R2"/>
      <c r="S2"/>
      <c r="T2"/>
      <c r="V2" s="43" t="s">
        <v>14</v>
      </c>
      <c r="AF2" s="106"/>
      <c r="AG2" s="106"/>
      <c r="AH2" s="106"/>
      <c r="AI2" s="106"/>
    </row>
    <row r="3" spans="1:35" ht="13.8" thickBot="1">
      <c r="A3" s="47">
        <v>42400</v>
      </c>
      <c r="B3" s="48">
        <f>Inputs!D60</f>
        <v>17214578.510000002</v>
      </c>
      <c r="C3" s="48">
        <f>Inputs!E60</f>
        <v>62079.97</v>
      </c>
      <c r="D3" s="48">
        <f t="shared" ref="D3:D66" si="0">B3+C3</f>
        <v>17276658.48</v>
      </c>
      <c r="E3" s="48">
        <v>1398553.38</v>
      </c>
      <c r="F3" s="48">
        <v>4160319.42</v>
      </c>
      <c r="G3" s="48">
        <f>D3-E3-F3</f>
        <v>11717785.680000002</v>
      </c>
      <c r="H3" s="48">
        <f>'Power Purchased Model'!H87</f>
        <v>698.71428571428567</v>
      </c>
      <c r="I3" s="48">
        <f>'Power Purchased Model'!I87</f>
        <v>0</v>
      </c>
      <c r="J3" s="48">
        <v>31</v>
      </c>
      <c r="K3" s="111">
        <v>0</v>
      </c>
      <c r="L3" s="48">
        <f>Inputs!G60+Inputs!I60+Inputs!L60+Inputs!O60+Inputs!R60+Inputs!AA60</f>
        <v>6973</v>
      </c>
      <c r="M3" s="48">
        <v>0</v>
      </c>
      <c r="N3" s="48">
        <f>$W$18+$W$19*H3+$W$20*I3+$W$21*J3+$W$22*K3+$W$23*L3+M3*$W$24</f>
        <v>11240206.100957103</v>
      </c>
      <c r="O3"/>
      <c r="P3"/>
      <c r="Q3"/>
      <c r="R3"/>
      <c r="S3"/>
      <c r="T3"/>
      <c r="AF3" s="106"/>
      <c r="AG3" s="106"/>
      <c r="AH3" s="106"/>
      <c r="AI3" s="106"/>
    </row>
    <row r="4" spans="1:35">
      <c r="A4" s="47">
        <v>42429</v>
      </c>
      <c r="B4" s="48">
        <f>Inputs!D61</f>
        <v>16327741.550000001</v>
      </c>
      <c r="C4" s="48">
        <f>Inputs!E61</f>
        <v>71513.490000000005</v>
      </c>
      <c r="D4" s="48">
        <f t="shared" si="0"/>
        <v>16399255.040000001</v>
      </c>
      <c r="E4" s="48">
        <v>1222410.74</v>
      </c>
      <c r="F4" s="48">
        <v>4296011.57</v>
      </c>
      <c r="G4" s="48">
        <f t="shared" ref="G4:G67" si="1">D4-E4-F4</f>
        <v>10880832.73</v>
      </c>
      <c r="H4" s="48">
        <f>'Power Purchased Model'!H88</f>
        <v>609.08571428571418</v>
      </c>
      <c r="I4" s="48">
        <f>'Power Purchased Model'!I88</f>
        <v>0</v>
      </c>
      <c r="J4" s="48">
        <v>29</v>
      </c>
      <c r="K4" s="111">
        <v>0</v>
      </c>
      <c r="L4" s="48">
        <f>Inputs!G61+Inputs!I61+Inputs!L61+Inputs!O61+Inputs!R61+Inputs!AA61</f>
        <v>6976</v>
      </c>
      <c r="M4" s="48">
        <v>0</v>
      </c>
      <c r="N4" s="48">
        <f t="shared" ref="N4:N67" si="2">$W$18+$W$19*H4+$W$20*I4+$W$21*J4+$W$22*K4+$W$23*L4+M4*$W$24</f>
        <v>10415647.045061853</v>
      </c>
      <c r="O4"/>
      <c r="P4"/>
      <c r="Q4"/>
      <c r="R4"/>
      <c r="S4"/>
      <c r="T4"/>
      <c r="V4" s="115" t="s">
        <v>15</v>
      </c>
      <c r="W4" s="115"/>
      <c r="AF4" s="106"/>
      <c r="AG4" s="106"/>
      <c r="AH4" s="106"/>
      <c r="AI4" s="106"/>
    </row>
    <row r="5" spans="1:35">
      <c r="A5" s="47">
        <v>42460</v>
      </c>
      <c r="B5" s="48">
        <f>Inputs!D62</f>
        <v>16387708.84</v>
      </c>
      <c r="C5" s="48">
        <f>Inputs!E62</f>
        <v>128194.3</v>
      </c>
      <c r="D5" s="48">
        <f t="shared" si="0"/>
        <v>16515903.140000001</v>
      </c>
      <c r="E5" s="48">
        <v>1328244.3800000001</v>
      </c>
      <c r="F5" s="48">
        <v>4380082.97</v>
      </c>
      <c r="G5" s="48">
        <f t="shared" si="1"/>
        <v>10807575.789999999</v>
      </c>
      <c r="H5" s="48">
        <f>'Power Purchased Model'!H89</f>
        <v>523.14285714285711</v>
      </c>
      <c r="I5" s="48">
        <f>'Power Purchased Model'!I89</f>
        <v>0</v>
      </c>
      <c r="J5" s="48">
        <v>31</v>
      </c>
      <c r="K5" s="111">
        <v>1</v>
      </c>
      <c r="L5" s="48">
        <f>Inputs!G62+Inputs!I62+Inputs!L62+Inputs!O62+Inputs!R62+Inputs!AA62</f>
        <v>6984</v>
      </c>
      <c r="M5" s="48">
        <v>0</v>
      </c>
      <c r="N5" s="48">
        <f t="shared" si="2"/>
        <v>10441684.446296221</v>
      </c>
      <c r="O5"/>
      <c r="P5"/>
      <c r="Q5"/>
      <c r="R5"/>
      <c r="S5"/>
      <c r="T5"/>
      <c r="V5" t="s">
        <v>16</v>
      </c>
      <c r="W5" s="136">
        <v>0.95542479415903248</v>
      </c>
      <c r="AF5" s="106"/>
      <c r="AG5" s="106"/>
      <c r="AH5" s="106"/>
      <c r="AI5" s="106"/>
    </row>
    <row r="6" spans="1:35">
      <c r="A6" s="47">
        <v>42490</v>
      </c>
      <c r="B6" s="48">
        <f>Inputs!D63</f>
        <v>15295315.789999999</v>
      </c>
      <c r="C6" s="48">
        <f>Inputs!E63</f>
        <v>189041.49</v>
      </c>
      <c r="D6" s="48">
        <f t="shared" si="0"/>
        <v>15484357.279999999</v>
      </c>
      <c r="E6" s="48">
        <v>1253861.8099999998</v>
      </c>
      <c r="F6" s="48">
        <v>4125931.53</v>
      </c>
      <c r="G6" s="48">
        <f t="shared" si="1"/>
        <v>10104563.939999999</v>
      </c>
      <c r="H6" s="48">
        <f>'Power Purchased Model'!H90</f>
        <v>357.7</v>
      </c>
      <c r="I6" s="48">
        <f>'Power Purchased Model'!I90</f>
        <v>0</v>
      </c>
      <c r="J6" s="48">
        <v>30</v>
      </c>
      <c r="K6" s="111">
        <v>1</v>
      </c>
      <c r="L6" s="48">
        <f>Inputs!G63+Inputs!I63+Inputs!L63+Inputs!O63+Inputs!R63+Inputs!AA63</f>
        <v>6995</v>
      </c>
      <c r="M6" s="48">
        <v>0</v>
      </c>
      <c r="N6" s="48">
        <f t="shared" si="2"/>
        <v>9814353.9126320705</v>
      </c>
      <c r="O6"/>
      <c r="P6"/>
      <c r="Q6"/>
      <c r="R6"/>
      <c r="S6"/>
      <c r="T6"/>
      <c r="V6" t="s">
        <v>17</v>
      </c>
      <c r="W6" s="136">
        <v>0.91283653729382963</v>
      </c>
      <c r="AF6" s="106"/>
      <c r="AG6" s="106"/>
      <c r="AH6" s="106"/>
      <c r="AI6" s="106"/>
    </row>
    <row r="7" spans="1:35">
      <c r="A7" s="47">
        <v>42521</v>
      </c>
      <c r="B7" s="48">
        <f>Inputs!D64</f>
        <v>15349497.890000001</v>
      </c>
      <c r="C7" s="48">
        <f>Inputs!E64</f>
        <v>239387.64</v>
      </c>
      <c r="D7" s="48">
        <f t="shared" si="0"/>
        <v>15588885.530000001</v>
      </c>
      <c r="E7" s="48">
        <v>1195532.79</v>
      </c>
      <c r="F7" s="48">
        <v>4159261.96</v>
      </c>
      <c r="G7" s="48">
        <f t="shared" si="1"/>
        <v>10234090.780000001</v>
      </c>
      <c r="H7" s="48">
        <f>'Power Purchased Model'!H91</f>
        <v>160</v>
      </c>
      <c r="I7" s="48">
        <f>'Power Purchased Model'!I91</f>
        <v>19.771428571428572</v>
      </c>
      <c r="J7" s="48">
        <v>31</v>
      </c>
      <c r="K7" s="111">
        <v>1</v>
      </c>
      <c r="L7" s="48">
        <f>Inputs!G64+Inputs!I64+Inputs!L64+Inputs!O64+Inputs!R64+Inputs!AA64</f>
        <v>7003</v>
      </c>
      <c r="M7" s="48">
        <v>0</v>
      </c>
      <c r="N7" s="48">
        <f t="shared" si="2"/>
        <v>10365277.719623795</v>
      </c>
      <c r="O7"/>
      <c r="P7"/>
      <c r="Q7"/>
      <c r="R7"/>
      <c r="S7"/>
      <c r="T7"/>
      <c r="V7" t="s">
        <v>18</v>
      </c>
      <c r="W7" s="136">
        <v>0.90604457916088132</v>
      </c>
      <c r="AF7" s="106"/>
      <c r="AG7" s="106"/>
      <c r="AH7" s="106"/>
      <c r="AI7" s="106"/>
    </row>
    <row r="8" spans="1:35">
      <c r="A8" s="47">
        <v>42551</v>
      </c>
      <c r="B8" s="48">
        <f>Inputs!D65</f>
        <v>16760016.93</v>
      </c>
      <c r="C8" s="48">
        <f>Inputs!E65</f>
        <v>264615.24</v>
      </c>
      <c r="D8" s="48">
        <f t="shared" si="0"/>
        <v>17024632.169999998</v>
      </c>
      <c r="E8" s="48">
        <v>1306218.8199999998</v>
      </c>
      <c r="F8" s="48">
        <v>4271213.41</v>
      </c>
      <c r="G8" s="48">
        <f t="shared" si="1"/>
        <v>11447199.939999998</v>
      </c>
      <c r="H8" s="48">
        <f>'Power Purchased Model'!H92</f>
        <v>33.1</v>
      </c>
      <c r="I8" s="48">
        <f>'Power Purchased Model'!I92</f>
        <v>53.285714285714285</v>
      </c>
      <c r="J8" s="48">
        <v>30</v>
      </c>
      <c r="K8" s="111">
        <v>0</v>
      </c>
      <c r="L8" s="48">
        <f>Inputs!G65+Inputs!I65+Inputs!L65+Inputs!O65+Inputs!R65+Inputs!AA65</f>
        <v>7015</v>
      </c>
      <c r="M8" s="48">
        <v>0</v>
      </c>
      <c r="N8" s="48">
        <f t="shared" si="2"/>
        <v>11288002.91160609</v>
      </c>
      <c r="O8"/>
      <c r="P8"/>
      <c r="Q8"/>
      <c r="R8"/>
      <c r="S8"/>
      <c r="T8"/>
      <c r="V8" t="s">
        <v>19</v>
      </c>
      <c r="W8" s="137">
        <v>398903.16033600213</v>
      </c>
      <c r="AF8" s="106"/>
      <c r="AG8" s="106"/>
      <c r="AH8" s="106"/>
      <c r="AI8" s="106"/>
    </row>
    <row r="9" spans="1:35" ht="13.8" thickBot="1">
      <c r="A9" s="47">
        <v>42582</v>
      </c>
      <c r="B9" s="48">
        <f>Inputs!D66</f>
        <v>17584612.699999999</v>
      </c>
      <c r="C9" s="48">
        <f>Inputs!E66</f>
        <v>249446.96</v>
      </c>
      <c r="D9" s="48">
        <f t="shared" si="0"/>
        <v>17834059.66</v>
      </c>
      <c r="E9" s="48">
        <v>1366765.55</v>
      </c>
      <c r="F9" s="48">
        <v>3813952.6999999997</v>
      </c>
      <c r="G9" s="48">
        <f t="shared" si="1"/>
        <v>12653341.41</v>
      </c>
      <c r="H9" s="48">
        <f>'Power Purchased Model'!H93</f>
        <v>2.2428571428571429</v>
      </c>
      <c r="I9" s="48">
        <f>'Power Purchased Model'!I93</f>
        <v>103.11428571428571</v>
      </c>
      <c r="J9" s="48">
        <v>31</v>
      </c>
      <c r="K9" s="111">
        <v>0</v>
      </c>
      <c r="L9" s="48">
        <f>Inputs!G66+Inputs!I66+Inputs!L66+Inputs!O66+Inputs!R66+Inputs!AA66</f>
        <v>7029</v>
      </c>
      <c r="M9" s="48">
        <v>0</v>
      </c>
      <c r="N9" s="48">
        <f t="shared" si="2"/>
        <v>13058335.590256922</v>
      </c>
      <c r="O9"/>
      <c r="P9"/>
      <c r="Q9"/>
      <c r="R9"/>
      <c r="S9"/>
      <c r="T9"/>
      <c r="V9" s="113" t="s">
        <v>20</v>
      </c>
      <c r="W9" s="113">
        <v>84</v>
      </c>
      <c r="AF9" s="106"/>
      <c r="AG9" s="106"/>
      <c r="AH9" s="106"/>
      <c r="AI9" s="106"/>
    </row>
    <row r="10" spans="1:35">
      <c r="A10" s="47">
        <v>42613</v>
      </c>
      <c r="B10" s="48">
        <f>Inputs!D67</f>
        <v>20027554.73</v>
      </c>
      <c r="C10" s="48">
        <f>Inputs!E67</f>
        <v>228668.65</v>
      </c>
      <c r="D10" s="48">
        <f t="shared" si="0"/>
        <v>20256223.379999999</v>
      </c>
      <c r="E10" s="48">
        <v>1456378.23</v>
      </c>
      <c r="F10" s="48">
        <v>4753916.74</v>
      </c>
      <c r="G10" s="48">
        <f t="shared" si="1"/>
        <v>14045928.409999998</v>
      </c>
      <c r="H10" s="48">
        <f>'Power Purchased Model'!H94</f>
        <v>7.0000000000000009</v>
      </c>
      <c r="I10" s="48">
        <f>'Power Purchased Model'!I94</f>
        <v>85.914285714285711</v>
      </c>
      <c r="J10" s="48">
        <v>31</v>
      </c>
      <c r="K10" s="111">
        <v>0</v>
      </c>
      <c r="L10" s="48">
        <f>Inputs!G67+Inputs!I67+Inputs!L67+Inputs!O67+Inputs!R67+Inputs!AA67</f>
        <v>7045</v>
      </c>
      <c r="M10" s="48">
        <v>0</v>
      </c>
      <c r="N10" s="48">
        <f t="shared" si="2"/>
        <v>12582920.391162151</v>
      </c>
      <c r="O10"/>
      <c r="P10"/>
      <c r="Q10"/>
      <c r="R10"/>
      <c r="S10"/>
      <c r="T10"/>
      <c r="AF10" s="106"/>
      <c r="AG10" s="106"/>
      <c r="AH10" s="106"/>
      <c r="AI10" s="106"/>
    </row>
    <row r="11" spans="1:35" ht="13.8" thickBot="1">
      <c r="A11" s="47">
        <v>42643</v>
      </c>
      <c r="B11" s="48">
        <f>Inputs!D68</f>
        <v>17024200.449999999</v>
      </c>
      <c r="C11" s="48">
        <f>Inputs!E68</f>
        <v>191588.72</v>
      </c>
      <c r="D11" s="48">
        <f t="shared" si="0"/>
        <v>17215789.169999998</v>
      </c>
      <c r="E11" s="48">
        <v>1349320.0799999998</v>
      </c>
      <c r="F11" s="48">
        <v>4536643.54</v>
      </c>
      <c r="G11" s="48">
        <f t="shared" si="1"/>
        <v>11329825.549999997</v>
      </c>
      <c r="H11" s="48">
        <f>'Power Purchased Model'!H95</f>
        <v>64.128571428571405</v>
      </c>
      <c r="I11" s="48">
        <f>'Power Purchased Model'!I95</f>
        <v>32.057142857142857</v>
      </c>
      <c r="J11" s="48">
        <v>30</v>
      </c>
      <c r="K11" s="111">
        <v>1</v>
      </c>
      <c r="L11" s="48">
        <f>Inputs!G68+Inputs!I68+Inputs!L68+Inputs!O68+Inputs!R68+Inputs!AA68</f>
        <v>7053</v>
      </c>
      <c r="M11" s="48">
        <v>0</v>
      </c>
      <c r="N11" s="48">
        <f t="shared" si="2"/>
        <v>10297437.256296387</v>
      </c>
      <c r="O11"/>
      <c r="P11"/>
      <c r="Q11"/>
      <c r="R11"/>
      <c r="S11"/>
      <c r="T11"/>
      <c r="V11" t="s">
        <v>21</v>
      </c>
    </row>
    <row r="12" spans="1:35">
      <c r="A12" s="47">
        <v>42674</v>
      </c>
      <c r="B12" s="48">
        <f>Inputs!D69</f>
        <v>15911420.27</v>
      </c>
      <c r="C12" s="48">
        <f>Inputs!E69</f>
        <v>132639.69</v>
      </c>
      <c r="D12" s="48">
        <f t="shared" si="0"/>
        <v>16044059.959999999</v>
      </c>
      <c r="E12" s="48">
        <v>1234720.6599999999</v>
      </c>
      <c r="F12" s="48">
        <v>4536507.6399999997</v>
      </c>
      <c r="G12" s="48">
        <f t="shared" si="1"/>
        <v>10272831.66</v>
      </c>
      <c r="H12" s="48">
        <f>'Power Purchased Model'!H96</f>
        <v>231.97142857142856</v>
      </c>
      <c r="I12" s="48">
        <f>'Power Purchased Model'!I96</f>
        <v>4.5000000000000009</v>
      </c>
      <c r="J12" s="48">
        <v>31</v>
      </c>
      <c r="K12" s="111">
        <v>1</v>
      </c>
      <c r="L12" s="48">
        <f>Inputs!G69+Inputs!I69+Inputs!L69+Inputs!O69+Inputs!R69+Inputs!AA69</f>
        <v>7064</v>
      </c>
      <c r="M12" s="48">
        <v>0</v>
      </c>
      <c r="N12" s="48">
        <f t="shared" si="2"/>
        <v>10147298.817614056</v>
      </c>
      <c r="O12"/>
      <c r="P12"/>
      <c r="Q12"/>
      <c r="R12"/>
      <c r="S12"/>
      <c r="T12"/>
      <c r="V12" s="114"/>
      <c r="W12" s="114" t="s">
        <v>25</v>
      </c>
      <c r="X12" s="114" t="s">
        <v>26</v>
      </c>
      <c r="Y12" s="114" t="s">
        <v>27</v>
      </c>
      <c r="Z12" s="114" t="s">
        <v>28</v>
      </c>
      <c r="AA12" s="114" t="s">
        <v>29</v>
      </c>
    </row>
    <row r="13" spans="1:35">
      <c r="A13" s="47">
        <v>42704</v>
      </c>
      <c r="B13" s="48">
        <f>Inputs!D70</f>
        <v>15908144.58</v>
      </c>
      <c r="C13" s="48">
        <f>Inputs!E70</f>
        <v>91505.37</v>
      </c>
      <c r="D13" s="48">
        <f t="shared" si="0"/>
        <v>15999649.949999999</v>
      </c>
      <c r="E13" s="48">
        <v>1266138.96</v>
      </c>
      <c r="F13" s="48">
        <v>4373435.6499999994</v>
      </c>
      <c r="G13" s="48">
        <f t="shared" si="1"/>
        <v>10360075.34</v>
      </c>
      <c r="H13" s="48">
        <f>'Power Purchased Model'!H97</f>
        <v>438.47142857142859</v>
      </c>
      <c r="I13" s="48">
        <f>'Power Purchased Model'!I97</f>
        <v>5.7142857142857148E-2</v>
      </c>
      <c r="J13" s="48">
        <v>30</v>
      </c>
      <c r="K13" s="111">
        <v>0</v>
      </c>
      <c r="L13" s="48">
        <f>Inputs!G70+Inputs!I70+Inputs!L70+Inputs!O70+Inputs!R70+Inputs!AA70</f>
        <v>7067</v>
      </c>
      <c r="M13" s="48">
        <v>0</v>
      </c>
      <c r="N13" s="48">
        <f t="shared" si="2"/>
        <v>10566340.407255942</v>
      </c>
      <c r="O13"/>
      <c r="P13"/>
      <c r="Q13"/>
      <c r="R13"/>
      <c r="S13"/>
      <c r="T13"/>
      <c r="V13" t="s">
        <v>22</v>
      </c>
      <c r="W13">
        <v>6</v>
      </c>
      <c r="X13">
        <v>128317006431744.59</v>
      </c>
      <c r="Y13">
        <v>21386167738624.098</v>
      </c>
      <c r="Z13" s="138">
        <v>134.399611927168</v>
      </c>
      <c r="AA13">
        <v>1.0685257992552773E-38</v>
      </c>
    </row>
    <row r="14" spans="1:35">
      <c r="A14" s="47">
        <v>42735</v>
      </c>
      <c r="B14" s="48">
        <f>Inputs!D71</f>
        <v>16116946.359999999</v>
      </c>
      <c r="C14" s="48">
        <f>Inputs!E71</f>
        <v>14828.03</v>
      </c>
      <c r="D14" s="48">
        <f t="shared" si="0"/>
        <v>16131774.389999999</v>
      </c>
      <c r="E14" s="48">
        <v>1137069.6299999999</v>
      </c>
      <c r="F14" s="48">
        <v>3672969.6100000003</v>
      </c>
      <c r="G14" s="48">
        <f t="shared" si="1"/>
        <v>11321735.149999999</v>
      </c>
      <c r="H14" s="48">
        <f>'Power Purchased Model'!H98</f>
        <v>589.25714285714287</v>
      </c>
      <c r="I14" s="48">
        <f>'Power Purchased Model'!I98</f>
        <v>0</v>
      </c>
      <c r="J14" s="48">
        <v>31</v>
      </c>
      <c r="K14" s="111">
        <v>0</v>
      </c>
      <c r="L14" s="48">
        <f>Inputs!G71+Inputs!I71+Inputs!L71+Inputs!O71+Inputs!R71+Inputs!AA71</f>
        <v>7085</v>
      </c>
      <c r="M14" s="48">
        <v>0</v>
      </c>
      <c r="N14" s="48">
        <f t="shared" si="2"/>
        <v>11210370.120206958</v>
      </c>
      <c r="O14"/>
      <c r="P14"/>
      <c r="Q14"/>
      <c r="R14"/>
      <c r="S14"/>
      <c r="T14"/>
      <c r="V14" t="s">
        <v>23</v>
      </c>
      <c r="W14">
        <v>77</v>
      </c>
      <c r="X14">
        <v>12252527312105.867</v>
      </c>
      <c r="Y14">
        <v>159123731326.05023</v>
      </c>
      <c r="Z14" s="138"/>
      <c r="AA14" s="138"/>
    </row>
    <row r="15" spans="1:35" ht="13.8" thickBot="1">
      <c r="A15" s="47">
        <v>42766</v>
      </c>
      <c r="B15" s="48">
        <f>Inputs!D72</f>
        <v>17123786.129999999</v>
      </c>
      <c r="C15" s="48">
        <f>Inputs!E72</f>
        <v>40918.46</v>
      </c>
      <c r="D15" s="48">
        <f t="shared" si="0"/>
        <v>17164704.59</v>
      </c>
      <c r="E15" s="48">
        <v>1299339.8</v>
      </c>
      <c r="F15" s="48">
        <v>4258095.4399999995</v>
      </c>
      <c r="G15" s="48">
        <f t="shared" si="1"/>
        <v>11607269.35</v>
      </c>
      <c r="H15" s="48">
        <f>H3</f>
        <v>698.71428571428567</v>
      </c>
      <c r="I15" s="48">
        <f>I3</f>
        <v>0</v>
      </c>
      <c r="J15" s="48">
        <v>31</v>
      </c>
      <c r="K15" s="111">
        <v>0</v>
      </c>
      <c r="L15" s="48">
        <f>Inputs!G72+Inputs!I72+Inputs!L72+Inputs!O72+Inputs!R72+Inputs!AA72</f>
        <v>7094</v>
      </c>
      <c r="M15" s="48">
        <v>0</v>
      </c>
      <c r="N15" s="48">
        <f t="shared" si="2"/>
        <v>11433679.046839736</v>
      </c>
      <c r="O15"/>
      <c r="P15"/>
      <c r="Q15"/>
      <c r="R15"/>
      <c r="S15"/>
      <c r="T15"/>
      <c r="V15" s="113" t="s">
        <v>7</v>
      </c>
      <c r="W15" s="113">
        <v>83</v>
      </c>
      <c r="X15" s="113">
        <v>140569533743850.47</v>
      </c>
      <c r="Y15" s="113"/>
      <c r="Z15" s="139"/>
      <c r="AA15" s="139"/>
    </row>
    <row r="16" spans="1:35" ht="13.8" thickBot="1">
      <c r="A16" s="47">
        <v>42794</v>
      </c>
      <c r="B16" s="48">
        <f>Inputs!D73</f>
        <v>15034182.73</v>
      </c>
      <c r="C16" s="48">
        <f>Inputs!E73</f>
        <v>98842.77</v>
      </c>
      <c r="D16" s="48">
        <f t="shared" si="0"/>
        <v>15133025.5</v>
      </c>
      <c r="E16" s="48">
        <v>1201380.51</v>
      </c>
      <c r="F16" s="48">
        <v>3901375.5300000003</v>
      </c>
      <c r="G16" s="48">
        <f t="shared" si="1"/>
        <v>10030269.460000001</v>
      </c>
      <c r="H16" s="48">
        <f t="shared" ref="H16:I79" si="3">H4</f>
        <v>609.08571428571418</v>
      </c>
      <c r="I16" s="48">
        <f t="shared" si="3"/>
        <v>0</v>
      </c>
      <c r="J16" s="48">
        <v>28</v>
      </c>
      <c r="K16" s="111">
        <v>0</v>
      </c>
      <c r="L16" s="48">
        <f>Inputs!G73+Inputs!I73+Inputs!L73+Inputs!O73+Inputs!R73+Inputs!AA73</f>
        <v>7111</v>
      </c>
      <c r="M16" s="48">
        <v>0</v>
      </c>
      <c r="N16" s="48">
        <f t="shared" si="2"/>
        <v>10302363.352770906</v>
      </c>
      <c r="O16"/>
      <c r="P16"/>
      <c r="Q16"/>
      <c r="R16"/>
      <c r="S16"/>
      <c r="T16"/>
    </row>
    <row r="17" spans="1:28">
      <c r="A17" s="47">
        <v>42825</v>
      </c>
      <c r="B17" s="48">
        <f>Inputs!D74</f>
        <v>16518332.300000001</v>
      </c>
      <c r="C17" s="48">
        <f>Inputs!E74</f>
        <v>144381.45000000001</v>
      </c>
      <c r="D17" s="48">
        <f t="shared" si="0"/>
        <v>16662713.75</v>
      </c>
      <c r="E17" s="48">
        <v>1325848.7599999998</v>
      </c>
      <c r="F17" s="48">
        <v>4291491.49</v>
      </c>
      <c r="G17" s="48">
        <f t="shared" si="1"/>
        <v>11045373.5</v>
      </c>
      <c r="H17" s="48">
        <f t="shared" si="3"/>
        <v>523.14285714285711</v>
      </c>
      <c r="I17" s="48">
        <f t="shared" si="3"/>
        <v>0</v>
      </c>
      <c r="J17" s="48">
        <v>31</v>
      </c>
      <c r="K17" s="111">
        <v>1</v>
      </c>
      <c r="L17" s="48">
        <f>Inputs!G74+Inputs!I74+Inputs!L74+Inputs!O74+Inputs!R74+Inputs!AA74</f>
        <v>7115</v>
      </c>
      <c r="M17" s="48">
        <v>0</v>
      </c>
      <c r="N17" s="48">
        <f t="shared" si="2"/>
        <v>10651146.891838577</v>
      </c>
      <c r="O17"/>
      <c r="P17"/>
      <c r="Q17"/>
      <c r="R17"/>
      <c r="S17"/>
      <c r="T17"/>
      <c r="V17" s="114"/>
      <c r="W17" s="114" t="s">
        <v>30</v>
      </c>
      <c r="X17" s="114" t="s">
        <v>19</v>
      </c>
      <c r="Y17" s="114" t="s">
        <v>31</v>
      </c>
      <c r="Z17" s="114" t="s">
        <v>32</v>
      </c>
      <c r="AA17" s="114" t="s">
        <v>33</v>
      </c>
      <c r="AB17" s="114" t="s">
        <v>34</v>
      </c>
    </row>
    <row r="18" spans="1:28">
      <c r="A18" s="47">
        <v>42855</v>
      </c>
      <c r="B18" s="48">
        <f>Inputs!D75</f>
        <v>13982812.939999999</v>
      </c>
      <c r="C18" s="48">
        <f>Inputs!E75</f>
        <v>180225.96</v>
      </c>
      <c r="D18" s="48">
        <f t="shared" si="0"/>
        <v>14163038.9</v>
      </c>
      <c r="E18" s="48">
        <v>1205713.79</v>
      </c>
      <c r="F18" s="48">
        <v>3567728.34</v>
      </c>
      <c r="G18" s="48">
        <f t="shared" si="1"/>
        <v>9389596.7699999996</v>
      </c>
      <c r="H18" s="48">
        <f t="shared" si="3"/>
        <v>357.7</v>
      </c>
      <c r="I18" s="48">
        <f t="shared" si="3"/>
        <v>0</v>
      </c>
      <c r="J18" s="48">
        <v>30</v>
      </c>
      <c r="K18" s="111">
        <v>1</v>
      </c>
      <c r="L18" s="48">
        <f>Inputs!G75+Inputs!I75+Inputs!L75+Inputs!O75+Inputs!R75+Inputs!AA75</f>
        <v>7119</v>
      </c>
      <c r="M18" s="48">
        <v>0</v>
      </c>
      <c r="N18" s="48">
        <f t="shared" si="2"/>
        <v>10012623.708412621</v>
      </c>
      <c r="O18"/>
      <c r="P18"/>
      <c r="Q18"/>
      <c r="R18"/>
      <c r="S18"/>
      <c r="T18"/>
      <c r="V18" t="s">
        <v>24</v>
      </c>
      <c r="W18" s="137">
        <v>-11446292.259978946</v>
      </c>
      <c r="X18" s="137">
        <v>1894729.8713523496</v>
      </c>
      <c r="Y18" s="138">
        <v>-6.0411209181017655</v>
      </c>
      <c r="Z18" s="138">
        <v>5.0815512018787012E-8</v>
      </c>
      <c r="AA18" s="137">
        <v>-15219181.44438298</v>
      </c>
      <c r="AB18" s="137">
        <v>-7673403.0755749112</v>
      </c>
    </row>
    <row r="19" spans="1:28">
      <c r="A19" s="47">
        <v>42886</v>
      </c>
      <c r="B19" s="48">
        <f>Inputs!D76</f>
        <v>15061646.42</v>
      </c>
      <c r="C19" s="48">
        <f>Inputs!E76</f>
        <v>211937.72</v>
      </c>
      <c r="D19" s="48">
        <f t="shared" si="0"/>
        <v>15273584.140000001</v>
      </c>
      <c r="E19" s="48">
        <v>1314156.01</v>
      </c>
      <c r="F19" s="48">
        <v>3987885.81</v>
      </c>
      <c r="G19" s="48">
        <f t="shared" si="1"/>
        <v>9971542.3200000003</v>
      </c>
      <c r="H19" s="48">
        <f t="shared" si="3"/>
        <v>160</v>
      </c>
      <c r="I19" s="48">
        <f t="shared" si="3"/>
        <v>19.771428571428572</v>
      </c>
      <c r="J19" s="48">
        <v>31</v>
      </c>
      <c r="K19" s="111">
        <v>1</v>
      </c>
      <c r="L19" s="48">
        <f>Inputs!G76+Inputs!I76+Inputs!L76+Inputs!O76+Inputs!R76+Inputs!AA76</f>
        <v>7125</v>
      </c>
      <c r="M19" s="48">
        <v>0</v>
      </c>
      <c r="N19" s="48">
        <f t="shared" si="2"/>
        <v>10560349.615472401</v>
      </c>
      <c r="O19"/>
      <c r="P19"/>
      <c r="Q19"/>
      <c r="R19"/>
      <c r="S19"/>
      <c r="T19"/>
      <c r="V19" t="s">
        <v>2</v>
      </c>
      <c r="W19" s="137">
        <v>1908.6774191767352</v>
      </c>
      <c r="X19" s="137">
        <v>313.91277188568682</v>
      </c>
      <c r="Y19" s="138">
        <v>6.0802795875785236</v>
      </c>
      <c r="Z19" s="138">
        <v>4.3097038926344034E-8</v>
      </c>
      <c r="AA19" s="137">
        <v>1283.5972323908099</v>
      </c>
      <c r="AB19" s="137">
        <v>2533.7576059626604</v>
      </c>
    </row>
    <row r="20" spans="1:28">
      <c r="A20" s="47">
        <v>42916</v>
      </c>
      <c r="B20" s="48">
        <f>Inputs!D77</f>
        <v>16237904.83</v>
      </c>
      <c r="C20" s="48">
        <f>Inputs!E77</f>
        <v>236828.58</v>
      </c>
      <c r="D20" s="48">
        <f t="shared" si="0"/>
        <v>16474733.41</v>
      </c>
      <c r="E20" s="48">
        <v>1376051.22</v>
      </c>
      <c r="F20" s="48">
        <v>3867008.4699999997</v>
      </c>
      <c r="G20" s="48">
        <f t="shared" si="1"/>
        <v>11231673.719999999</v>
      </c>
      <c r="H20" s="48">
        <f t="shared" si="3"/>
        <v>33.1</v>
      </c>
      <c r="I20" s="48">
        <f t="shared" si="3"/>
        <v>53.285714285714285</v>
      </c>
      <c r="J20" s="48">
        <v>30</v>
      </c>
      <c r="K20" s="111">
        <v>0</v>
      </c>
      <c r="L20" s="48">
        <f>Inputs!G77+Inputs!I77+Inputs!L77+Inputs!O77+Inputs!R77+Inputs!AA77</f>
        <v>7136</v>
      </c>
      <c r="M20" s="48">
        <v>0</v>
      </c>
      <c r="N20" s="48">
        <f t="shared" si="2"/>
        <v>11481475.857488723</v>
      </c>
      <c r="O20"/>
      <c r="P20"/>
      <c r="Q20"/>
      <c r="R20"/>
      <c r="S20"/>
      <c r="T20"/>
      <c r="V20" t="s">
        <v>3</v>
      </c>
      <c r="W20" s="137">
        <v>29655.712191950635</v>
      </c>
      <c r="X20" s="137">
        <v>2244.0233373843021</v>
      </c>
      <c r="Y20" s="138">
        <v>13.215420578699588</v>
      </c>
      <c r="Z20" s="138">
        <v>1.712362563743408E-21</v>
      </c>
      <c r="AA20" s="137">
        <v>25187.290858030032</v>
      </c>
      <c r="AB20" s="137">
        <v>34124.133525871235</v>
      </c>
    </row>
    <row r="21" spans="1:28">
      <c r="A21" s="47">
        <v>42947</v>
      </c>
      <c r="B21" s="48">
        <f>Inputs!D78</f>
        <v>16605648.27</v>
      </c>
      <c r="C21" s="48">
        <f>Inputs!E78</f>
        <v>225248.93</v>
      </c>
      <c r="D21" s="48">
        <f t="shared" si="0"/>
        <v>16830897.199999999</v>
      </c>
      <c r="E21" s="48">
        <v>1358368.19</v>
      </c>
      <c r="F21" s="48">
        <v>3233481.45</v>
      </c>
      <c r="G21" s="48">
        <f t="shared" si="1"/>
        <v>12239047.559999999</v>
      </c>
      <c r="H21" s="48">
        <f t="shared" si="3"/>
        <v>2.2428571428571429</v>
      </c>
      <c r="I21" s="48">
        <f t="shared" si="3"/>
        <v>103.11428571428571</v>
      </c>
      <c r="J21" s="48">
        <v>31</v>
      </c>
      <c r="K21" s="111">
        <v>0</v>
      </c>
      <c r="L21" s="48">
        <f>Inputs!G78+Inputs!I78+Inputs!L78+Inputs!O78+Inputs!R78+Inputs!AA78</f>
        <v>7145</v>
      </c>
      <c r="M21" s="48">
        <v>0</v>
      </c>
      <c r="N21" s="48">
        <f t="shared" si="2"/>
        <v>13243813.786309695</v>
      </c>
      <c r="O21"/>
      <c r="P21"/>
      <c r="Q21"/>
      <c r="R21"/>
      <c r="S21"/>
      <c r="T21"/>
      <c r="V21" t="s">
        <v>90</v>
      </c>
      <c r="W21" s="137">
        <v>329141.93769719225</v>
      </c>
      <c r="X21" s="137">
        <v>57750.698255594907</v>
      </c>
      <c r="Y21" s="138">
        <v>5.6993585816134242</v>
      </c>
      <c r="Z21" s="138">
        <v>2.1087728655213577E-7</v>
      </c>
      <c r="AA21" s="137">
        <v>214145.60595899058</v>
      </c>
      <c r="AB21" s="137">
        <v>444138.26943539392</v>
      </c>
    </row>
    <row r="22" spans="1:28">
      <c r="A22" s="47">
        <v>42978</v>
      </c>
      <c r="B22" s="48">
        <f>Inputs!D79</f>
        <v>16791868.32</v>
      </c>
      <c r="C22" s="48">
        <f>Inputs!E79</f>
        <v>209082.47</v>
      </c>
      <c r="D22" s="48">
        <f t="shared" si="0"/>
        <v>17000950.789999999</v>
      </c>
      <c r="E22" s="48">
        <v>1152624.01</v>
      </c>
      <c r="F22" s="48">
        <v>3878368.4</v>
      </c>
      <c r="G22" s="48">
        <f t="shared" si="1"/>
        <v>11969958.379999999</v>
      </c>
      <c r="H22" s="48">
        <f t="shared" si="3"/>
        <v>7.0000000000000009</v>
      </c>
      <c r="I22" s="48">
        <f t="shared" si="3"/>
        <v>85.914285714285711</v>
      </c>
      <c r="J22" s="48">
        <v>31</v>
      </c>
      <c r="K22" s="111">
        <v>0</v>
      </c>
      <c r="L22" s="48">
        <f>Inputs!G79+Inputs!I79+Inputs!L79+Inputs!O79+Inputs!R79+Inputs!AA79</f>
        <v>7160</v>
      </c>
      <c r="M22" s="48">
        <v>0</v>
      </c>
      <c r="N22" s="48">
        <f t="shared" si="2"/>
        <v>12766799.637248954</v>
      </c>
      <c r="O22"/>
      <c r="P22"/>
      <c r="Q22"/>
      <c r="R22"/>
      <c r="S22"/>
      <c r="T22"/>
      <c r="V22" t="s">
        <v>13</v>
      </c>
      <c r="W22" s="137">
        <v>-481000.88311969</v>
      </c>
      <c r="X22" s="137">
        <v>119331.6743249312</v>
      </c>
      <c r="Y22" s="138">
        <v>-4.0307896946954811</v>
      </c>
      <c r="Z22" s="138">
        <v>1.2959189063699509E-4</v>
      </c>
      <c r="AA22" s="137">
        <v>-718620.60412826447</v>
      </c>
      <c r="AB22" s="137">
        <v>-243381.1621111155</v>
      </c>
    </row>
    <row r="23" spans="1:28">
      <c r="A23" s="47">
        <v>43008</v>
      </c>
      <c r="B23" s="48">
        <f>Inputs!D80</f>
        <v>15184922.210000001</v>
      </c>
      <c r="C23" s="48">
        <f>Inputs!E80</f>
        <v>202752.04</v>
      </c>
      <c r="D23" s="48">
        <f t="shared" si="0"/>
        <v>15387674.25</v>
      </c>
      <c r="E23" s="48">
        <v>1015208.41</v>
      </c>
      <c r="F23" s="48">
        <v>3513213.06</v>
      </c>
      <c r="G23" s="48">
        <f t="shared" si="1"/>
        <v>10859252.779999999</v>
      </c>
      <c r="H23" s="48">
        <f t="shared" si="3"/>
        <v>64.128571428571405</v>
      </c>
      <c r="I23" s="48">
        <f t="shared" si="3"/>
        <v>32.057142857142857</v>
      </c>
      <c r="J23" s="48">
        <v>30</v>
      </c>
      <c r="K23" s="111">
        <v>1</v>
      </c>
      <c r="L23" s="48">
        <f>Inputs!G80+Inputs!I80+Inputs!L80+Inputs!O80+Inputs!R80+Inputs!AA80</f>
        <v>7167</v>
      </c>
      <c r="M23" s="48">
        <v>0</v>
      </c>
      <c r="N23" s="48">
        <f t="shared" si="2"/>
        <v>10479717.552417217</v>
      </c>
      <c r="O23"/>
      <c r="P23"/>
      <c r="Q23"/>
      <c r="R23"/>
      <c r="S23"/>
      <c r="T23"/>
      <c r="V23" t="s">
        <v>104</v>
      </c>
      <c r="W23" s="137">
        <v>1598.949965972183</v>
      </c>
      <c r="X23" s="137">
        <v>113.10278726807043</v>
      </c>
      <c r="Y23" s="138">
        <v>14.137140247325945</v>
      </c>
      <c r="Z23" s="138">
        <v>4.2551007095808547E-23</v>
      </c>
      <c r="AA23" s="137">
        <v>1373.7335436939602</v>
      </c>
      <c r="AB23" s="137">
        <v>1824.1663882504058</v>
      </c>
    </row>
    <row r="24" spans="1:28" ht="13.8" thickBot="1">
      <c r="A24" s="47">
        <v>43039</v>
      </c>
      <c r="B24" s="48">
        <f>Inputs!D81</f>
        <v>14823920.949999999</v>
      </c>
      <c r="C24" s="48">
        <f>Inputs!E81</f>
        <v>127443.61</v>
      </c>
      <c r="D24" s="48">
        <f t="shared" si="0"/>
        <v>14951364.559999999</v>
      </c>
      <c r="E24" s="48">
        <v>941287.92</v>
      </c>
      <c r="F24" s="48">
        <v>3734043.4200000004</v>
      </c>
      <c r="G24" s="48">
        <f t="shared" si="1"/>
        <v>10276033.219999999</v>
      </c>
      <c r="H24" s="48">
        <f t="shared" si="3"/>
        <v>231.97142857142856</v>
      </c>
      <c r="I24" s="48">
        <f t="shared" si="3"/>
        <v>4.5000000000000009</v>
      </c>
      <c r="J24" s="48">
        <v>31</v>
      </c>
      <c r="K24" s="111">
        <v>1</v>
      </c>
      <c r="L24" s="48">
        <f>Inputs!G81+Inputs!I81+Inputs!L81+Inputs!O81+Inputs!R81+Inputs!AA81</f>
        <v>7177</v>
      </c>
      <c r="M24" s="48">
        <v>0</v>
      </c>
      <c r="N24" s="48">
        <f t="shared" si="2"/>
        <v>10327980.163768912</v>
      </c>
      <c r="O24"/>
      <c r="P24"/>
      <c r="Q24"/>
      <c r="R24"/>
      <c r="S24"/>
      <c r="T24"/>
      <c r="V24" s="113" t="s">
        <v>114</v>
      </c>
      <c r="W24" s="140">
        <v>-1627709.7353904694</v>
      </c>
      <c r="X24" s="140">
        <v>290896.87693051365</v>
      </c>
      <c r="Y24" s="139">
        <v>-5.5954871450176462</v>
      </c>
      <c r="Z24" s="139">
        <v>3.2314060963009273E-7</v>
      </c>
      <c r="AA24" s="140">
        <v>-2206959.4201831087</v>
      </c>
      <c r="AB24" s="140">
        <v>-1048460.0505978301</v>
      </c>
    </row>
    <row r="25" spans="1:28">
      <c r="A25" s="47">
        <v>43069</v>
      </c>
      <c r="B25" s="48">
        <f>Inputs!D82</f>
        <v>15176795.18</v>
      </c>
      <c r="C25" s="48">
        <f>Inputs!E82</f>
        <v>76466.039999999994</v>
      </c>
      <c r="D25" s="48">
        <f t="shared" si="0"/>
        <v>15253261.219999999</v>
      </c>
      <c r="E25" s="48">
        <v>892084.91999999993</v>
      </c>
      <c r="F25" s="48">
        <v>3835597.14</v>
      </c>
      <c r="G25" s="48">
        <f t="shared" si="1"/>
        <v>10525579.159999998</v>
      </c>
      <c r="H25" s="48">
        <f t="shared" si="3"/>
        <v>438.47142857142859</v>
      </c>
      <c r="I25" s="48">
        <f t="shared" si="3"/>
        <v>5.7142857142857148E-2</v>
      </c>
      <c r="J25" s="48">
        <v>30</v>
      </c>
      <c r="K25" s="111">
        <v>0</v>
      </c>
      <c r="L25" s="48">
        <f>Inputs!G82+Inputs!I82+Inputs!L82+Inputs!O82+Inputs!R82+Inputs!AA82</f>
        <v>7191</v>
      </c>
      <c r="M25" s="48">
        <v>0</v>
      </c>
      <c r="N25" s="48">
        <f t="shared" si="2"/>
        <v>10764610.203036493</v>
      </c>
      <c r="O25"/>
      <c r="P25"/>
      <c r="Q25"/>
      <c r="R25"/>
      <c r="S25"/>
      <c r="T25"/>
      <c r="V25" s="43"/>
    </row>
    <row r="26" spans="1:28">
      <c r="A26" s="47">
        <v>43100</v>
      </c>
      <c r="B26" s="48">
        <f>Inputs!D83</f>
        <v>15312049.84</v>
      </c>
      <c r="C26" s="48">
        <f>Inputs!E83</f>
        <v>29462.42</v>
      </c>
      <c r="D26" s="48">
        <f t="shared" si="0"/>
        <v>15341512.26</v>
      </c>
      <c r="E26" s="48">
        <v>768931.66999999993</v>
      </c>
      <c r="F26" s="48">
        <v>3124271.8600000003</v>
      </c>
      <c r="G26" s="48">
        <f t="shared" si="1"/>
        <v>11448308.73</v>
      </c>
      <c r="H26" s="48">
        <f t="shared" si="3"/>
        <v>589.25714285714287</v>
      </c>
      <c r="I26" s="48">
        <f t="shared" si="3"/>
        <v>0</v>
      </c>
      <c r="J26" s="48">
        <v>31</v>
      </c>
      <c r="K26" s="111">
        <v>0</v>
      </c>
      <c r="L26" s="48">
        <f>Inputs!G83+Inputs!I83+Inputs!L83+Inputs!O83+Inputs!R83+Inputs!AA83</f>
        <v>7190</v>
      </c>
      <c r="M26" s="48">
        <v>0</v>
      </c>
      <c r="N26" s="48">
        <f t="shared" si="2"/>
        <v>11378259.866634035</v>
      </c>
      <c r="O26"/>
      <c r="P26"/>
      <c r="Q26"/>
      <c r="R26"/>
      <c r="S26"/>
      <c r="T26"/>
      <c r="V26" s="43" t="s">
        <v>136</v>
      </c>
      <c r="W26" s="156">
        <f>Q87</f>
        <v>0</v>
      </c>
    </row>
    <row r="27" spans="1:28">
      <c r="A27" s="47">
        <v>43131</v>
      </c>
      <c r="B27" s="48">
        <f>Inputs!D84</f>
        <v>16892328.899999995</v>
      </c>
      <c r="C27" s="48">
        <f>Inputs!E84</f>
        <v>37099.270000000004</v>
      </c>
      <c r="D27" s="48">
        <f t="shared" si="0"/>
        <v>16929428.169999994</v>
      </c>
      <c r="E27" s="48">
        <v>920893.58000000007</v>
      </c>
      <c r="F27" s="48">
        <v>3911965.81</v>
      </c>
      <c r="G27" s="48">
        <f t="shared" si="1"/>
        <v>12096568.779999994</v>
      </c>
      <c r="H27" s="48">
        <f t="shared" si="3"/>
        <v>698.71428571428567</v>
      </c>
      <c r="I27" s="48">
        <f t="shared" si="3"/>
        <v>0</v>
      </c>
      <c r="J27" s="48">
        <v>31</v>
      </c>
      <c r="K27" s="111">
        <v>0</v>
      </c>
      <c r="L27" s="48">
        <f>Inputs!G84+Inputs!I84+Inputs!L84+Inputs!O84+Inputs!R84+Inputs!AA84</f>
        <v>7199</v>
      </c>
      <c r="M27" s="48">
        <v>0</v>
      </c>
      <c r="N27" s="48">
        <f>$W$18+$W$19*H27+$W$20*I27+$W$21*J27+$W$22*K27+$W$23*L27+M27*$W$24</f>
        <v>11601568.793266816</v>
      </c>
      <c r="O27"/>
      <c r="P27"/>
      <c r="Q27"/>
      <c r="R27"/>
      <c r="S27"/>
      <c r="T27"/>
    </row>
    <row r="28" spans="1:28">
      <c r="A28" s="47">
        <v>43159</v>
      </c>
      <c r="B28" s="48">
        <f>Inputs!D85</f>
        <v>14940711.98</v>
      </c>
      <c r="C28" s="48">
        <f>Inputs!E85</f>
        <v>50870.44</v>
      </c>
      <c r="D28" s="48">
        <f t="shared" si="0"/>
        <v>14991582.42</v>
      </c>
      <c r="E28" s="48">
        <v>760193.62</v>
      </c>
      <c r="F28" s="48">
        <v>3678957.04</v>
      </c>
      <c r="G28" s="48">
        <f t="shared" si="1"/>
        <v>10552431.760000002</v>
      </c>
      <c r="H28" s="48">
        <f t="shared" si="3"/>
        <v>609.08571428571418</v>
      </c>
      <c r="I28" s="48">
        <f t="shared" si="3"/>
        <v>0</v>
      </c>
      <c r="J28" s="48">
        <v>28</v>
      </c>
      <c r="K28" s="111">
        <v>0</v>
      </c>
      <c r="L28" s="48">
        <f>Inputs!G85+Inputs!I85+Inputs!L85+Inputs!O85+Inputs!R85+Inputs!AA85</f>
        <v>7202</v>
      </c>
      <c r="M28" s="48">
        <v>0</v>
      </c>
      <c r="N28" s="48">
        <f>$W$18+$W$19*H28+$W$20*I28+$W$21*J28+$W$22*K28+$W$23*L28+M28*$W$24</f>
        <v>10447867.799674375</v>
      </c>
      <c r="O28"/>
      <c r="P28"/>
      <c r="Q28"/>
      <c r="R28"/>
      <c r="S28"/>
      <c r="T28"/>
      <c r="V28" t="s">
        <v>137</v>
      </c>
      <c r="W28" s="144">
        <f>T87</f>
        <v>0</v>
      </c>
    </row>
    <row r="29" spans="1:28">
      <c r="A29" s="47">
        <v>43190</v>
      </c>
      <c r="B29" s="48">
        <f>Inputs!D86</f>
        <v>15870053.460000001</v>
      </c>
      <c r="C29" s="48">
        <f>Inputs!E86</f>
        <v>157401.99</v>
      </c>
      <c r="D29" s="48">
        <f t="shared" si="0"/>
        <v>16027455.450000001</v>
      </c>
      <c r="E29" s="48">
        <v>806290.22000000009</v>
      </c>
      <c r="F29" s="48">
        <v>3925852.3400000003</v>
      </c>
      <c r="G29" s="48">
        <f t="shared" si="1"/>
        <v>11295312.890000001</v>
      </c>
      <c r="H29" s="48">
        <f t="shared" si="3"/>
        <v>523.14285714285711</v>
      </c>
      <c r="I29" s="48">
        <f t="shared" si="3"/>
        <v>0</v>
      </c>
      <c r="J29" s="48">
        <v>31</v>
      </c>
      <c r="K29" s="111">
        <v>1</v>
      </c>
      <c r="L29" s="48">
        <f>Inputs!G86+Inputs!I86+Inputs!L86+Inputs!O86+Inputs!R86+Inputs!AA86</f>
        <v>7212</v>
      </c>
      <c r="M29" s="48">
        <v>0</v>
      </c>
      <c r="N29" s="48">
        <f t="shared" si="2"/>
        <v>10806245.038537879</v>
      </c>
      <c r="O29"/>
      <c r="P29"/>
      <c r="Q29"/>
      <c r="R29"/>
      <c r="S29"/>
      <c r="T29"/>
      <c r="V29" t="s">
        <v>138</v>
      </c>
      <c r="W29" s="144">
        <f>R87</f>
        <v>0</v>
      </c>
    </row>
    <row r="30" spans="1:28">
      <c r="A30" s="47">
        <v>43220</v>
      </c>
      <c r="B30" s="48">
        <f>Inputs!D87</f>
        <v>14690754.840000002</v>
      </c>
      <c r="C30" s="48">
        <f>Inputs!E87</f>
        <v>155665.48000000001</v>
      </c>
      <c r="D30" s="48">
        <f t="shared" si="0"/>
        <v>14846420.320000002</v>
      </c>
      <c r="E30" s="48">
        <v>722326.02</v>
      </c>
      <c r="F30" s="48">
        <v>3713769.13</v>
      </c>
      <c r="G30" s="48">
        <f t="shared" si="1"/>
        <v>10410325.170000002</v>
      </c>
      <c r="H30" s="48">
        <f t="shared" si="3"/>
        <v>357.7</v>
      </c>
      <c r="I30" s="48">
        <f t="shared" si="3"/>
        <v>0</v>
      </c>
      <c r="J30" s="48">
        <v>30</v>
      </c>
      <c r="K30" s="111">
        <v>1</v>
      </c>
      <c r="L30" s="48">
        <f>Inputs!G87+Inputs!I87+Inputs!L87+Inputs!O87+Inputs!R87+Inputs!AA87</f>
        <v>7220</v>
      </c>
      <c r="M30" s="48">
        <v>0</v>
      </c>
      <c r="N30" s="48">
        <f t="shared" si="2"/>
        <v>10174117.654975811</v>
      </c>
      <c r="O30"/>
      <c r="P30"/>
      <c r="Q30"/>
      <c r="R30"/>
      <c r="S30"/>
      <c r="T30"/>
    </row>
    <row r="31" spans="1:28">
      <c r="A31" s="47">
        <v>43251</v>
      </c>
      <c r="B31" s="48">
        <f>Inputs!D88</f>
        <v>15199975.959999999</v>
      </c>
      <c r="C31" s="48">
        <f>Inputs!E88</f>
        <v>229192.52000000002</v>
      </c>
      <c r="D31" s="48">
        <f t="shared" si="0"/>
        <v>15429168.479999999</v>
      </c>
      <c r="E31" s="48">
        <v>825640.29</v>
      </c>
      <c r="F31" s="48">
        <v>3812144.22</v>
      </c>
      <c r="G31" s="48">
        <f t="shared" si="1"/>
        <v>10791383.969999997</v>
      </c>
      <c r="H31" s="48">
        <f t="shared" si="3"/>
        <v>160</v>
      </c>
      <c r="I31" s="48">
        <f t="shared" si="3"/>
        <v>19.771428571428572</v>
      </c>
      <c r="J31" s="48">
        <v>31</v>
      </c>
      <c r="K31" s="111">
        <v>1</v>
      </c>
      <c r="L31" s="48">
        <f>Inputs!G88+Inputs!I88+Inputs!L88+Inputs!O88+Inputs!R88+Inputs!AA88</f>
        <v>7230</v>
      </c>
      <c r="M31" s="48">
        <v>0</v>
      </c>
      <c r="N31" s="48">
        <f t="shared" si="2"/>
        <v>10728239.36189948</v>
      </c>
      <c r="O31"/>
      <c r="P31"/>
      <c r="Q31"/>
      <c r="R31"/>
      <c r="S31"/>
      <c r="T31"/>
      <c r="V31" t="s">
        <v>139</v>
      </c>
      <c r="W31" s="157" t="e">
        <f>W28/W29</f>
        <v>#DIV/0!</v>
      </c>
    </row>
    <row r="32" spans="1:28">
      <c r="A32" s="47">
        <v>43281</v>
      </c>
      <c r="B32" s="48">
        <f>Inputs!D89</f>
        <v>15726339.940000001</v>
      </c>
      <c r="C32" s="48">
        <f>Inputs!E89</f>
        <v>208452.3</v>
      </c>
      <c r="D32" s="48">
        <f t="shared" si="0"/>
        <v>15934792.240000002</v>
      </c>
      <c r="E32" s="48">
        <v>784226.41</v>
      </c>
      <c r="F32" s="48">
        <v>3559018.29</v>
      </c>
      <c r="G32" s="48">
        <f t="shared" si="1"/>
        <v>11591547.540000003</v>
      </c>
      <c r="H32" s="48">
        <f t="shared" si="3"/>
        <v>33.1</v>
      </c>
      <c r="I32" s="48">
        <f t="shared" si="3"/>
        <v>53.285714285714285</v>
      </c>
      <c r="J32" s="48">
        <v>30</v>
      </c>
      <c r="K32" s="111">
        <v>0</v>
      </c>
      <c r="L32" s="48">
        <f>Inputs!G89+Inputs!I89+Inputs!L89+Inputs!O89+Inputs!R89+Inputs!AA89</f>
        <v>7247</v>
      </c>
      <c r="M32" s="48">
        <v>0</v>
      </c>
      <c r="N32" s="48">
        <f t="shared" si="2"/>
        <v>11658959.303711636</v>
      </c>
      <c r="O32"/>
      <c r="P32"/>
      <c r="Q32"/>
      <c r="R32"/>
      <c r="S32"/>
      <c r="T32"/>
    </row>
    <row r="33" spans="1:20">
      <c r="A33" s="47">
        <v>43312</v>
      </c>
      <c r="B33" s="48">
        <f>Inputs!D90</f>
        <v>17253025.84</v>
      </c>
      <c r="C33" s="48">
        <f>Inputs!E90</f>
        <v>237873.48</v>
      </c>
      <c r="D33" s="48">
        <f t="shared" si="0"/>
        <v>17490899.32</v>
      </c>
      <c r="E33" s="48">
        <v>792777.92999999993</v>
      </c>
      <c r="F33" s="48">
        <v>3396535.0500000003</v>
      </c>
      <c r="G33" s="48">
        <f t="shared" si="1"/>
        <v>13301586.34</v>
      </c>
      <c r="H33" s="48">
        <f t="shared" si="3"/>
        <v>2.2428571428571429</v>
      </c>
      <c r="I33" s="48">
        <f t="shared" si="3"/>
        <v>103.11428571428571</v>
      </c>
      <c r="J33" s="48">
        <v>31</v>
      </c>
      <c r="K33" s="111">
        <v>0</v>
      </c>
      <c r="L33" s="48">
        <f>Inputs!G90+Inputs!I90+Inputs!L90+Inputs!O90+Inputs!R90+Inputs!AA90</f>
        <v>7270</v>
      </c>
      <c r="M33" s="48">
        <v>0</v>
      </c>
      <c r="N33" s="48">
        <f t="shared" si="2"/>
        <v>13443682.532056218</v>
      </c>
      <c r="O33"/>
      <c r="P33"/>
      <c r="Q33"/>
      <c r="R33"/>
      <c r="S33"/>
      <c r="T33"/>
    </row>
    <row r="34" spans="1:20">
      <c r="A34" s="47">
        <v>43343</v>
      </c>
      <c r="B34" s="48">
        <f>Inputs!D91</f>
        <v>17560844.650000006</v>
      </c>
      <c r="C34" s="48">
        <f>Inputs!E91</f>
        <v>198710.13</v>
      </c>
      <c r="D34" s="48">
        <f t="shared" si="0"/>
        <v>17759554.780000005</v>
      </c>
      <c r="E34" s="48">
        <v>827923.55</v>
      </c>
      <c r="F34" s="48">
        <v>3522903.7199999997</v>
      </c>
      <c r="G34" s="48">
        <f t="shared" si="1"/>
        <v>13408727.510000005</v>
      </c>
      <c r="H34" s="48">
        <f t="shared" si="3"/>
        <v>7.0000000000000009</v>
      </c>
      <c r="I34" s="48">
        <f t="shared" si="3"/>
        <v>85.914285714285711</v>
      </c>
      <c r="J34" s="48">
        <v>31</v>
      </c>
      <c r="K34" s="111">
        <v>0</v>
      </c>
      <c r="L34" s="48">
        <f>Inputs!G91+Inputs!I91+Inputs!L91+Inputs!O91+Inputs!R91+Inputs!AA91</f>
        <v>7289</v>
      </c>
      <c r="M34" s="48">
        <v>0</v>
      </c>
      <c r="N34" s="48">
        <f t="shared" si="2"/>
        <v>12973064.182859365</v>
      </c>
      <c r="O34"/>
      <c r="P34"/>
      <c r="Q34"/>
      <c r="R34"/>
      <c r="S34"/>
      <c r="T34"/>
    </row>
    <row r="35" spans="1:20">
      <c r="A35" s="47">
        <v>43373</v>
      </c>
      <c r="B35" s="48">
        <f>Inputs!D92</f>
        <v>15504314.149999997</v>
      </c>
      <c r="C35" s="48">
        <f>Inputs!E92</f>
        <v>151817.58000000002</v>
      </c>
      <c r="D35" s="48">
        <f t="shared" si="0"/>
        <v>15656131.729999997</v>
      </c>
      <c r="E35" s="48">
        <v>797357.40999999992</v>
      </c>
      <c r="F35" s="48">
        <v>3371795.6599999997</v>
      </c>
      <c r="G35" s="48">
        <f t="shared" si="1"/>
        <v>11486978.659999996</v>
      </c>
      <c r="H35" s="48">
        <f t="shared" si="3"/>
        <v>64.128571428571405</v>
      </c>
      <c r="I35" s="48">
        <f t="shared" si="3"/>
        <v>32.057142857142857</v>
      </c>
      <c r="J35" s="48">
        <v>30</v>
      </c>
      <c r="K35" s="111">
        <v>1</v>
      </c>
      <c r="L35" s="48">
        <f>Inputs!G92+Inputs!I92+Inputs!L92+Inputs!O92+Inputs!R92+Inputs!AA92</f>
        <v>7297</v>
      </c>
      <c r="M35" s="48">
        <v>0</v>
      </c>
      <c r="N35" s="48">
        <f t="shared" si="2"/>
        <v>10687581.0479936</v>
      </c>
      <c r="O35"/>
      <c r="P35"/>
      <c r="Q35"/>
      <c r="R35"/>
      <c r="S35"/>
      <c r="T35"/>
    </row>
    <row r="36" spans="1:20">
      <c r="A36" s="47">
        <v>43404</v>
      </c>
      <c r="B36" s="48">
        <f>Inputs!D93</f>
        <v>15079922.620000003</v>
      </c>
      <c r="C36" s="48">
        <f>Inputs!E93</f>
        <v>103570.98</v>
      </c>
      <c r="D36" s="48">
        <f t="shared" si="0"/>
        <v>15183493.600000003</v>
      </c>
      <c r="E36" s="48">
        <v>847707.74</v>
      </c>
      <c r="F36" s="48">
        <v>3547208.5700000003</v>
      </c>
      <c r="G36" s="48">
        <f t="shared" si="1"/>
        <v>10788577.290000003</v>
      </c>
      <c r="H36" s="48">
        <f t="shared" si="3"/>
        <v>231.97142857142856</v>
      </c>
      <c r="I36" s="48">
        <f t="shared" si="3"/>
        <v>4.5000000000000009</v>
      </c>
      <c r="J36" s="48">
        <v>31</v>
      </c>
      <c r="K36" s="111">
        <v>1</v>
      </c>
      <c r="L36" s="48">
        <f>Inputs!G93+Inputs!I93+Inputs!L93+Inputs!O93+Inputs!R93+Inputs!AA93</f>
        <v>7309</v>
      </c>
      <c r="M36" s="48">
        <v>0</v>
      </c>
      <c r="N36" s="48">
        <f t="shared" si="2"/>
        <v>10539041.55927724</v>
      </c>
      <c r="O36"/>
      <c r="P36"/>
      <c r="Q36"/>
      <c r="R36"/>
      <c r="S36"/>
      <c r="T36"/>
    </row>
    <row r="37" spans="1:20">
      <c r="A37" s="47">
        <v>43434</v>
      </c>
      <c r="B37" s="48">
        <f>Inputs!D94</f>
        <v>15240429.750000002</v>
      </c>
      <c r="C37" s="48">
        <f>Inputs!E94</f>
        <v>36530.949999999997</v>
      </c>
      <c r="D37" s="48">
        <f t="shared" si="0"/>
        <v>15276960.700000001</v>
      </c>
      <c r="E37" s="48">
        <v>844669.66999999993</v>
      </c>
      <c r="F37" s="48">
        <v>3441518.25</v>
      </c>
      <c r="G37" s="48">
        <f t="shared" si="1"/>
        <v>10990772.780000001</v>
      </c>
      <c r="H37" s="48">
        <f t="shared" si="3"/>
        <v>438.47142857142859</v>
      </c>
      <c r="I37" s="48">
        <f t="shared" si="3"/>
        <v>5.7142857142857148E-2</v>
      </c>
      <c r="J37" s="48">
        <v>30</v>
      </c>
      <c r="K37" s="111">
        <v>0</v>
      </c>
      <c r="L37" s="48">
        <f>Inputs!G94+Inputs!I94+Inputs!L94+Inputs!O94+Inputs!R94+Inputs!AA94</f>
        <v>7309</v>
      </c>
      <c r="M37" s="48">
        <v>0</v>
      </c>
      <c r="N37" s="48">
        <f t="shared" si="2"/>
        <v>10953286.299021211</v>
      </c>
      <c r="O37"/>
      <c r="P37"/>
      <c r="Q37"/>
      <c r="R37"/>
      <c r="S37"/>
      <c r="T37"/>
    </row>
    <row r="38" spans="1:20">
      <c r="A38" s="47">
        <v>43465</v>
      </c>
      <c r="B38" s="48">
        <f>Inputs!D95</f>
        <v>14436070.189999999</v>
      </c>
      <c r="C38" s="48">
        <f>Inputs!E95</f>
        <v>31997.420000000002</v>
      </c>
      <c r="D38" s="48">
        <f t="shared" si="0"/>
        <v>14468067.609999999</v>
      </c>
      <c r="E38" s="48">
        <v>620430.38</v>
      </c>
      <c r="F38" s="48">
        <v>2779734.3800000004</v>
      </c>
      <c r="G38" s="48">
        <f t="shared" si="1"/>
        <v>11067902.849999998</v>
      </c>
      <c r="H38" s="48">
        <f t="shared" si="3"/>
        <v>589.25714285714287</v>
      </c>
      <c r="I38" s="48">
        <f t="shared" si="3"/>
        <v>0</v>
      </c>
      <c r="J38" s="48">
        <v>31</v>
      </c>
      <c r="K38" s="111">
        <v>0</v>
      </c>
      <c r="L38" s="48">
        <f>Inputs!G95+Inputs!I95+Inputs!L95+Inputs!O95+Inputs!R95+Inputs!AA95</f>
        <v>7329</v>
      </c>
      <c r="M38" s="48">
        <v>0</v>
      </c>
      <c r="N38" s="48">
        <f t="shared" si="2"/>
        <v>11600513.911904169</v>
      </c>
      <c r="O38"/>
      <c r="P38"/>
      <c r="Q38"/>
      <c r="R38"/>
      <c r="S38"/>
      <c r="T38"/>
    </row>
    <row r="39" spans="1:20">
      <c r="A39" s="47">
        <v>43496</v>
      </c>
      <c r="B39" s="48">
        <f>Inputs!D96</f>
        <v>16295154.600000001</v>
      </c>
      <c r="C39" s="48">
        <f>Inputs!E96</f>
        <v>46539.969999999994</v>
      </c>
      <c r="D39" s="48">
        <f t="shared" si="0"/>
        <v>16341694.570000002</v>
      </c>
      <c r="E39" s="48">
        <v>407405.83</v>
      </c>
      <c r="F39" s="48">
        <v>3683035.57</v>
      </c>
      <c r="G39" s="48">
        <f t="shared" si="1"/>
        <v>12251253.170000002</v>
      </c>
      <c r="H39" s="48">
        <f t="shared" si="3"/>
        <v>698.71428571428567</v>
      </c>
      <c r="I39" s="48">
        <f t="shared" si="3"/>
        <v>0</v>
      </c>
      <c r="J39" s="48">
        <v>31</v>
      </c>
      <c r="K39" s="111">
        <v>0</v>
      </c>
      <c r="L39" s="48">
        <f>Inputs!G96+Inputs!I96+Inputs!L96+Inputs!O96+Inputs!R96+Inputs!AA96</f>
        <v>7335</v>
      </c>
      <c r="M39" s="48">
        <v>0</v>
      </c>
      <c r="N39" s="48">
        <f t="shared" si="2"/>
        <v>11819025.988639032</v>
      </c>
      <c r="O39"/>
      <c r="P39"/>
      <c r="Q39"/>
      <c r="R39"/>
      <c r="S39"/>
      <c r="T39"/>
    </row>
    <row r="40" spans="1:20">
      <c r="A40" s="47">
        <v>43524</v>
      </c>
      <c r="B40" s="48">
        <f>Inputs!D97</f>
        <v>14247811.720000001</v>
      </c>
      <c r="C40" s="48">
        <f>Inputs!E97</f>
        <v>62626.71</v>
      </c>
      <c r="D40" s="48">
        <f t="shared" si="0"/>
        <v>14310438.430000002</v>
      </c>
      <c r="E40" s="48">
        <v>332490.93</v>
      </c>
      <c r="F40" s="48">
        <v>3240575.56</v>
      </c>
      <c r="G40" s="48">
        <f t="shared" si="1"/>
        <v>10737371.940000001</v>
      </c>
      <c r="H40" s="48">
        <f t="shared" si="3"/>
        <v>609.08571428571418</v>
      </c>
      <c r="I40" s="48">
        <f t="shared" si="3"/>
        <v>0</v>
      </c>
      <c r="J40" s="48">
        <v>28</v>
      </c>
      <c r="K40" s="111">
        <v>0</v>
      </c>
      <c r="L40" s="48">
        <f>Inputs!G97+Inputs!I97+Inputs!L97+Inputs!O97+Inputs!R97+Inputs!AA97</f>
        <v>7343</v>
      </c>
      <c r="M40" s="48">
        <v>0</v>
      </c>
      <c r="N40" s="48">
        <f t="shared" si="2"/>
        <v>10673319.744876452</v>
      </c>
      <c r="O40"/>
      <c r="P40"/>
      <c r="Q40"/>
      <c r="R40"/>
      <c r="S40"/>
      <c r="T40"/>
    </row>
    <row r="41" spans="1:20">
      <c r="A41" s="47">
        <v>43555</v>
      </c>
      <c r="B41" s="48">
        <f>Inputs!D98</f>
        <v>14861723.25</v>
      </c>
      <c r="C41" s="48">
        <f>Inputs!E98</f>
        <v>152139.06</v>
      </c>
      <c r="D41" s="48">
        <f t="shared" si="0"/>
        <v>15013862.310000001</v>
      </c>
      <c r="E41" s="48">
        <v>257080.83</v>
      </c>
      <c r="F41" s="48">
        <v>3459058.4499999997</v>
      </c>
      <c r="G41" s="48">
        <f t="shared" si="1"/>
        <v>11297723.030000001</v>
      </c>
      <c r="H41" s="48">
        <f t="shared" si="3"/>
        <v>523.14285714285711</v>
      </c>
      <c r="I41" s="48">
        <f t="shared" si="3"/>
        <v>0</v>
      </c>
      <c r="J41" s="48">
        <v>31</v>
      </c>
      <c r="K41" s="111">
        <v>1</v>
      </c>
      <c r="L41" s="48">
        <f>Inputs!G98+Inputs!I98+Inputs!L98+Inputs!O98+Inputs!R98+Inputs!AA98</f>
        <v>7347</v>
      </c>
      <c r="M41" s="48">
        <v>0</v>
      </c>
      <c r="N41" s="48">
        <f t="shared" si="2"/>
        <v>11022103.283944124</v>
      </c>
      <c r="O41"/>
      <c r="P41"/>
      <c r="Q41"/>
      <c r="R41"/>
      <c r="S41"/>
      <c r="T41"/>
    </row>
    <row r="42" spans="1:20">
      <c r="A42" s="47">
        <v>43585</v>
      </c>
      <c r="B42" s="48">
        <f>Inputs!D99</f>
        <v>13124081.850000001</v>
      </c>
      <c r="C42" s="48">
        <f>Inputs!E99</f>
        <v>151196.49</v>
      </c>
      <c r="D42" s="48">
        <f t="shared" si="0"/>
        <v>13275278.340000002</v>
      </c>
      <c r="E42" s="48">
        <v>203874.13</v>
      </c>
      <c r="F42" s="48">
        <v>3178346.6399999997</v>
      </c>
      <c r="G42" s="48">
        <f t="shared" si="1"/>
        <v>9893057.5700000003</v>
      </c>
      <c r="H42" s="48">
        <f t="shared" si="3"/>
        <v>357.7</v>
      </c>
      <c r="I42" s="48">
        <f t="shared" si="3"/>
        <v>0</v>
      </c>
      <c r="J42" s="48">
        <v>30</v>
      </c>
      <c r="K42" s="111">
        <v>1</v>
      </c>
      <c r="L42" s="48">
        <f>Inputs!G99+Inputs!I99+Inputs!L99+Inputs!O99+Inputs!R99+Inputs!AA99</f>
        <v>7358</v>
      </c>
      <c r="M42" s="48">
        <v>0</v>
      </c>
      <c r="N42" s="48">
        <f t="shared" si="2"/>
        <v>10394772.750279972</v>
      </c>
      <c r="O42"/>
      <c r="P42"/>
      <c r="Q42"/>
      <c r="R42"/>
      <c r="S42"/>
      <c r="T42"/>
    </row>
    <row r="43" spans="1:20">
      <c r="A43" s="47">
        <v>43616</v>
      </c>
      <c r="B43" s="48">
        <f>Inputs!D100</f>
        <v>13301422.26</v>
      </c>
      <c r="C43" s="48">
        <f>Inputs!E100</f>
        <v>191845.86</v>
      </c>
      <c r="D43" s="48">
        <f t="shared" si="0"/>
        <v>13493268.119999999</v>
      </c>
      <c r="E43" s="48">
        <v>178685.52999999997</v>
      </c>
      <c r="F43" s="48">
        <v>3335680.38</v>
      </c>
      <c r="G43" s="48">
        <f t="shared" si="1"/>
        <v>9978902.2100000009</v>
      </c>
      <c r="H43" s="48">
        <f t="shared" si="3"/>
        <v>160</v>
      </c>
      <c r="I43" s="48">
        <f t="shared" si="3"/>
        <v>19.771428571428572</v>
      </c>
      <c r="J43" s="48">
        <v>31</v>
      </c>
      <c r="K43" s="111">
        <v>1</v>
      </c>
      <c r="L43" s="48">
        <f>Inputs!G100+Inputs!I100+Inputs!L100+Inputs!O100+Inputs!R100+Inputs!AA100</f>
        <v>7367</v>
      </c>
      <c r="M43" s="48">
        <v>0</v>
      </c>
      <c r="N43" s="48">
        <f t="shared" si="2"/>
        <v>10947295.507237669</v>
      </c>
      <c r="O43"/>
      <c r="P43"/>
      <c r="Q43"/>
      <c r="R43"/>
      <c r="S43"/>
      <c r="T43"/>
    </row>
    <row r="44" spans="1:20">
      <c r="A44" s="47">
        <v>43646</v>
      </c>
      <c r="B44" s="48">
        <f>Inputs!D101</f>
        <v>14098153.719999997</v>
      </c>
      <c r="C44" s="48">
        <f>Inputs!E101</f>
        <v>205535.26000000004</v>
      </c>
      <c r="D44" s="48">
        <f t="shared" si="0"/>
        <v>14303688.979999997</v>
      </c>
      <c r="E44" s="48">
        <v>166608.38999999998</v>
      </c>
      <c r="F44" s="48">
        <v>3264723.41</v>
      </c>
      <c r="G44" s="48">
        <f t="shared" si="1"/>
        <v>10872357.179999996</v>
      </c>
      <c r="H44" s="48">
        <f t="shared" si="3"/>
        <v>33.1</v>
      </c>
      <c r="I44" s="48">
        <f t="shared" si="3"/>
        <v>53.285714285714285</v>
      </c>
      <c r="J44" s="48">
        <v>30</v>
      </c>
      <c r="K44" s="111">
        <v>0</v>
      </c>
      <c r="L44" s="48">
        <f>Inputs!G101+Inputs!I101+Inputs!L101+Inputs!O101+Inputs!R101+Inputs!AA101</f>
        <v>7382</v>
      </c>
      <c r="M44" s="48">
        <v>0</v>
      </c>
      <c r="N44" s="48">
        <f t="shared" si="2"/>
        <v>11874817.549117882</v>
      </c>
      <c r="O44"/>
      <c r="P44"/>
      <c r="Q44"/>
      <c r="R44"/>
      <c r="S44"/>
      <c r="T44"/>
    </row>
    <row r="45" spans="1:20">
      <c r="A45" s="47">
        <v>43677</v>
      </c>
      <c r="B45" s="48">
        <f>Inputs!D102</f>
        <v>17237421.399999999</v>
      </c>
      <c r="C45" s="48">
        <f>Inputs!E102</f>
        <v>234680.17</v>
      </c>
      <c r="D45" s="48">
        <f t="shared" si="0"/>
        <v>17472101.57</v>
      </c>
      <c r="E45" s="48">
        <v>181458.09</v>
      </c>
      <c r="F45" s="48">
        <v>3433936.9</v>
      </c>
      <c r="G45" s="48">
        <f t="shared" si="1"/>
        <v>13856706.58</v>
      </c>
      <c r="H45" s="48">
        <f t="shared" si="3"/>
        <v>2.2428571428571429</v>
      </c>
      <c r="I45" s="48">
        <f t="shared" si="3"/>
        <v>103.11428571428571</v>
      </c>
      <c r="J45" s="48">
        <v>31</v>
      </c>
      <c r="K45" s="111">
        <v>0</v>
      </c>
      <c r="L45" s="48">
        <f>Inputs!G102+Inputs!I102+Inputs!L102+Inputs!O102+Inputs!R102+Inputs!AA102</f>
        <v>7383</v>
      </c>
      <c r="M45" s="48">
        <v>0</v>
      </c>
      <c r="N45" s="48">
        <f t="shared" si="2"/>
        <v>13624363.878211074</v>
      </c>
      <c r="O45"/>
      <c r="P45"/>
      <c r="Q45"/>
      <c r="R45"/>
      <c r="S45"/>
      <c r="T45"/>
    </row>
    <row r="46" spans="1:20">
      <c r="A46" s="47">
        <v>43708</v>
      </c>
      <c r="B46" s="48">
        <f>Inputs!D103</f>
        <v>16150313.539999997</v>
      </c>
      <c r="C46" s="48">
        <f>Inputs!E103</f>
        <v>220608.79000000004</v>
      </c>
      <c r="D46" s="48">
        <f t="shared" si="0"/>
        <v>16370922.329999998</v>
      </c>
      <c r="E46" s="48">
        <v>182486.43</v>
      </c>
      <c r="F46" s="48">
        <v>3410964.21</v>
      </c>
      <c r="G46" s="48">
        <f t="shared" si="1"/>
        <v>12777471.689999998</v>
      </c>
      <c r="H46" s="48">
        <f t="shared" si="3"/>
        <v>7.0000000000000009</v>
      </c>
      <c r="I46" s="48">
        <f t="shared" si="3"/>
        <v>85.914285714285711</v>
      </c>
      <c r="J46" s="48">
        <v>31</v>
      </c>
      <c r="K46" s="111">
        <v>0</v>
      </c>
      <c r="L46" s="48">
        <f>Inputs!G103+Inputs!I103+Inputs!L103+Inputs!O103+Inputs!R103+Inputs!AA103</f>
        <v>7409</v>
      </c>
      <c r="M46" s="48">
        <v>0</v>
      </c>
      <c r="N46" s="48">
        <f t="shared" si="2"/>
        <v>13164938.178776028</v>
      </c>
      <c r="O46"/>
      <c r="P46"/>
      <c r="Q46"/>
      <c r="R46"/>
      <c r="S46"/>
      <c r="T46"/>
    </row>
    <row r="47" spans="1:20">
      <c r="A47" s="47">
        <v>43738</v>
      </c>
      <c r="B47" s="48">
        <f>Inputs!D104</f>
        <v>14159844.92</v>
      </c>
      <c r="C47" s="48">
        <f>Inputs!E104</f>
        <v>176014.12</v>
      </c>
      <c r="D47" s="48">
        <f t="shared" si="0"/>
        <v>14335859.039999999</v>
      </c>
      <c r="E47" s="48">
        <v>174129.58999999997</v>
      </c>
      <c r="F47" s="48">
        <v>3388939.5999999996</v>
      </c>
      <c r="G47" s="48">
        <f t="shared" si="1"/>
        <v>10772789.85</v>
      </c>
      <c r="H47" s="48">
        <f t="shared" si="3"/>
        <v>64.128571428571405</v>
      </c>
      <c r="I47" s="48">
        <f t="shared" si="3"/>
        <v>32.057142857142857</v>
      </c>
      <c r="J47" s="48">
        <v>30</v>
      </c>
      <c r="K47" s="111">
        <v>1</v>
      </c>
      <c r="L47" s="48">
        <f>Inputs!G104+Inputs!I104+Inputs!L104+Inputs!O104+Inputs!R104+Inputs!AA104</f>
        <v>7446</v>
      </c>
      <c r="M47" s="48">
        <v>0</v>
      </c>
      <c r="N47" s="48">
        <f t="shared" si="2"/>
        <v>10925824.592923455</v>
      </c>
      <c r="O47"/>
      <c r="P47"/>
      <c r="Q47"/>
      <c r="R47"/>
      <c r="S47"/>
      <c r="T47"/>
    </row>
    <row r="48" spans="1:20">
      <c r="A48" s="47">
        <v>43769</v>
      </c>
      <c r="B48" s="48">
        <f>Inputs!D105</f>
        <v>13763436.57</v>
      </c>
      <c r="C48" s="48">
        <f>Inputs!E105</f>
        <v>131016.67999999998</v>
      </c>
      <c r="D48" s="48">
        <f t="shared" si="0"/>
        <v>13894453.25</v>
      </c>
      <c r="E48" s="48">
        <v>182414.28999999998</v>
      </c>
      <c r="F48" s="48">
        <v>3391531.8600000003</v>
      </c>
      <c r="G48" s="48">
        <f t="shared" si="1"/>
        <v>10320507.100000001</v>
      </c>
      <c r="H48" s="48">
        <f t="shared" si="3"/>
        <v>231.97142857142856</v>
      </c>
      <c r="I48" s="48">
        <f t="shared" si="3"/>
        <v>4.5000000000000009</v>
      </c>
      <c r="J48" s="48">
        <v>31</v>
      </c>
      <c r="K48" s="111">
        <v>1</v>
      </c>
      <c r="L48" s="48">
        <f>Inputs!G105+Inputs!I105+Inputs!L105+Inputs!O105+Inputs!R105+Inputs!AA105</f>
        <v>7456</v>
      </c>
      <c r="M48" s="48">
        <v>0</v>
      </c>
      <c r="N48" s="48">
        <f t="shared" si="2"/>
        <v>10774087.204275152</v>
      </c>
      <c r="O48"/>
      <c r="P48"/>
      <c r="Q48"/>
      <c r="R48"/>
      <c r="S48"/>
      <c r="T48"/>
    </row>
    <row r="49" spans="1:20">
      <c r="A49" s="47">
        <v>43799</v>
      </c>
      <c r="B49" s="48">
        <f>Inputs!D106</f>
        <v>14270971.950000003</v>
      </c>
      <c r="C49" s="48">
        <f>Inputs!E106</f>
        <v>54537.3</v>
      </c>
      <c r="D49" s="48">
        <f t="shared" si="0"/>
        <v>14325509.250000004</v>
      </c>
      <c r="E49" s="48">
        <v>189033.54000000004</v>
      </c>
      <c r="F49" s="48">
        <v>3150961.7699999996</v>
      </c>
      <c r="G49" s="48">
        <f t="shared" si="1"/>
        <v>10985513.940000005</v>
      </c>
      <c r="H49" s="48">
        <f t="shared" si="3"/>
        <v>438.47142857142859</v>
      </c>
      <c r="I49" s="48">
        <f t="shared" si="3"/>
        <v>5.7142857142857148E-2</v>
      </c>
      <c r="J49" s="48">
        <v>30</v>
      </c>
      <c r="K49" s="111">
        <v>0</v>
      </c>
      <c r="L49" s="48">
        <f>Inputs!G106+Inputs!I106+Inputs!L106+Inputs!O106+Inputs!R106+Inputs!AA106</f>
        <v>7479</v>
      </c>
      <c r="M49" s="48">
        <v>0</v>
      </c>
      <c r="N49" s="48">
        <f t="shared" si="2"/>
        <v>11225107.793236481</v>
      </c>
      <c r="O49"/>
      <c r="P49"/>
      <c r="Q49"/>
      <c r="R49"/>
      <c r="S49"/>
      <c r="T49"/>
    </row>
    <row r="50" spans="1:20">
      <c r="A50" s="47">
        <v>43830</v>
      </c>
      <c r="B50" s="48">
        <f>Inputs!D107</f>
        <v>14104425.360000001</v>
      </c>
      <c r="C50" s="48">
        <f>Inputs!E107</f>
        <v>40652.15</v>
      </c>
      <c r="D50" s="48">
        <f t="shared" si="0"/>
        <v>14145077.510000002</v>
      </c>
      <c r="E50" s="48">
        <v>156379.99</v>
      </c>
      <c r="F50" s="48">
        <v>2676040.65</v>
      </c>
      <c r="G50" s="48">
        <f t="shared" si="1"/>
        <v>11312656.870000001</v>
      </c>
      <c r="H50" s="48">
        <f t="shared" si="3"/>
        <v>589.25714285714287</v>
      </c>
      <c r="I50" s="48">
        <f t="shared" si="3"/>
        <v>0</v>
      </c>
      <c r="J50" s="48">
        <v>31</v>
      </c>
      <c r="K50" s="111">
        <v>0</v>
      </c>
      <c r="L50" s="48">
        <f>Inputs!G107+Inputs!I107+Inputs!L107+Inputs!O107+Inputs!R107+Inputs!AA107</f>
        <v>7489</v>
      </c>
      <c r="M50" s="48">
        <v>0</v>
      </c>
      <c r="N50" s="48">
        <f t="shared" si="2"/>
        <v>11856345.906459719</v>
      </c>
      <c r="O50"/>
      <c r="P50"/>
      <c r="Q50"/>
      <c r="R50"/>
      <c r="S50"/>
      <c r="T50"/>
    </row>
    <row r="51" spans="1:20">
      <c r="A51" s="47">
        <v>43861</v>
      </c>
      <c r="B51" s="48">
        <f>Inputs!D108</f>
        <v>15014091.720000003</v>
      </c>
      <c r="C51" s="48">
        <f>Inputs!E108</f>
        <v>35136.76</v>
      </c>
      <c r="D51" s="48">
        <f t="shared" si="0"/>
        <v>15049228.480000002</v>
      </c>
      <c r="E51" s="48">
        <v>171026.52000000002</v>
      </c>
      <c r="F51" s="48">
        <v>3175805.51</v>
      </c>
      <c r="G51" s="48">
        <f t="shared" si="1"/>
        <v>11702396.450000003</v>
      </c>
      <c r="H51" s="48">
        <f t="shared" si="3"/>
        <v>698.71428571428567</v>
      </c>
      <c r="I51" s="48">
        <f t="shared" si="3"/>
        <v>0</v>
      </c>
      <c r="J51" s="48">
        <v>31</v>
      </c>
      <c r="K51" s="111">
        <v>0</v>
      </c>
      <c r="L51" s="48">
        <f>Inputs!G108+Inputs!I108+Inputs!L108+Inputs!O108+Inputs!R108+Inputs!AA108</f>
        <v>7508</v>
      </c>
      <c r="M51" s="48">
        <v>0</v>
      </c>
      <c r="N51" s="48">
        <f t="shared" si="2"/>
        <v>12095644.33275222</v>
      </c>
      <c r="O51"/>
      <c r="P51"/>
      <c r="Q51"/>
      <c r="R51"/>
      <c r="S51"/>
      <c r="T51"/>
    </row>
    <row r="52" spans="1:20">
      <c r="A52" s="47">
        <v>43890</v>
      </c>
      <c r="B52" s="48">
        <f>Inputs!D109</f>
        <v>14192237.660000002</v>
      </c>
      <c r="C52" s="48">
        <f>Inputs!E109</f>
        <v>77809.59</v>
      </c>
      <c r="D52" s="48">
        <f t="shared" si="0"/>
        <v>14270047.250000002</v>
      </c>
      <c r="E52" s="48">
        <v>163565.26999999999</v>
      </c>
      <c r="F52" s="48">
        <v>3106057.9</v>
      </c>
      <c r="G52" s="48">
        <f t="shared" si="1"/>
        <v>11000424.080000002</v>
      </c>
      <c r="H52" s="48">
        <f t="shared" si="3"/>
        <v>609.08571428571418</v>
      </c>
      <c r="I52" s="48">
        <f t="shared" si="3"/>
        <v>0</v>
      </c>
      <c r="J52" s="48">
        <v>29</v>
      </c>
      <c r="K52" s="111">
        <v>0</v>
      </c>
      <c r="L52" s="48">
        <f>Inputs!G109+Inputs!I109+Inputs!L109+Inputs!O109+Inputs!R109+Inputs!AA109</f>
        <v>7522</v>
      </c>
      <c r="M52" s="48">
        <v>0</v>
      </c>
      <c r="N52" s="48">
        <f t="shared" si="2"/>
        <v>11288673.726482665</v>
      </c>
      <c r="O52"/>
      <c r="P52"/>
      <c r="Q52"/>
      <c r="R52"/>
      <c r="S52"/>
      <c r="T52"/>
    </row>
    <row r="53" spans="1:20">
      <c r="A53" s="47">
        <v>43921</v>
      </c>
      <c r="B53" s="48">
        <f>Inputs!D110</f>
        <v>13448796.610000001</v>
      </c>
      <c r="C53" s="48">
        <f>Inputs!E110</f>
        <v>139741.92000000001</v>
      </c>
      <c r="D53" s="48">
        <f t="shared" si="0"/>
        <v>13588538.530000001</v>
      </c>
      <c r="E53" s="48">
        <v>155745.59</v>
      </c>
      <c r="F53" s="48">
        <v>2605804.7000000002</v>
      </c>
      <c r="G53" s="48">
        <f t="shared" si="1"/>
        <v>10826988.240000002</v>
      </c>
      <c r="H53" s="48">
        <f t="shared" si="3"/>
        <v>523.14285714285711</v>
      </c>
      <c r="I53" s="48">
        <f t="shared" si="3"/>
        <v>0</v>
      </c>
      <c r="J53" s="48">
        <v>31</v>
      </c>
      <c r="K53" s="111">
        <v>1</v>
      </c>
      <c r="L53" s="48">
        <f>Inputs!G110+Inputs!I110+Inputs!L110+Inputs!O110+Inputs!R110+Inputs!AA110</f>
        <v>7534</v>
      </c>
      <c r="M53" s="48">
        <v>0</v>
      </c>
      <c r="N53" s="48">
        <f t="shared" si="2"/>
        <v>11321106.927580923</v>
      </c>
      <c r="O53"/>
      <c r="P53"/>
      <c r="Q53"/>
      <c r="R53"/>
      <c r="S53"/>
      <c r="T53"/>
    </row>
    <row r="54" spans="1:20">
      <c r="A54" s="47">
        <v>43951</v>
      </c>
      <c r="B54" s="48">
        <f>Inputs!D111</f>
        <v>10036078.820000004</v>
      </c>
      <c r="C54" s="48">
        <f>Inputs!E111</f>
        <v>191301.65</v>
      </c>
      <c r="D54" s="48">
        <f t="shared" si="0"/>
        <v>10227380.470000004</v>
      </c>
      <c r="E54" s="48">
        <v>130250.96000000002</v>
      </c>
      <c r="F54" s="48">
        <v>981046.64999999991</v>
      </c>
      <c r="G54" s="48">
        <f t="shared" si="1"/>
        <v>9116082.8600000031</v>
      </c>
      <c r="H54" s="48">
        <f t="shared" si="3"/>
        <v>357.7</v>
      </c>
      <c r="I54" s="48">
        <f t="shared" si="3"/>
        <v>0</v>
      </c>
      <c r="J54" s="48">
        <v>30</v>
      </c>
      <c r="K54" s="111">
        <v>1</v>
      </c>
      <c r="L54" s="48">
        <f>Inputs!G111+Inputs!I111+Inputs!L111+Inputs!O111+Inputs!R111+Inputs!AA111</f>
        <v>7547</v>
      </c>
      <c r="M54" s="48">
        <v>1</v>
      </c>
      <c r="N54" s="48">
        <f t="shared" si="2"/>
        <v>9069264.5584582463</v>
      </c>
      <c r="O54"/>
      <c r="P54"/>
      <c r="Q54"/>
      <c r="R54"/>
      <c r="S54"/>
      <c r="T54"/>
    </row>
    <row r="55" spans="1:20">
      <c r="A55" s="47">
        <v>43982</v>
      </c>
      <c r="B55" s="48">
        <f>Inputs!D112</f>
        <v>11027735.910000004</v>
      </c>
      <c r="C55" s="48">
        <f>Inputs!E112</f>
        <v>221551.47</v>
      </c>
      <c r="D55" s="48">
        <f t="shared" si="0"/>
        <v>11249287.380000005</v>
      </c>
      <c r="E55" s="48">
        <v>127787.47</v>
      </c>
      <c r="F55" s="48">
        <v>1321734.96</v>
      </c>
      <c r="G55" s="48">
        <f t="shared" si="1"/>
        <v>9799764.950000003</v>
      </c>
      <c r="H55" s="48">
        <f t="shared" si="3"/>
        <v>160</v>
      </c>
      <c r="I55" s="48">
        <f t="shared" si="3"/>
        <v>19.771428571428572</v>
      </c>
      <c r="J55" s="48">
        <v>31</v>
      </c>
      <c r="K55" s="111">
        <v>1</v>
      </c>
      <c r="L55" s="48">
        <f>Inputs!G112+Inputs!I112+Inputs!L112+Inputs!O112+Inputs!R112+Inputs!AA112</f>
        <v>7550</v>
      </c>
      <c r="M55" s="48">
        <v>1</v>
      </c>
      <c r="N55" s="48">
        <f t="shared" si="2"/>
        <v>9612193.6156201083</v>
      </c>
      <c r="O55"/>
      <c r="P55"/>
      <c r="Q55"/>
      <c r="R55"/>
      <c r="S55"/>
      <c r="T55"/>
    </row>
    <row r="56" spans="1:20">
      <c r="A56" s="47">
        <v>44012</v>
      </c>
      <c r="B56" s="48">
        <f>Inputs!D113</f>
        <v>15117286.629999997</v>
      </c>
      <c r="C56" s="48">
        <f>Inputs!E113</f>
        <v>271293.49</v>
      </c>
      <c r="D56" s="48">
        <f t="shared" si="0"/>
        <v>15388580.119999997</v>
      </c>
      <c r="E56" s="48">
        <v>140825.13</v>
      </c>
      <c r="F56" s="48">
        <v>2831032.41</v>
      </c>
      <c r="G56" s="48">
        <f t="shared" si="1"/>
        <v>12416722.579999996</v>
      </c>
      <c r="H56" s="48">
        <f t="shared" si="3"/>
        <v>33.1</v>
      </c>
      <c r="I56" s="48">
        <f t="shared" si="3"/>
        <v>53.285714285714285</v>
      </c>
      <c r="J56" s="48">
        <v>30</v>
      </c>
      <c r="K56" s="111">
        <v>0</v>
      </c>
      <c r="L56" s="48">
        <f>Inputs!G113+Inputs!I113+Inputs!L113+Inputs!O113+Inputs!R113+Inputs!AA113</f>
        <v>7557</v>
      </c>
      <c r="M56" s="48">
        <v>0</v>
      </c>
      <c r="N56" s="48">
        <f t="shared" si="2"/>
        <v>12154633.793163013</v>
      </c>
      <c r="O56"/>
      <c r="P56"/>
      <c r="Q56"/>
      <c r="R56"/>
      <c r="S56"/>
      <c r="T56"/>
    </row>
    <row r="57" spans="1:20">
      <c r="A57" s="47">
        <v>44043</v>
      </c>
      <c r="B57" s="48">
        <f>Inputs!D114</f>
        <v>18014751.010000002</v>
      </c>
      <c r="C57" s="48">
        <f>Inputs!E114</f>
        <v>250058.56000000003</v>
      </c>
      <c r="D57" s="48">
        <f t="shared" si="0"/>
        <v>18264809.57</v>
      </c>
      <c r="E57" s="48">
        <v>162185.27999999997</v>
      </c>
      <c r="F57" s="48">
        <v>3020618.2</v>
      </c>
      <c r="G57" s="48">
        <f t="shared" si="1"/>
        <v>15082006.09</v>
      </c>
      <c r="H57" s="48">
        <f t="shared" si="3"/>
        <v>2.2428571428571429</v>
      </c>
      <c r="I57" s="48">
        <f t="shared" si="3"/>
        <v>103.11428571428571</v>
      </c>
      <c r="J57" s="48">
        <v>31</v>
      </c>
      <c r="K57" s="111">
        <v>0</v>
      </c>
      <c r="L57" s="48">
        <f>Inputs!G114+Inputs!I114+Inputs!L114+Inputs!O114+Inputs!R114+Inputs!AA114</f>
        <v>7566</v>
      </c>
      <c r="M57" s="48">
        <v>0</v>
      </c>
      <c r="N57" s="48">
        <f t="shared" si="2"/>
        <v>13916971.721983984</v>
      </c>
      <c r="O57"/>
      <c r="P57"/>
      <c r="Q57"/>
      <c r="R57"/>
      <c r="S57"/>
      <c r="T57"/>
    </row>
    <row r="58" spans="1:20">
      <c r="A58" s="47">
        <v>44074</v>
      </c>
      <c r="B58" s="48">
        <f>Inputs!D115</f>
        <v>16733868.93</v>
      </c>
      <c r="C58" s="48">
        <f>Inputs!E115</f>
        <v>221686.43</v>
      </c>
      <c r="D58" s="48">
        <f t="shared" si="0"/>
        <v>16955555.359999999</v>
      </c>
      <c r="E58" s="48">
        <v>158668.94</v>
      </c>
      <c r="F58" s="48">
        <v>3014862.76</v>
      </c>
      <c r="G58" s="48">
        <f t="shared" si="1"/>
        <v>13782023.659999998</v>
      </c>
      <c r="H58" s="48">
        <f t="shared" si="3"/>
        <v>7.0000000000000009</v>
      </c>
      <c r="I58" s="48">
        <f t="shared" si="3"/>
        <v>85.914285714285711</v>
      </c>
      <c r="J58" s="48">
        <v>31</v>
      </c>
      <c r="K58" s="111">
        <v>0</v>
      </c>
      <c r="L58" s="48">
        <f>Inputs!G115+Inputs!I115+Inputs!L115+Inputs!O115+Inputs!R115+Inputs!AA115</f>
        <v>7581</v>
      </c>
      <c r="M58" s="48">
        <v>0</v>
      </c>
      <c r="N58" s="48">
        <f t="shared" si="2"/>
        <v>13439957.572923243</v>
      </c>
      <c r="O58"/>
      <c r="P58"/>
      <c r="Q58"/>
      <c r="R58"/>
      <c r="S58"/>
      <c r="T58"/>
    </row>
    <row r="59" spans="1:20">
      <c r="A59" s="47">
        <v>44104</v>
      </c>
      <c r="B59" s="48">
        <f>Inputs!D116</f>
        <v>14451425.119999997</v>
      </c>
      <c r="C59" s="48">
        <f>Inputs!E116</f>
        <v>189577.9</v>
      </c>
      <c r="D59" s="48">
        <f t="shared" si="0"/>
        <v>14641003.019999998</v>
      </c>
      <c r="E59" s="48">
        <v>149561.73000000001</v>
      </c>
      <c r="F59" s="48">
        <v>3076655.74</v>
      </c>
      <c r="G59" s="48">
        <f t="shared" si="1"/>
        <v>11414785.549999997</v>
      </c>
      <c r="H59" s="48">
        <f t="shared" si="3"/>
        <v>64.128571428571405</v>
      </c>
      <c r="I59" s="48">
        <f t="shared" si="3"/>
        <v>32.057142857142857</v>
      </c>
      <c r="J59" s="48">
        <v>30</v>
      </c>
      <c r="K59" s="111">
        <v>1</v>
      </c>
      <c r="L59" s="48">
        <f>Inputs!G116+Inputs!I116+Inputs!L116+Inputs!O116+Inputs!R116+Inputs!AA116</f>
        <v>7596</v>
      </c>
      <c r="M59" s="48">
        <v>0</v>
      </c>
      <c r="N59" s="48">
        <f t="shared" si="2"/>
        <v>11165667.087819284</v>
      </c>
      <c r="O59"/>
      <c r="P59"/>
      <c r="Q59"/>
      <c r="R59"/>
      <c r="S59"/>
      <c r="T59"/>
    </row>
    <row r="60" spans="1:20">
      <c r="A60" s="47">
        <v>44135</v>
      </c>
      <c r="B60" s="48">
        <f>Inputs!D117</f>
        <v>14304932.470000003</v>
      </c>
      <c r="C60" s="48">
        <f>Inputs!E117</f>
        <v>116353.45999999999</v>
      </c>
      <c r="D60" s="48">
        <f t="shared" si="0"/>
        <v>14421285.930000003</v>
      </c>
      <c r="E60" s="48">
        <v>146356.07999999999</v>
      </c>
      <c r="F60" s="48">
        <v>3018748.12</v>
      </c>
      <c r="G60" s="48">
        <f t="shared" si="1"/>
        <v>11256181.730000004</v>
      </c>
      <c r="H60" s="48">
        <f t="shared" si="3"/>
        <v>231.97142857142856</v>
      </c>
      <c r="I60" s="48">
        <f t="shared" si="3"/>
        <v>4.5000000000000009</v>
      </c>
      <c r="J60" s="48">
        <v>31</v>
      </c>
      <c r="K60" s="111">
        <v>1</v>
      </c>
      <c r="L60" s="48">
        <f>Inputs!G117+Inputs!I117+Inputs!L117+Inputs!O117+Inputs!R117+Inputs!AA117</f>
        <v>7650</v>
      </c>
      <c r="M60" s="48">
        <v>0</v>
      </c>
      <c r="N60" s="48">
        <f t="shared" si="2"/>
        <v>11084283.497673756</v>
      </c>
      <c r="O60"/>
      <c r="P60"/>
      <c r="Q60"/>
      <c r="R60"/>
      <c r="S60"/>
      <c r="T60"/>
    </row>
    <row r="61" spans="1:20">
      <c r="A61" s="47">
        <v>44165</v>
      </c>
      <c r="B61" s="48">
        <f>Inputs!D118</f>
        <v>14279909.410000002</v>
      </c>
      <c r="C61" s="48">
        <f>Inputs!E118</f>
        <v>82903.28</v>
      </c>
      <c r="D61" s="48">
        <f t="shared" si="0"/>
        <v>14362812.690000001</v>
      </c>
      <c r="E61" s="48">
        <v>165563.92000000001</v>
      </c>
      <c r="F61" s="48">
        <v>2950185.69</v>
      </c>
      <c r="G61" s="48">
        <f t="shared" si="1"/>
        <v>11247063.080000002</v>
      </c>
      <c r="H61" s="48">
        <f t="shared" si="3"/>
        <v>438.47142857142859</v>
      </c>
      <c r="I61" s="48">
        <f t="shared" si="3"/>
        <v>5.7142857142857148E-2</v>
      </c>
      <c r="J61" s="48">
        <v>30</v>
      </c>
      <c r="K61" s="111">
        <v>0</v>
      </c>
      <c r="L61" s="48">
        <f>Inputs!G118+Inputs!I118+Inputs!L118+Inputs!O118+Inputs!R118+Inputs!AA118</f>
        <v>7665</v>
      </c>
      <c r="M61" s="48">
        <v>0</v>
      </c>
      <c r="N61" s="48">
        <f t="shared" si="2"/>
        <v>11522512.486907307</v>
      </c>
      <c r="O61"/>
      <c r="P61"/>
      <c r="Q61"/>
      <c r="R61"/>
      <c r="S61"/>
      <c r="T61"/>
    </row>
    <row r="62" spans="1:20">
      <c r="A62" s="47">
        <v>44196</v>
      </c>
      <c r="B62" s="48">
        <f>Inputs!D119</f>
        <v>14921507.26</v>
      </c>
      <c r="C62" s="48">
        <f>Inputs!E119</f>
        <v>40422.69</v>
      </c>
      <c r="D62" s="48">
        <f t="shared" si="0"/>
        <v>14961929.949999999</v>
      </c>
      <c r="E62" s="48">
        <v>196766.91999999998</v>
      </c>
      <c r="F62" s="48">
        <v>2363231.4300000002</v>
      </c>
      <c r="G62" s="48">
        <f t="shared" si="1"/>
        <v>12401931.6</v>
      </c>
      <c r="H62" s="48">
        <f t="shared" si="3"/>
        <v>589.25714285714287</v>
      </c>
      <c r="I62" s="48">
        <f t="shared" si="3"/>
        <v>0</v>
      </c>
      <c r="J62" s="48">
        <v>31</v>
      </c>
      <c r="K62" s="111">
        <v>0</v>
      </c>
      <c r="L62" s="48">
        <f>Inputs!G119+Inputs!I119+Inputs!L119+Inputs!O119+Inputs!R119+Inputs!AA119</f>
        <v>7688</v>
      </c>
      <c r="M62" s="48">
        <v>0</v>
      </c>
      <c r="N62" s="48">
        <f t="shared" si="2"/>
        <v>12174536.949688183</v>
      </c>
      <c r="O62"/>
      <c r="P62"/>
      <c r="Q62"/>
      <c r="R62"/>
      <c r="S62"/>
      <c r="T62"/>
    </row>
    <row r="63" spans="1:20">
      <c r="A63" s="47">
        <v>44227</v>
      </c>
      <c r="B63" s="48">
        <f>Inputs!D120</f>
        <v>15381838.239999998</v>
      </c>
      <c r="C63" s="48">
        <f>Inputs!E120</f>
        <v>41700.25</v>
      </c>
      <c r="D63" s="48">
        <f t="shared" si="0"/>
        <v>15423538.489999998</v>
      </c>
      <c r="E63" s="48">
        <v>543748.41999999993</v>
      </c>
      <c r="F63" s="48">
        <v>2652843.8200000003</v>
      </c>
      <c r="G63" s="48">
        <f t="shared" si="1"/>
        <v>12226946.249999998</v>
      </c>
      <c r="H63" s="48">
        <f t="shared" si="3"/>
        <v>698.71428571428567</v>
      </c>
      <c r="I63" s="48">
        <f t="shared" si="3"/>
        <v>0</v>
      </c>
      <c r="J63" s="48">
        <v>31</v>
      </c>
      <c r="K63" s="111">
        <v>0</v>
      </c>
      <c r="L63" s="48">
        <f>Inputs!G120+Inputs!I120+Inputs!L120+Inputs!O120+Inputs!R120+Inputs!AA120</f>
        <v>7720</v>
      </c>
      <c r="M63" s="48">
        <v>0</v>
      </c>
      <c r="N63" s="48">
        <f t="shared" si="2"/>
        <v>12434621.725538325</v>
      </c>
      <c r="O63"/>
      <c r="P63"/>
      <c r="Q63"/>
      <c r="R63"/>
      <c r="S63"/>
      <c r="T63"/>
    </row>
    <row r="64" spans="1:20">
      <c r="A64" s="47">
        <v>44255</v>
      </c>
      <c r="B64" s="48">
        <f>Inputs!D121</f>
        <v>14338372.879999999</v>
      </c>
      <c r="C64" s="48">
        <f>Inputs!E121</f>
        <v>36904.899999999994</v>
      </c>
      <c r="D64" s="48">
        <f t="shared" si="0"/>
        <v>14375277.779999999</v>
      </c>
      <c r="E64" s="48">
        <v>463830.81</v>
      </c>
      <c r="F64" s="48">
        <v>2406118.8199999998</v>
      </c>
      <c r="G64" s="48">
        <f t="shared" si="1"/>
        <v>11505328.149999999</v>
      </c>
      <c r="H64" s="48">
        <f t="shared" si="3"/>
        <v>609.08571428571418</v>
      </c>
      <c r="I64" s="48">
        <f t="shared" si="3"/>
        <v>0</v>
      </c>
      <c r="J64" s="48">
        <v>28</v>
      </c>
      <c r="K64" s="111">
        <v>0</v>
      </c>
      <c r="L64" s="48">
        <f>Inputs!G121+Inputs!I121+Inputs!L121+Inputs!O121+Inputs!R121+Inputs!AA121</f>
        <v>7739</v>
      </c>
      <c r="M64" s="48">
        <v>0</v>
      </c>
      <c r="N64" s="48">
        <f t="shared" si="2"/>
        <v>11306503.931401437</v>
      </c>
      <c r="O64"/>
      <c r="P64"/>
      <c r="Q64"/>
      <c r="R64"/>
      <c r="S64"/>
      <c r="T64"/>
    </row>
    <row r="65" spans="1:20">
      <c r="A65" s="47">
        <v>44286</v>
      </c>
      <c r="B65" s="48">
        <f>Inputs!D122</f>
        <v>14839569.93</v>
      </c>
      <c r="C65" s="48">
        <f>Inputs!E122</f>
        <v>197009.1</v>
      </c>
      <c r="D65" s="48">
        <f t="shared" si="0"/>
        <v>15036579.029999999</v>
      </c>
      <c r="E65" s="48">
        <v>537531.31000000006</v>
      </c>
      <c r="F65" s="48">
        <v>2855575.39</v>
      </c>
      <c r="G65" s="48">
        <f t="shared" si="1"/>
        <v>11643472.329999998</v>
      </c>
      <c r="H65" s="48">
        <f t="shared" si="3"/>
        <v>523.14285714285711</v>
      </c>
      <c r="I65" s="48">
        <f t="shared" si="3"/>
        <v>0</v>
      </c>
      <c r="J65" s="48">
        <v>31</v>
      </c>
      <c r="K65" s="111">
        <v>1</v>
      </c>
      <c r="L65" s="48">
        <f>Inputs!G122+Inputs!I122+Inputs!L122+Inputs!O122+Inputs!R122+Inputs!AA122</f>
        <v>7764</v>
      </c>
      <c r="M65" s="48">
        <v>0</v>
      </c>
      <c r="N65" s="48">
        <f t="shared" si="2"/>
        <v>11688865.419754524</v>
      </c>
      <c r="O65"/>
      <c r="P65"/>
      <c r="Q65"/>
      <c r="R65"/>
      <c r="S65"/>
      <c r="T65"/>
    </row>
    <row r="66" spans="1:20">
      <c r="A66" s="47">
        <v>44316</v>
      </c>
      <c r="B66" s="48">
        <f>Inputs!D123</f>
        <v>12258026.33</v>
      </c>
      <c r="C66" s="48">
        <f>Inputs!E123</f>
        <v>195594.22999999998</v>
      </c>
      <c r="D66" s="48">
        <f t="shared" si="0"/>
        <v>12453620.560000001</v>
      </c>
      <c r="E66" s="48">
        <v>208735.52999999997</v>
      </c>
      <c r="F66" s="48">
        <v>2127833.12</v>
      </c>
      <c r="G66" s="48">
        <f t="shared" si="1"/>
        <v>10117051.91</v>
      </c>
      <c r="H66" s="48">
        <f t="shared" si="3"/>
        <v>357.7</v>
      </c>
      <c r="I66" s="48">
        <f t="shared" si="3"/>
        <v>0</v>
      </c>
      <c r="J66" s="48">
        <v>30</v>
      </c>
      <c r="K66" s="111">
        <v>1</v>
      </c>
      <c r="L66" s="48">
        <f>Inputs!G123+Inputs!I123+Inputs!L123+Inputs!O123+Inputs!R123+Inputs!AA123</f>
        <v>7789</v>
      </c>
      <c r="M66" s="48">
        <v>0</v>
      </c>
      <c r="N66" s="48">
        <f t="shared" si="2"/>
        <v>11083920.185613982</v>
      </c>
      <c r="O66"/>
      <c r="P66"/>
      <c r="Q66"/>
      <c r="R66"/>
      <c r="S66"/>
      <c r="T66"/>
    </row>
    <row r="67" spans="1:20">
      <c r="A67" s="47">
        <v>44347</v>
      </c>
      <c r="B67" s="48">
        <f>Inputs!D124</f>
        <v>13244338.23</v>
      </c>
      <c r="C67" s="48">
        <f>Inputs!E124</f>
        <v>234500.96000000002</v>
      </c>
      <c r="D67" s="48">
        <f t="shared" ref="D67:D86" si="4">B67+C67</f>
        <v>13478839.190000001</v>
      </c>
      <c r="E67" s="48">
        <v>137709.51999999999</v>
      </c>
      <c r="F67" s="48">
        <v>2246884.9300000002</v>
      </c>
      <c r="G67" s="48">
        <f t="shared" si="1"/>
        <v>11094244.740000002</v>
      </c>
      <c r="H67" s="48">
        <f t="shared" si="3"/>
        <v>160</v>
      </c>
      <c r="I67" s="48">
        <f t="shared" si="3"/>
        <v>19.771428571428572</v>
      </c>
      <c r="J67" s="48">
        <v>31</v>
      </c>
      <c r="K67" s="111">
        <v>1</v>
      </c>
      <c r="L67" s="48">
        <f>Inputs!G124+Inputs!I124+Inputs!L124+Inputs!O124+Inputs!R124+Inputs!AA124</f>
        <v>7811</v>
      </c>
      <c r="M67" s="48">
        <v>0</v>
      </c>
      <c r="N67" s="48">
        <f t="shared" si="2"/>
        <v>11657229.292129317</v>
      </c>
      <c r="O67"/>
      <c r="P67"/>
      <c r="Q67"/>
      <c r="R67"/>
      <c r="S67"/>
      <c r="T67"/>
    </row>
    <row r="68" spans="1:20">
      <c r="A68" s="47">
        <v>44377</v>
      </c>
      <c r="B68" s="48">
        <f>Inputs!D125</f>
        <v>15554413.700000001</v>
      </c>
      <c r="C68" s="48">
        <f>Inputs!E125</f>
        <v>235576.17000000004</v>
      </c>
      <c r="D68" s="48">
        <f t="shared" si="4"/>
        <v>15789989.870000001</v>
      </c>
      <c r="E68" s="48">
        <v>157595.26999999999</v>
      </c>
      <c r="F68" s="48">
        <v>2636157.2999999998</v>
      </c>
      <c r="G68" s="48">
        <f t="shared" ref="G68:G86" si="5">D68-E68-F68</f>
        <v>12996237.300000001</v>
      </c>
      <c r="H68" s="48">
        <f t="shared" si="3"/>
        <v>33.1</v>
      </c>
      <c r="I68" s="48">
        <f t="shared" si="3"/>
        <v>53.285714285714285</v>
      </c>
      <c r="J68" s="48">
        <v>30</v>
      </c>
      <c r="K68" s="111">
        <v>0</v>
      </c>
      <c r="L68" s="48">
        <f>Inputs!G125+Inputs!I125+Inputs!L125+Inputs!O125+Inputs!R125+Inputs!AA125</f>
        <v>7846</v>
      </c>
      <c r="M68" s="48">
        <v>0</v>
      </c>
      <c r="N68" s="48">
        <f t="shared" ref="N68:N110" si="6">$W$18+$W$19*H68+$W$20*I68+$W$21*J68+$W$22*K68+$W$23*L68+M68*$W$24</f>
        <v>12616730.333328974</v>
      </c>
      <c r="O68"/>
      <c r="P68"/>
      <c r="Q68"/>
      <c r="R68"/>
      <c r="S68"/>
      <c r="T68"/>
    </row>
    <row r="69" spans="1:20">
      <c r="A69" s="47">
        <v>44408</v>
      </c>
      <c r="B69" s="48">
        <f>Inputs!D126</f>
        <v>15685342.790000003</v>
      </c>
      <c r="C69" s="48">
        <f>Inputs!E126</f>
        <v>213581.17999999996</v>
      </c>
      <c r="D69" s="48">
        <f t="shared" si="4"/>
        <v>15898923.970000003</v>
      </c>
      <c r="E69" s="48">
        <v>155916.87</v>
      </c>
      <c r="F69" s="48">
        <v>2079124.17</v>
      </c>
      <c r="G69" s="48">
        <f t="shared" si="5"/>
        <v>13663882.930000003</v>
      </c>
      <c r="H69" s="48">
        <f t="shared" si="3"/>
        <v>2.2428571428571429</v>
      </c>
      <c r="I69" s="48">
        <f t="shared" si="3"/>
        <v>103.11428571428571</v>
      </c>
      <c r="J69" s="48">
        <v>31</v>
      </c>
      <c r="K69" s="111">
        <v>0</v>
      </c>
      <c r="L69" s="48">
        <f>Inputs!G126+Inputs!I126+Inputs!L126+Inputs!O126+Inputs!R126+Inputs!AA126</f>
        <v>7883</v>
      </c>
      <c r="M69" s="48">
        <v>0</v>
      </c>
      <c r="N69" s="48">
        <f t="shared" si="6"/>
        <v>14423838.861197166</v>
      </c>
      <c r="O69"/>
      <c r="P69"/>
      <c r="Q69"/>
      <c r="R69"/>
      <c r="S69"/>
      <c r="T69"/>
    </row>
    <row r="70" spans="1:20">
      <c r="A70" s="47">
        <v>44439</v>
      </c>
      <c r="B70" s="48">
        <f>Inputs!D127</f>
        <v>17774632.540000003</v>
      </c>
      <c r="C70" s="48">
        <f>Inputs!E127</f>
        <v>222339.34000000003</v>
      </c>
      <c r="D70" s="48">
        <f t="shared" si="4"/>
        <v>17996971.880000003</v>
      </c>
      <c r="E70" s="48">
        <v>171945.79</v>
      </c>
      <c r="F70" s="48">
        <v>2857704.54</v>
      </c>
      <c r="G70" s="48">
        <f t="shared" si="5"/>
        <v>14967321.550000004</v>
      </c>
      <c r="H70" s="48">
        <f t="shared" si="3"/>
        <v>7.0000000000000009</v>
      </c>
      <c r="I70" s="48">
        <f t="shared" si="3"/>
        <v>85.914285714285711</v>
      </c>
      <c r="J70" s="48">
        <v>31</v>
      </c>
      <c r="K70" s="111">
        <v>0</v>
      </c>
      <c r="L70" s="48">
        <f>Inputs!G127+Inputs!I127+Inputs!L127+Inputs!O127+Inputs!R127+Inputs!AA127</f>
        <v>7901</v>
      </c>
      <c r="M70" s="48">
        <v>0</v>
      </c>
      <c r="N70" s="48">
        <f t="shared" si="6"/>
        <v>13951621.562034341</v>
      </c>
      <c r="O70"/>
      <c r="P70"/>
      <c r="Q70"/>
      <c r="R70"/>
      <c r="S70"/>
      <c r="T70"/>
    </row>
    <row r="71" spans="1:20">
      <c r="A71" s="47">
        <v>44469</v>
      </c>
      <c r="B71" s="48">
        <f>Inputs!D128</f>
        <v>14020372.270000001</v>
      </c>
      <c r="C71" s="48">
        <f>Inputs!E128</f>
        <v>193179.75</v>
      </c>
      <c r="D71" s="48">
        <f t="shared" si="4"/>
        <v>14213552.020000001</v>
      </c>
      <c r="E71" s="48">
        <v>148189.84</v>
      </c>
      <c r="F71" s="48">
        <v>2457487.63</v>
      </c>
      <c r="G71" s="48">
        <f t="shared" si="5"/>
        <v>11607874.550000001</v>
      </c>
      <c r="H71" s="48">
        <f t="shared" si="3"/>
        <v>64.128571428571405</v>
      </c>
      <c r="I71" s="48">
        <f t="shared" si="3"/>
        <v>32.057142857142857</v>
      </c>
      <c r="J71" s="48">
        <v>30</v>
      </c>
      <c r="K71" s="111">
        <v>1</v>
      </c>
      <c r="L71" s="48">
        <f>Inputs!G128+Inputs!I128+Inputs!L128+Inputs!O128+Inputs!R128+Inputs!AA128</f>
        <v>7934</v>
      </c>
      <c r="M71" s="48">
        <v>0</v>
      </c>
      <c r="N71" s="48">
        <f t="shared" si="6"/>
        <v>11706112.17631788</v>
      </c>
      <c r="O71"/>
      <c r="P71"/>
      <c r="Q71"/>
      <c r="R71"/>
      <c r="S71"/>
      <c r="T71"/>
    </row>
    <row r="72" spans="1:20">
      <c r="A72" s="47">
        <v>44500</v>
      </c>
      <c r="B72" s="48">
        <f>Inputs!D129</f>
        <v>13896446.370000001</v>
      </c>
      <c r="C72" s="48">
        <f>Inputs!E129</f>
        <v>100673.29000000002</v>
      </c>
      <c r="D72" s="48">
        <f t="shared" si="4"/>
        <v>13997119.66</v>
      </c>
      <c r="E72" s="48">
        <v>161878.74</v>
      </c>
      <c r="F72" s="48">
        <v>2421664.91</v>
      </c>
      <c r="G72" s="48">
        <f t="shared" si="5"/>
        <v>11413576.01</v>
      </c>
      <c r="H72" s="48">
        <f t="shared" si="3"/>
        <v>231.97142857142856</v>
      </c>
      <c r="I72" s="48">
        <f t="shared" si="3"/>
        <v>4.5000000000000009</v>
      </c>
      <c r="J72" s="48">
        <v>31</v>
      </c>
      <c r="K72" s="111">
        <v>1</v>
      </c>
      <c r="L72" s="48">
        <f>Inputs!G129+Inputs!I129+Inputs!L129+Inputs!O129+Inputs!R129+Inputs!AA129</f>
        <v>7977</v>
      </c>
      <c r="M72" s="48">
        <v>0</v>
      </c>
      <c r="N72" s="48">
        <f t="shared" si="6"/>
        <v>11607140.136546658</v>
      </c>
      <c r="O72"/>
      <c r="P72"/>
      <c r="Q72"/>
      <c r="R72"/>
      <c r="S72"/>
      <c r="T72"/>
    </row>
    <row r="73" spans="1:20">
      <c r="A73" s="47">
        <v>44530</v>
      </c>
      <c r="B73" s="48">
        <f>Inputs!D130</f>
        <v>14538013.570000002</v>
      </c>
      <c r="C73" s="48">
        <f>Inputs!E130</f>
        <v>75643.289999999994</v>
      </c>
      <c r="D73" s="48">
        <f t="shared" si="4"/>
        <v>14613656.860000001</v>
      </c>
      <c r="E73" s="48">
        <v>216918.55</v>
      </c>
      <c r="F73" s="48">
        <v>2535706.0500000003</v>
      </c>
      <c r="G73" s="48">
        <f t="shared" si="5"/>
        <v>11861032.26</v>
      </c>
      <c r="H73" s="48">
        <f t="shared" si="3"/>
        <v>438.47142857142859</v>
      </c>
      <c r="I73" s="48">
        <f t="shared" si="3"/>
        <v>5.7142857142857148E-2</v>
      </c>
      <c r="J73" s="48">
        <v>30</v>
      </c>
      <c r="K73" s="111">
        <v>0</v>
      </c>
      <c r="L73" s="48">
        <f>Inputs!G130+Inputs!I130+Inputs!L130+Inputs!O130+Inputs!R130+Inputs!AA130</f>
        <v>8016</v>
      </c>
      <c r="M73" s="48">
        <v>0</v>
      </c>
      <c r="N73" s="48">
        <f t="shared" si="6"/>
        <v>12083743.924963545</v>
      </c>
      <c r="O73"/>
      <c r="P73"/>
      <c r="Q73"/>
      <c r="R73"/>
      <c r="S73"/>
      <c r="T73"/>
    </row>
    <row r="74" spans="1:20">
      <c r="A74" s="47">
        <v>44561</v>
      </c>
      <c r="B74" s="48">
        <f>Inputs!D131</f>
        <v>14738839.719999997</v>
      </c>
      <c r="C74" s="48">
        <f>Inputs!E131</f>
        <v>46959.739999999991</v>
      </c>
      <c r="D74" s="48">
        <f t="shared" si="4"/>
        <v>14785799.459999997</v>
      </c>
      <c r="E74" s="48">
        <v>205565.01</v>
      </c>
      <c r="F74" s="48">
        <v>2333799.2400000002</v>
      </c>
      <c r="G74" s="48">
        <f t="shared" si="5"/>
        <v>12246435.209999997</v>
      </c>
      <c r="H74" s="48">
        <f t="shared" si="3"/>
        <v>589.25714285714287</v>
      </c>
      <c r="I74" s="48">
        <f t="shared" si="3"/>
        <v>0</v>
      </c>
      <c r="J74" s="48">
        <v>31</v>
      </c>
      <c r="K74" s="111">
        <v>0</v>
      </c>
      <c r="L74" s="48">
        <f>Inputs!G131+Inputs!I131+Inputs!L131+Inputs!O131+Inputs!R131+Inputs!AA131</f>
        <v>8043</v>
      </c>
      <c r="M74" s="48">
        <v>0</v>
      </c>
      <c r="N74" s="48">
        <f t="shared" si="6"/>
        <v>12742164.187608309</v>
      </c>
      <c r="O74"/>
      <c r="P74"/>
      <c r="Q74"/>
      <c r="R74"/>
      <c r="S74"/>
      <c r="T74"/>
    </row>
    <row r="75" spans="1:20">
      <c r="A75" s="47">
        <v>44592</v>
      </c>
      <c r="B75" s="48">
        <f>Inputs!D132</f>
        <v>16412005.120000001</v>
      </c>
      <c r="C75" s="48">
        <f>Inputs!E132</f>
        <v>39551.119999999995</v>
      </c>
      <c r="D75" s="48">
        <f t="shared" si="4"/>
        <v>16451556.24</v>
      </c>
      <c r="E75" s="48">
        <v>229885.46</v>
      </c>
      <c r="F75" s="48">
        <v>2704683.5200000005</v>
      </c>
      <c r="G75" s="48">
        <f t="shared" si="5"/>
        <v>13516987.259999998</v>
      </c>
      <c r="H75" s="48">
        <f t="shared" si="3"/>
        <v>698.71428571428567</v>
      </c>
      <c r="I75" s="48">
        <f t="shared" si="3"/>
        <v>0</v>
      </c>
      <c r="J75" s="48">
        <v>31</v>
      </c>
      <c r="K75" s="111">
        <v>0</v>
      </c>
      <c r="L75" s="48">
        <f>Inputs!G132+Inputs!I132+Inputs!L132+Inputs!O132+Inputs!R132+Inputs!AA132</f>
        <v>8062</v>
      </c>
      <c r="M75" s="48">
        <v>0</v>
      </c>
      <c r="N75" s="48">
        <f t="shared" si="6"/>
        <v>12981462.61390081</v>
      </c>
      <c r="O75"/>
      <c r="P75"/>
      <c r="Q75"/>
      <c r="R75"/>
      <c r="S75"/>
      <c r="T75"/>
    </row>
    <row r="76" spans="1:20">
      <c r="A76" s="47">
        <v>44620</v>
      </c>
      <c r="B76" s="48">
        <f>Inputs!D133</f>
        <v>14716423.85</v>
      </c>
      <c r="C76" s="48">
        <f>Inputs!E133</f>
        <v>71042.73</v>
      </c>
      <c r="D76" s="48">
        <f t="shared" si="4"/>
        <v>14787466.58</v>
      </c>
      <c r="E76" s="48">
        <v>215471.86000000002</v>
      </c>
      <c r="F76" s="48">
        <v>2459020.0700000003</v>
      </c>
      <c r="G76" s="48">
        <f t="shared" si="5"/>
        <v>12112974.65</v>
      </c>
      <c r="H76" s="48">
        <f t="shared" si="3"/>
        <v>609.08571428571418</v>
      </c>
      <c r="I76" s="48">
        <f t="shared" si="3"/>
        <v>0</v>
      </c>
      <c r="J76" s="48">
        <v>28</v>
      </c>
      <c r="K76" s="111">
        <v>0</v>
      </c>
      <c r="L76" s="48">
        <f>Inputs!G133+Inputs!I133+Inputs!L133+Inputs!O133+Inputs!R133+Inputs!AA133</f>
        <v>8086</v>
      </c>
      <c r="M76" s="48">
        <v>0</v>
      </c>
      <c r="N76" s="48">
        <f t="shared" si="6"/>
        <v>11861339.569593783</v>
      </c>
      <c r="O76"/>
      <c r="P76"/>
      <c r="Q76"/>
      <c r="R76"/>
      <c r="S76"/>
      <c r="T76"/>
    </row>
    <row r="77" spans="1:20">
      <c r="A77" s="47">
        <v>44651</v>
      </c>
      <c r="B77" s="48">
        <f>Inputs!D134</f>
        <v>15784695.399999995</v>
      </c>
      <c r="C77" s="48">
        <f>Inputs!E134</f>
        <v>118490.18000000001</v>
      </c>
      <c r="D77" s="48">
        <f t="shared" si="4"/>
        <v>15903185.579999994</v>
      </c>
      <c r="E77" s="48">
        <v>258483.46000000002</v>
      </c>
      <c r="F77" s="48">
        <v>2650068.8200000003</v>
      </c>
      <c r="G77" s="48">
        <f t="shared" si="5"/>
        <v>12994633.299999993</v>
      </c>
      <c r="H77" s="48">
        <f t="shared" si="3"/>
        <v>523.14285714285711</v>
      </c>
      <c r="I77" s="48">
        <f t="shared" si="3"/>
        <v>0</v>
      </c>
      <c r="J77" s="48">
        <v>31</v>
      </c>
      <c r="K77" s="111">
        <v>1</v>
      </c>
      <c r="L77" s="48">
        <f>Inputs!G134+Inputs!I134+Inputs!L134+Inputs!O134+Inputs!R134+Inputs!AA134</f>
        <v>8093</v>
      </c>
      <c r="M77" s="48">
        <v>0</v>
      </c>
      <c r="N77" s="48">
        <f t="shared" si="6"/>
        <v>12214919.958559372</v>
      </c>
      <c r="O77"/>
      <c r="P77"/>
      <c r="Q77"/>
      <c r="R77"/>
      <c r="S77"/>
      <c r="T77"/>
    </row>
    <row r="78" spans="1:20">
      <c r="A78" s="47">
        <v>44681</v>
      </c>
      <c r="B78" s="48">
        <f>Inputs!D135</f>
        <v>13400986.82</v>
      </c>
      <c r="C78" s="48">
        <f>Inputs!E135</f>
        <v>183397.94000000003</v>
      </c>
      <c r="D78" s="48">
        <f t="shared" si="4"/>
        <v>13584384.76</v>
      </c>
      <c r="E78" s="48">
        <v>215327.68000000002</v>
      </c>
      <c r="F78" s="48">
        <v>2124042.29</v>
      </c>
      <c r="G78" s="48">
        <f t="shared" si="5"/>
        <v>11245014.789999999</v>
      </c>
      <c r="H78" s="48">
        <f t="shared" si="3"/>
        <v>357.7</v>
      </c>
      <c r="I78" s="48">
        <f t="shared" si="3"/>
        <v>0</v>
      </c>
      <c r="J78" s="48">
        <v>30</v>
      </c>
      <c r="K78" s="111">
        <v>1</v>
      </c>
      <c r="L78" s="48">
        <f>Inputs!G135+Inputs!I135+Inputs!L135+Inputs!O135+Inputs!R135+Inputs!AA135</f>
        <v>8106</v>
      </c>
      <c r="M78" s="48">
        <v>0</v>
      </c>
      <c r="N78" s="48">
        <f t="shared" si="6"/>
        <v>11590787.324827164</v>
      </c>
      <c r="O78"/>
      <c r="P78"/>
      <c r="Q78"/>
      <c r="R78"/>
      <c r="S78"/>
      <c r="T78"/>
    </row>
    <row r="79" spans="1:20">
      <c r="A79" s="47">
        <v>44712</v>
      </c>
      <c r="B79" s="48">
        <f>Inputs!D136</f>
        <v>14301607.030000005</v>
      </c>
      <c r="C79" s="48">
        <f>Inputs!E136</f>
        <v>237124.88999999996</v>
      </c>
      <c r="D79" s="48">
        <f t="shared" si="4"/>
        <v>14538731.920000006</v>
      </c>
      <c r="E79" s="48">
        <v>190188.46999999997</v>
      </c>
      <c r="F79" s="48">
        <v>2149731.92</v>
      </c>
      <c r="G79" s="48">
        <f t="shared" si="5"/>
        <v>12198811.530000005</v>
      </c>
      <c r="H79" s="48">
        <f t="shared" si="3"/>
        <v>160</v>
      </c>
      <c r="I79" s="48">
        <f t="shared" si="3"/>
        <v>19.771428571428572</v>
      </c>
      <c r="J79" s="48">
        <v>31</v>
      </c>
      <c r="K79" s="111">
        <v>1</v>
      </c>
      <c r="L79" s="48">
        <f>Inputs!G136+Inputs!I136+Inputs!L136+Inputs!O136+Inputs!R136+Inputs!AA136</f>
        <v>8119</v>
      </c>
      <c r="M79" s="48">
        <v>0</v>
      </c>
      <c r="N79" s="48">
        <f t="shared" si="6"/>
        <v>12149705.881648751</v>
      </c>
      <c r="O79"/>
      <c r="P79"/>
      <c r="Q79"/>
      <c r="R79"/>
      <c r="S79"/>
      <c r="T79"/>
    </row>
    <row r="80" spans="1:20">
      <c r="A80" s="47">
        <v>44742</v>
      </c>
      <c r="B80" s="48">
        <f>Inputs!D137</f>
        <v>15576117.430000002</v>
      </c>
      <c r="C80" s="48">
        <f>Inputs!E137</f>
        <v>248877.21999999997</v>
      </c>
      <c r="D80" s="48">
        <f t="shared" si="4"/>
        <v>15824994.650000002</v>
      </c>
      <c r="E80" s="48">
        <v>186475.58000000002</v>
      </c>
      <c r="F80" s="48">
        <v>2378714.67</v>
      </c>
      <c r="G80" s="48">
        <f t="shared" si="5"/>
        <v>13259804.400000002</v>
      </c>
      <c r="H80" s="48">
        <f t="shared" ref="H80:I86" si="7">H68</f>
        <v>33.1</v>
      </c>
      <c r="I80" s="48">
        <f t="shared" si="7"/>
        <v>53.285714285714285</v>
      </c>
      <c r="J80" s="48">
        <v>30</v>
      </c>
      <c r="K80" s="111">
        <v>0</v>
      </c>
      <c r="L80" s="48">
        <f>Inputs!G137+Inputs!I137+Inputs!L137+Inputs!O137+Inputs!R137+Inputs!AA137</f>
        <v>8166</v>
      </c>
      <c r="M80" s="48">
        <v>0</v>
      </c>
      <c r="N80" s="48">
        <f t="shared" si="6"/>
        <v>13128394.322440073</v>
      </c>
      <c r="O80"/>
      <c r="P80"/>
      <c r="Q80"/>
      <c r="R80"/>
      <c r="S80"/>
      <c r="T80"/>
    </row>
    <row r="81" spans="1:20">
      <c r="A81" s="47">
        <v>44773</v>
      </c>
      <c r="B81" s="48">
        <f>Inputs!D138</f>
        <v>17012436.870000001</v>
      </c>
      <c r="C81" s="48">
        <f>Inputs!E138</f>
        <v>229151.86</v>
      </c>
      <c r="D81" s="48">
        <f t="shared" si="4"/>
        <v>17241588.73</v>
      </c>
      <c r="E81" s="48">
        <v>188489.26</v>
      </c>
      <c r="F81" s="48">
        <v>2333898.79</v>
      </c>
      <c r="G81" s="48">
        <f t="shared" si="5"/>
        <v>14719200.68</v>
      </c>
      <c r="H81" s="48">
        <f t="shared" si="7"/>
        <v>2.2428571428571429</v>
      </c>
      <c r="I81" s="48">
        <f t="shared" si="7"/>
        <v>103.11428571428571</v>
      </c>
      <c r="J81" s="48">
        <v>31</v>
      </c>
      <c r="K81" s="111">
        <v>0</v>
      </c>
      <c r="L81" s="48">
        <f>Inputs!G138+Inputs!I138+Inputs!L138+Inputs!O138+Inputs!R138+Inputs!AA138</f>
        <v>8192</v>
      </c>
      <c r="M81" s="48">
        <v>0</v>
      </c>
      <c r="N81" s="48">
        <f t="shared" si="6"/>
        <v>14917914.40068257</v>
      </c>
      <c r="O81"/>
      <c r="P81"/>
      <c r="Q81"/>
      <c r="R81"/>
      <c r="S81"/>
      <c r="T81"/>
    </row>
    <row r="82" spans="1:20">
      <c r="A82" s="47">
        <v>44804</v>
      </c>
      <c r="B82" s="48">
        <f>Inputs!D139</f>
        <v>17747489.990000002</v>
      </c>
      <c r="C82" s="48">
        <f>Inputs!E139</f>
        <v>216120.18</v>
      </c>
      <c r="D82" s="48">
        <f t="shared" si="4"/>
        <v>17963610.170000002</v>
      </c>
      <c r="E82" s="48">
        <v>201468.34999999998</v>
      </c>
      <c r="F82" s="48">
        <v>2759316.12</v>
      </c>
      <c r="G82" s="48">
        <f t="shared" si="5"/>
        <v>15002825.699999999</v>
      </c>
      <c r="H82" s="48">
        <f t="shared" si="7"/>
        <v>7.0000000000000009</v>
      </c>
      <c r="I82" s="48">
        <f t="shared" si="7"/>
        <v>85.914285714285711</v>
      </c>
      <c r="J82" s="48">
        <v>31</v>
      </c>
      <c r="K82" s="111">
        <v>0</v>
      </c>
      <c r="L82" s="48">
        <f>Inputs!G139+Inputs!I139+Inputs!L139+Inputs!O139+Inputs!R139+Inputs!AA139</f>
        <v>8221</v>
      </c>
      <c r="M82" s="48">
        <v>0</v>
      </c>
      <c r="N82" s="48">
        <f t="shared" si="6"/>
        <v>14463285.55114544</v>
      </c>
      <c r="O82"/>
      <c r="P82"/>
      <c r="Q82"/>
      <c r="R82"/>
      <c r="S82"/>
      <c r="T82"/>
    </row>
    <row r="83" spans="1:20">
      <c r="A83" s="47">
        <v>44834</v>
      </c>
      <c r="B83" s="48">
        <f>Inputs!D140</f>
        <v>14825218.609999998</v>
      </c>
      <c r="C83" s="48">
        <f>Inputs!E140</f>
        <v>177422.69</v>
      </c>
      <c r="D83" s="48">
        <f t="shared" si="4"/>
        <v>15002641.299999997</v>
      </c>
      <c r="E83" s="48">
        <v>184986.37</v>
      </c>
      <c r="F83" s="48">
        <v>2284987.33</v>
      </c>
      <c r="G83" s="48">
        <f t="shared" si="5"/>
        <v>12532667.599999998</v>
      </c>
      <c r="H83" s="48">
        <f t="shared" si="7"/>
        <v>64.128571428571405</v>
      </c>
      <c r="I83" s="48">
        <f t="shared" si="7"/>
        <v>32.057142857142857</v>
      </c>
      <c r="J83" s="48">
        <v>30</v>
      </c>
      <c r="K83" s="111">
        <v>1</v>
      </c>
      <c r="L83" s="48">
        <f>Inputs!G140+Inputs!I140+Inputs!L140+Inputs!O140+Inputs!R140+Inputs!AA140</f>
        <v>8244</v>
      </c>
      <c r="M83" s="48">
        <v>0</v>
      </c>
      <c r="N83" s="48">
        <f t="shared" si="6"/>
        <v>12201786.665769257</v>
      </c>
      <c r="O83"/>
      <c r="P83"/>
      <c r="Q83"/>
      <c r="R83"/>
      <c r="S83"/>
      <c r="T83"/>
    </row>
    <row r="84" spans="1:20">
      <c r="A84" s="47">
        <v>44865</v>
      </c>
      <c r="B84" s="48">
        <f>Inputs!D141</f>
        <v>13962206.960000001</v>
      </c>
      <c r="C84" s="48">
        <f>Inputs!E141</f>
        <v>150969.89999999997</v>
      </c>
      <c r="D84" s="48">
        <f t="shared" si="4"/>
        <v>14113176.860000001</v>
      </c>
      <c r="E84" s="48">
        <v>203934.89</v>
      </c>
      <c r="F84" s="48">
        <v>2142061.7199999997</v>
      </c>
      <c r="G84" s="48">
        <f t="shared" si="5"/>
        <v>11767180.25</v>
      </c>
      <c r="H84" s="48">
        <f t="shared" si="7"/>
        <v>231.97142857142856</v>
      </c>
      <c r="I84" s="48">
        <f t="shared" si="7"/>
        <v>4.5000000000000009</v>
      </c>
      <c r="J84" s="48">
        <v>31</v>
      </c>
      <c r="K84" s="111">
        <v>1</v>
      </c>
      <c r="L84" s="48">
        <f>Inputs!G141+Inputs!I141+Inputs!L141+Inputs!O141+Inputs!R141+Inputs!AA141</f>
        <v>8288</v>
      </c>
      <c r="M84" s="48">
        <v>0</v>
      </c>
      <c r="N84" s="48">
        <f t="shared" si="6"/>
        <v>12104413.575964008</v>
      </c>
      <c r="O84"/>
      <c r="P84"/>
      <c r="Q84"/>
      <c r="R84"/>
      <c r="S84"/>
      <c r="T84"/>
    </row>
    <row r="85" spans="1:20">
      <c r="A85" s="47">
        <v>44895</v>
      </c>
      <c r="B85" s="48">
        <f>Inputs!D142</f>
        <v>14546118.099999998</v>
      </c>
      <c r="C85" s="48">
        <f>Inputs!E142</f>
        <v>89129.83</v>
      </c>
      <c r="D85" s="48">
        <f t="shared" si="4"/>
        <v>14635247.929999998</v>
      </c>
      <c r="E85" s="48">
        <v>227343.93</v>
      </c>
      <c r="F85" s="48">
        <v>2384245.9500000002</v>
      </c>
      <c r="G85" s="48">
        <f t="shared" si="5"/>
        <v>12023658.049999997</v>
      </c>
      <c r="H85" s="48">
        <f t="shared" si="7"/>
        <v>438.47142857142859</v>
      </c>
      <c r="I85" s="48">
        <f t="shared" si="7"/>
        <v>5.7142857142857148E-2</v>
      </c>
      <c r="J85" s="48">
        <v>30</v>
      </c>
      <c r="K85" s="111">
        <v>0</v>
      </c>
      <c r="L85" s="48">
        <f>Inputs!G142+Inputs!I142+Inputs!L142+Inputs!O142+Inputs!R142+Inputs!AA142</f>
        <v>8301</v>
      </c>
      <c r="M85" s="48">
        <v>0</v>
      </c>
      <c r="N85" s="48">
        <f t="shared" si="6"/>
        <v>12539444.665265616</v>
      </c>
      <c r="O85"/>
      <c r="P85"/>
      <c r="Q85"/>
      <c r="R85"/>
      <c r="S85"/>
      <c r="T85"/>
    </row>
    <row r="86" spans="1:20">
      <c r="A86" s="47">
        <v>44926</v>
      </c>
      <c r="B86" s="48">
        <f>Inputs!D143</f>
        <v>15060786.930000003</v>
      </c>
      <c r="C86" s="48">
        <f>Inputs!E143</f>
        <v>37383.910000000003</v>
      </c>
      <c r="D86" s="48">
        <f t="shared" si="4"/>
        <v>15098170.840000004</v>
      </c>
      <c r="E86" s="48">
        <v>219977.99</v>
      </c>
      <c r="F86" s="48">
        <v>2024507.74</v>
      </c>
      <c r="G86" s="48">
        <f t="shared" si="5"/>
        <v>12853685.110000003</v>
      </c>
      <c r="H86" s="48">
        <f t="shared" si="7"/>
        <v>589.25714285714287</v>
      </c>
      <c r="I86" s="48">
        <f t="shared" si="7"/>
        <v>0</v>
      </c>
      <c r="J86" s="48">
        <v>31</v>
      </c>
      <c r="K86" s="111">
        <v>0</v>
      </c>
      <c r="L86" s="48">
        <f>Inputs!G143+Inputs!I143+Inputs!L143+Inputs!O143+Inputs!R143+Inputs!AA143</f>
        <v>8315</v>
      </c>
      <c r="M86" s="48">
        <v>0</v>
      </c>
      <c r="N86" s="48">
        <f t="shared" si="6"/>
        <v>13177078.578352742</v>
      </c>
      <c r="O86"/>
      <c r="P86"/>
      <c r="Q86"/>
      <c r="R86"/>
      <c r="S86"/>
      <c r="T86"/>
    </row>
    <row r="87" spans="1:20">
      <c r="A87" s="47">
        <v>44957</v>
      </c>
      <c r="B87" s="48"/>
      <c r="C87" s="48"/>
      <c r="D87" s="48"/>
      <c r="E87" s="48"/>
      <c r="F87" s="48"/>
      <c r="G87" s="48"/>
      <c r="H87" s="56">
        <f>(H3+H15+H27+H39+H51+H63+H75)/7</f>
        <v>698.71428571428555</v>
      </c>
      <c r="I87" s="56">
        <f>(I3+I15+I27+I39+I51+I63+I75)/7</f>
        <v>0</v>
      </c>
      <c r="J87" s="94">
        <v>31</v>
      </c>
      <c r="K87" s="112">
        <v>0</v>
      </c>
      <c r="L87" s="97">
        <f>'Rate Class Customer Model'!Q12</f>
        <v>8327.2413739661624</v>
      </c>
      <c r="M87" s="48">
        <v>0</v>
      </c>
      <c r="N87" s="48">
        <f t="shared" si="6"/>
        <v>13405570.29977842</v>
      </c>
      <c r="O87"/>
      <c r="P87"/>
      <c r="Q87"/>
      <c r="R87"/>
      <c r="S87"/>
      <c r="T87"/>
    </row>
    <row r="88" spans="1:20">
      <c r="A88" s="47">
        <v>44985</v>
      </c>
      <c r="B88" s="48"/>
      <c r="C88" s="48"/>
      <c r="D88" s="48"/>
      <c r="E88" s="48"/>
      <c r="F88" s="48"/>
      <c r="G88" s="48"/>
      <c r="H88" s="56">
        <f t="shared" ref="H88:I98" si="8">(H4+H16+H28+H40+H52+H64+H76)/7</f>
        <v>609.08571428571406</v>
      </c>
      <c r="I88" s="56">
        <f t="shared" si="8"/>
        <v>0</v>
      </c>
      <c r="J88" s="94">
        <v>28</v>
      </c>
      <c r="K88" s="112">
        <v>0</v>
      </c>
      <c r="L88" s="97">
        <f>'Rate Class Customer Model'!Q13</f>
        <v>8339.5007697286655</v>
      </c>
      <c r="M88" s="48">
        <v>0</v>
      </c>
      <c r="N88" s="48">
        <f t="shared" si="6"/>
        <v>12266674.616725355</v>
      </c>
      <c r="O88" s="32"/>
      <c r="R88" s="135"/>
      <c r="S88" s="135"/>
      <c r="T88" s="135"/>
    </row>
    <row r="89" spans="1:20">
      <c r="A89" s="47">
        <v>45016</v>
      </c>
      <c r="B89" s="48"/>
      <c r="C89" s="48"/>
      <c r="D89" s="48"/>
      <c r="E89" s="48"/>
      <c r="F89" s="48"/>
      <c r="G89" s="48"/>
      <c r="H89" s="56">
        <f t="shared" si="8"/>
        <v>523.142857142857</v>
      </c>
      <c r="I89" s="56">
        <f t="shared" si="8"/>
        <v>0</v>
      </c>
      <c r="J89" s="94">
        <v>31</v>
      </c>
      <c r="K89" s="112">
        <v>1</v>
      </c>
      <c r="L89" s="97">
        <f>'Rate Class Customer Model'!Q14</f>
        <v>8351.778213819267</v>
      </c>
      <c r="M89" s="48">
        <v>0</v>
      </c>
      <c r="N89" s="48">
        <f t="shared" si="6"/>
        <v>12628693.374740031</v>
      </c>
      <c r="O89" s="32"/>
      <c r="R89" s="135"/>
      <c r="S89" s="135"/>
      <c r="T89" s="135"/>
    </row>
    <row r="90" spans="1:20">
      <c r="A90" s="47">
        <v>45046</v>
      </c>
      <c r="B90" s="48"/>
      <c r="C90" s="48"/>
      <c r="D90" s="48"/>
      <c r="E90" s="48"/>
      <c r="F90" s="48"/>
      <c r="G90" s="48"/>
      <c r="H90" s="56">
        <f t="shared" si="8"/>
        <v>357.69999999999993</v>
      </c>
      <c r="I90" s="56">
        <f t="shared" si="8"/>
        <v>0</v>
      </c>
      <c r="J90" s="94">
        <v>30</v>
      </c>
      <c r="K90" s="112">
        <v>1</v>
      </c>
      <c r="L90" s="97">
        <f>'Rate Class Customer Model'!Q15</f>
        <v>8364.0737328087816</v>
      </c>
      <c r="M90" s="48">
        <v>0</v>
      </c>
      <c r="N90" s="48">
        <f t="shared" si="6"/>
        <v>12003434.311120082</v>
      </c>
      <c r="O90" s="32"/>
      <c r="R90" s="135"/>
      <c r="S90" s="135"/>
      <c r="T90" s="135"/>
    </row>
    <row r="91" spans="1:20">
      <c r="A91" s="47">
        <v>45077</v>
      </c>
      <c r="B91" s="48"/>
      <c r="C91" s="48"/>
      <c r="D91" s="48"/>
      <c r="E91" s="48"/>
      <c r="F91" s="48"/>
      <c r="G91" s="48"/>
      <c r="H91" s="56">
        <f t="shared" si="8"/>
        <v>160</v>
      </c>
      <c r="I91" s="56">
        <f t="shared" si="8"/>
        <v>19.771428571428572</v>
      </c>
      <c r="J91" s="94">
        <v>31</v>
      </c>
      <c r="K91" s="112">
        <v>1</v>
      </c>
      <c r="L91" s="97">
        <f>'Rate Class Customer Model'!Q16</f>
        <v>8376.3873533071419</v>
      </c>
      <c r="M91" s="48">
        <v>0</v>
      </c>
      <c r="N91" s="48">
        <f t="shared" si="6"/>
        <v>12561255.381460875</v>
      </c>
      <c r="O91" s="32"/>
      <c r="R91" s="135"/>
      <c r="S91" s="135"/>
      <c r="T91" s="135"/>
    </row>
    <row r="92" spans="1:20">
      <c r="A92" s="47">
        <v>45107</v>
      </c>
      <c r="B92" s="48"/>
      <c r="C92" s="48"/>
      <c r="D92" s="48"/>
      <c r="E92" s="48"/>
      <c r="F92" s="48"/>
      <c r="G92" s="48"/>
      <c r="H92" s="56">
        <f t="shared" si="8"/>
        <v>33.1</v>
      </c>
      <c r="I92" s="56">
        <f t="shared" si="8"/>
        <v>53.285714285714285</v>
      </c>
      <c r="J92" s="94">
        <v>30</v>
      </c>
      <c r="K92" s="112">
        <v>0</v>
      </c>
      <c r="L92" s="97">
        <f>'Rate Class Customer Model'!Q17</f>
        <v>8388.7191019634574</v>
      </c>
      <c r="M92" s="48">
        <v>0</v>
      </c>
      <c r="N92" s="48">
        <f t="shared" si="6"/>
        <v>13484511.022945898</v>
      </c>
      <c r="O92" s="32"/>
      <c r="R92" s="135"/>
      <c r="S92" s="135"/>
      <c r="T92" s="135"/>
    </row>
    <row r="93" spans="1:20">
      <c r="A93" s="47">
        <v>45138</v>
      </c>
      <c r="B93" s="48"/>
      <c r="C93" s="48"/>
      <c r="D93" s="48"/>
      <c r="E93" s="48"/>
      <c r="F93" s="48"/>
      <c r="G93" s="48"/>
      <c r="H93" s="56">
        <f t="shared" si="8"/>
        <v>2.2428571428571433</v>
      </c>
      <c r="I93" s="56">
        <f t="shared" si="8"/>
        <v>103.11428571428573</v>
      </c>
      <c r="J93" s="94">
        <v>31</v>
      </c>
      <c r="K93" s="112">
        <v>0</v>
      </c>
      <c r="L93" s="97">
        <f>'Rate Class Customer Model'!Q18</f>
        <v>8401.0690054660699</v>
      </c>
      <c r="M93" s="48">
        <v>0</v>
      </c>
      <c r="N93" s="48">
        <f t="shared" si="6"/>
        <v>15252205.279858381</v>
      </c>
      <c r="O93" s="32"/>
      <c r="P93"/>
      <c r="Q93"/>
      <c r="R93" s="135"/>
      <c r="S93" s="135"/>
      <c r="T93" s="135"/>
    </row>
    <row r="94" spans="1:20">
      <c r="A94" s="47">
        <v>45169</v>
      </c>
      <c r="B94" s="48"/>
      <c r="C94" s="48"/>
      <c r="D94" s="48"/>
      <c r="E94" s="48"/>
      <c r="F94" s="48"/>
      <c r="G94" s="48"/>
      <c r="H94" s="56">
        <f t="shared" si="8"/>
        <v>7.0000000000000009</v>
      </c>
      <c r="I94" s="56">
        <f t="shared" si="8"/>
        <v>85.914285714285711</v>
      </c>
      <c r="J94" s="94">
        <v>31</v>
      </c>
      <c r="K94" s="112">
        <v>0</v>
      </c>
      <c r="L94" s="97">
        <f>'Rate Class Customer Model'!Q19</f>
        <v>8413.4370905426113</v>
      </c>
      <c r="M94" s="48">
        <v>0</v>
      </c>
      <c r="N94" s="48">
        <f t="shared" si="6"/>
        <v>14770982.830520334</v>
      </c>
      <c r="O94" s="32"/>
      <c r="P94"/>
      <c r="Q94"/>
      <c r="R94" s="135"/>
      <c r="S94" s="135"/>
      <c r="T94" s="135"/>
    </row>
    <row r="95" spans="1:20">
      <c r="A95" s="47">
        <v>45199</v>
      </c>
      <c r="B95" s="48"/>
      <c r="C95" s="48"/>
      <c r="D95" s="48"/>
      <c r="E95" s="48"/>
      <c r="F95" s="48"/>
      <c r="G95" s="48"/>
      <c r="H95" s="56">
        <f t="shared" si="8"/>
        <v>64.128571428571391</v>
      </c>
      <c r="I95" s="56">
        <f t="shared" si="8"/>
        <v>32.057142857142857</v>
      </c>
      <c r="J95" s="94">
        <v>30</v>
      </c>
      <c r="K95" s="112">
        <v>1</v>
      </c>
      <c r="L95" s="97">
        <f>'Rate Class Customer Model'!Q20</f>
        <v>8425.8233839600634</v>
      </c>
      <c r="M95" s="48">
        <v>0</v>
      </c>
      <c r="N95" s="48">
        <f t="shared" si="6"/>
        <v>12492513.159365147</v>
      </c>
      <c r="O95" s="32"/>
      <c r="P95"/>
      <c r="Q95"/>
      <c r="R95" s="135"/>
      <c r="S95" s="135"/>
      <c r="T95" s="135"/>
    </row>
    <row r="96" spans="1:20">
      <c r="A96" s="47">
        <v>45230</v>
      </c>
      <c r="B96" s="48"/>
      <c r="C96" s="48"/>
      <c r="D96" s="48"/>
      <c r="E96" s="48"/>
      <c r="F96" s="48"/>
      <c r="G96" s="48"/>
      <c r="H96" s="56">
        <f t="shared" si="8"/>
        <v>231.97142857142856</v>
      </c>
      <c r="I96" s="56">
        <f t="shared" si="8"/>
        <v>4.5000000000000009</v>
      </c>
      <c r="J96" s="94">
        <v>31</v>
      </c>
      <c r="K96" s="112">
        <v>1</v>
      </c>
      <c r="L96" s="97">
        <f>'Rate Class Customer Model'!Q21</f>
        <v>8438.2279125248133</v>
      </c>
      <c r="M96" s="48">
        <v>0</v>
      </c>
      <c r="N96" s="48">
        <f t="shared" si="6"/>
        <v>12344620.49158363</v>
      </c>
      <c r="O96" s="32"/>
      <c r="P96"/>
      <c r="Q96"/>
      <c r="R96" s="135"/>
      <c r="S96" s="135"/>
      <c r="T96" s="135"/>
    </row>
    <row r="97" spans="1:20">
      <c r="A97" s="47">
        <v>45260</v>
      </c>
      <c r="B97" s="48"/>
      <c r="C97" s="48"/>
      <c r="D97" s="48"/>
      <c r="E97" s="48"/>
      <c r="F97" s="48"/>
      <c r="G97" s="48"/>
      <c r="H97" s="56">
        <f t="shared" si="8"/>
        <v>438.47142857142859</v>
      </c>
      <c r="I97" s="56">
        <f t="shared" si="8"/>
        <v>5.7142857142857155E-2</v>
      </c>
      <c r="J97" s="94">
        <v>30</v>
      </c>
      <c r="K97" s="112">
        <v>0</v>
      </c>
      <c r="L97" s="97">
        <f>'Rate Class Customer Model'!Q22</f>
        <v>8450.6507030827124</v>
      </c>
      <c r="M97" s="48">
        <v>0</v>
      </c>
      <c r="N97" s="48">
        <f t="shared" si="6"/>
        <v>12778728.651867433</v>
      </c>
      <c r="O97" s="32"/>
      <c r="P97"/>
      <c r="Q97"/>
      <c r="R97" s="135"/>
      <c r="S97" s="135"/>
      <c r="T97" s="135"/>
    </row>
    <row r="98" spans="1:20">
      <c r="A98" s="47">
        <v>45291</v>
      </c>
      <c r="B98" s="48"/>
      <c r="C98" s="48"/>
      <c r="D98" s="48"/>
      <c r="E98" s="48"/>
      <c r="F98" s="48"/>
      <c r="G98" s="48"/>
      <c r="H98" s="56">
        <f t="shared" si="8"/>
        <v>589.25714285714287</v>
      </c>
      <c r="I98" s="56">
        <f t="shared" si="8"/>
        <v>0</v>
      </c>
      <c r="J98" s="94">
        <v>31</v>
      </c>
      <c r="K98" s="112">
        <v>0</v>
      </c>
      <c r="L98" s="97">
        <f>'Rate Class Customer Model'!Q23</f>
        <v>8463.0917825191336</v>
      </c>
      <c r="M98" s="48">
        <v>0</v>
      </c>
      <c r="N98" s="48">
        <f t="shared" si="6"/>
        <v>13413869.928972472</v>
      </c>
      <c r="O98" s="32"/>
      <c r="P98"/>
      <c r="Q98"/>
      <c r="R98" s="135"/>
      <c r="S98" s="135"/>
      <c r="T98" s="135"/>
    </row>
    <row r="99" spans="1:20">
      <c r="A99" s="47">
        <v>45322</v>
      </c>
      <c r="B99" s="48"/>
      <c r="C99" s="48"/>
      <c r="D99" s="48"/>
      <c r="E99" s="48"/>
      <c r="F99" s="48"/>
      <c r="G99" s="48"/>
      <c r="H99" s="56">
        <f>H87</f>
        <v>698.71428571428555</v>
      </c>
      <c r="I99" s="56">
        <f>I87</f>
        <v>0</v>
      </c>
      <c r="J99" s="94">
        <v>31</v>
      </c>
      <c r="K99" s="112">
        <v>0</v>
      </c>
      <c r="L99" s="97">
        <f>'Rate Class Customer Model'!R12</f>
        <v>8485.9271318984902</v>
      </c>
      <c r="M99" s="48">
        <v>0</v>
      </c>
      <c r="N99" s="48">
        <f t="shared" si="6"/>
        <v>13659300.887024587</v>
      </c>
      <c r="O99" s="32"/>
      <c r="P99"/>
      <c r="Q99"/>
      <c r="R99" s="135"/>
      <c r="S99" s="135"/>
      <c r="T99" s="135"/>
    </row>
    <row r="100" spans="1:20">
      <c r="A100" s="47">
        <v>45351</v>
      </c>
      <c r="B100" s="48"/>
      <c r="C100" s="48"/>
      <c r="D100" s="48"/>
      <c r="E100" s="48"/>
      <c r="F100" s="48"/>
      <c r="G100" s="48"/>
      <c r="H100" s="56">
        <f t="shared" ref="H100:I110" si="9">H88</f>
        <v>609.08571428571406</v>
      </c>
      <c r="I100" s="56">
        <f t="shared" si="9"/>
        <v>0</v>
      </c>
      <c r="J100" s="94">
        <v>29</v>
      </c>
      <c r="K100" s="112">
        <v>0</v>
      </c>
      <c r="L100" s="97">
        <f>'Rate Class Customer Model'!R13</f>
        <v>8508.8240962519812</v>
      </c>
      <c r="M100" s="48">
        <v>0</v>
      </c>
      <c r="N100" s="48">
        <f t="shared" si="6"/>
        <v>12866556.081605302</v>
      </c>
      <c r="O100" s="32"/>
      <c r="P100"/>
      <c r="Q100"/>
      <c r="R100" s="135"/>
      <c r="S100" s="135"/>
      <c r="T100" s="135"/>
    </row>
    <row r="101" spans="1:20">
      <c r="A101" s="47">
        <v>45382</v>
      </c>
      <c r="B101" s="48"/>
      <c r="C101" s="48"/>
      <c r="D101" s="48"/>
      <c r="E101" s="48"/>
      <c r="F101" s="48"/>
      <c r="G101" s="48"/>
      <c r="H101" s="56">
        <f t="shared" si="9"/>
        <v>523.142857142857</v>
      </c>
      <c r="I101" s="56">
        <f t="shared" si="9"/>
        <v>0</v>
      </c>
      <c r="J101" s="94">
        <v>31</v>
      </c>
      <c r="K101" s="112">
        <v>1</v>
      </c>
      <c r="L101" s="97">
        <f>'Rate Class Customer Model'!R14</f>
        <v>8531.7828418308418</v>
      </c>
      <c r="M101" s="48">
        <v>0</v>
      </c>
      <c r="N101" s="48">
        <f t="shared" si="6"/>
        <v>12916511.768573975</v>
      </c>
      <c r="O101" s="32"/>
      <c r="P101"/>
      <c r="Q101"/>
      <c r="R101" s="135"/>
      <c r="S101" s="135"/>
      <c r="T101" s="135"/>
    </row>
    <row r="102" spans="1:20">
      <c r="A102" s="47">
        <v>45412</v>
      </c>
      <c r="B102" s="48"/>
      <c r="C102" s="48"/>
      <c r="D102" s="48"/>
      <c r="E102" s="48"/>
      <c r="F102" s="48"/>
      <c r="G102" s="48"/>
      <c r="H102" s="56">
        <f t="shared" si="9"/>
        <v>357.69999999999993</v>
      </c>
      <c r="I102" s="56">
        <f t="shared" si="9"/>
        <v>0</v>
      </c>
      <c r="J102" s="94">
        <v>30</v>
      </c>
      <c r="K102" s="112">
        <v>1</v>
      </c>
      <c r="L102" s="97">
        <f>'Rate Class Customer Model'!R15</f>
        <v>8554.8035353348914</v>
      </c>
      <c r="M102" s="48">
        <v>0</v>
      </c>
      <c r="N102" s="48">
        <f t="shared" si="6"/>
        <v>12308401.722379085</v>
      </c>
      <c r="O102" s="32"/>
      <c r="P102"/>
      <c r="Q102"/>
      <c r="R102" s="135"/>
      <c r="S102" s="135"/>
      <c r="T102" s="135"/>
    </row>
    <row r="103" spans="1:20">
      <c r="A103" s="47">
        <v>45443</v>
      </c>
      <c r="B103" s="48"/>
      <c r="C103" s="48"/>
      <c r="D103" s="48"/>
      <c r="E103" s="48"/>
      <c r="F103" s="48"/>
      <c r="G103" s="48"/>
      <c r="H103" s="56">
        <f t="shared" si="9"/>
        <v>160</v>
      </c>
      <c r="I103" s="56">
        <f t="shared" si="9"/>
        <v>19.771428571428572</v>
      </c>
      <c r="J103" s="94">
        <v>31</v>
      </c>
      <c r="K103" s="112">
        <v>1</v>
      </c>
      <c r="L103" s="97">
        <f>'Rate Class Customer Model'!R16</f>
        <v>8577.8863439137422</v>
      </c>
      <c r="M103" s="48">
        <v>0</v>
      </c>
      <c r="N103" s="48">
        <f t="shared" si="6"/>
        <v>12883442.185634729</v>
      </c>
      <c r="O103" s="32"/>
      <c r="P103"/>
      <c r="Q103"/>
      <c r="R103" s="135"/>
      <c r="S103" s="135"/>
      <c r="T103" s="135"/>
    </row>
    <row r="104" spans="1:20">
      <c r="A104" s="47">
        <v>45473</v>
      </c>
      <c r="B104" s="48"/>
      <c r="C104" s="48"/>
      <c r="D104" s="48"/>
      <c r="E104" s="48"/>
      <c r="F104" s="48"/>
      <c r="G104" s="48"/>
      <c r="H104" s="56">
        <f t="shared" si="9"/>
        <v>33.1</v>
      </c>
      <c r="I104" s="56">
        <f t="shared" si="9"/>
        <v>53.285714285714285</v>
      </c>
      <c r="J104" s="94">
        <v>30</v>
      </c>
      <c r="K104" s="112">
        <v>0</v>
      </c>
      <c r="L104" s="97">
        <f>'Rate Class Customer Model'!R17</f>
        <v>8601.0314351680136</v>
      </c>
      <c r="M104" s="48">
        <v>0</v>
      </c>
      <c r="N104" s="48">
        <f t="shared" si="6"/>
        <v>13823987.820898797</v>
      </c>
      <c r="O104" s="32"/>
      <c r="P104"/>
      <c r="Q104"/>
      <c r="R104" s="135"/>
      <c r="S104" s="135"/>
      <c r="T104" s="135"/>
    </row>
    <row r="105" spans="1:20">
      <c r="A105" s="47">
        <v>45504</v>
      </c>
      <c r="B105" s="48"/>
      <c r="C105" s="48"/>
      <c r="D105" s="48"/>
      <c r="E105" s="48"/>
      <c r="F105" s="48"/>
      <c r="G105" s="48"/>
      <c r="H105" s="56">
        <f t="shared" si="9"/>
        <v>2.2428571428571433</v>
      </c>
      <c r="I105" s="56">
        <f t="shared" si="9"/>
        <v>103.11428571428573</v>
      </c>
      <c r="J105" s="94">
        <v>31</v>
      </c>
      <c r="K105" s="112">
        <v>0</v>
      </c>
      <c r="L105" s="97">
        <f>'Rate Class Customer Model'!R18</f>
        <v>8624.2389771505532</v>
      </c>
      <c r="M105" s="48">
        <v>0</v>
      </c>
      <c r="N105" s="48">
        <f t="shared" si="6"/>
        <v>15609042.898489298</v>
      </c>
      <c r="O105" s="32"/>
      <c r="P105"/>
      <c r="Q105"/>
      <c r="R105" s="135"/>
      <c r="S105" s="135"/>
      <c r="T105" s="135"/>
    </row>
    <row r="106" spans="1:20">
      <c r="A106" s="47">
        <v>45535</v>
      </c>
      <c r="B106" s="48"/>
      <c r="C106" s="48"/>
      <c r="D106" s="48"/>
      <c r="E106" s="48"/>
      <c r="F106" s="48"/>
      <c r="G106" s="48"/>
      <c r="H106" s="56">
        <f t="shared" si="9"/>
        <v>7.0000000000000009</v>
      </c>
      <c r="I106" s="56">
        <f t="shared" si="9"/>
        <v>85.914285714285711</v>
      </c>
      <c r="J106" s="94">
        <v>31</v>
      </c>
      <c r="K106" s="112">
        <v>0</v>
      </c>
      <c r="L106" s="97">
        <f>'Rate Class Customer Model'!R19</f>
        <v>8647.5091383676499</v>
      </c>
      <c r="M106" s="48">
        <v>0</v>
      </c>
      <c r="N106" s="48">
        <f t="shared" si="6"/>
        <v>15145252.323425218</v>
      </c>
      <c r="O106" s="32"/>
      <c r="P106"/>
      <c r="Q106"/>
      <c r="R106" s="135"/>
      <c r="S106" s="135"/>
      <c r="T106" s="135"/>
    </row>
    <row r="107" spans="1:20">
      <c r="A107" s="47">
        <v>45565</v>
      </c>
      <c r="B107" s="48"/>
      <c r="C107" s="48"/>
      <c r="D107" s="48"/>
      <c r="E107" s="48"/>
      <c r="F107" s="48"/>
      <c r="G107" s="48"/>
      <c r="H107" s="56">
        <f t="shared" si="9"/>
        <v>64.128571428571391</v>
      </c>
      <c r="I107" s="56">
        <f t="shared" si="9"/>
        <v>32.057142857142857</v>
      </c>
      <c r="J107" s="94">
        <v>30</v>
      </c>
      <c r="K107" s="112">
        <v>1</v>
      </c>
      <c r="L107" s="97">
        <f>'Rate Class Customer Model'!R20</f>
        <v>8670.8420877802619</v>
      </c>
      <c r="M107" s="48">
        <v>0</v>
      </c>
      <c r="N107" s="48">
        <f t="shared" si="6"/>
        <v>12884285.807501003</v>
      </c>
      <c r="O107" s="32"/>
      <c r="P107"/>
      <c r="Q107"/>
      <c r="R107" s="135"/>
      <c r="S107" s="135"/>
      <c r="T107" s="135"/>
    </row>
    <row r="108" spans="1:20">
      <c r="A108" s="47">
        <v>45596</v>
      </c>
      <c r="B108" s="48"/>
      <c r="C108" s="48"/>
      <c r="D108" s="48"/>
      <c r="E108" s="48"/>
      <c r="F108" s="48"/>
      <c r="G108" s="48"/>
      <c r="H108" s="56">
        <f t="shared" si="9"/>
        <v>231.97142857142856</v>
      </c>
      <c r="I108" s="56">
        <f t="shared" si="9"/>
        <v>4.5000000000000009</v>
      </c>
      <c r="J108" s="94">
        <v>31</v>
      </c>
      <c r="K108" s="112">
        <v>1</v>
      </c>
      <c r="L108" s="97">
        <f>'Rate Class Customer Model'!R21</f>
        <v>8694.2379948052421</v>
      </c>
      <c r="M108" s="48">
        <v>0</v>
      </c>
      <c r="N108" s="48">
        <f t="shared" si="6"/>
        <v>12753967.803934457</v>
      </c>
      <c r="O108" s="32"/>
      <c r="P108"/>
      <c r="Q108"/>
      <c r="R108" s="135"/>
      <c r="S108" s="135"/>
      <c r="T108" s="135"/>
    </row>
    <row r="109" spans="1:20">
      <c r="A109" s="47">
        <v>45626</v>
      </c>
      <c r="B109" s="48"/>
      <c r="C109" s="48"/>
      <c r="D109" s="48"/>
      <c r="E109" s="48"/>
      <c r="F109" s="48"/>
      <c r="G109" s="48"/>
      <c r="H109" s="56">
        <f t="shared" si="9"/>
        <v>438.47142857142859</v>
      </c>
      <c r="I109" s="56">
        <f t="shared" si="9"/>
        <v>5.7142857142857155E-2</v>
      </c>
      <c r="J109" s="94">
        <v>30</v>
      </c>
      <c r="K109" s="112">
        <v>0</v>
      </c>
      <c r="L109" s="97">
        <f>'Rate Class Customer Model'!R22</f>
        <v>8717.6970293165705</v>
      </c>
      <c r="M109" s="48">
        <v>0</v>
      </c>
      <c r="N109" s="48">
        <f t="shared" si="6"/>
        <v>13205722.366112057</v>
      </c>
      <c r="O109" s="32"/>
      <c r="R109" s="135"/>
      <c r="S109" s="135"/>
      <c r="T109" s="135"/>
    </row>
    <row r="110" spans="1:20">
      <c r="A110" s="47">
        <v>45657</v>
      </c>
      <c r="B110" s="48"/>
      <c r="C110" s="48"/>
      <c r="D110" s="48"/>
      <c r="E110" s="48"/>
      <c r="F110" s="48"/>
      <c r="G110" s="48"/>
      <c r="H110" s="56">
        <f t="shared" si="9"/>
        <v>589.25714285714287</v>
      </c>
      <c r="I110" s="56">
        <f t="shared" si="9"/>
        <v>0</v>
      </c>
      <c r="J110" s="94">
        <v>31</v>
      </c>
      <c r="K110" s="112">
        <v>0</v>
      </c>
      <c r="L110" s="97">
        <f>'Rate Class Customer Model'!R23</f>
        <v>8741.2193616465847</v>
      </c>
      <c r="M110" s="48">
        <v>0</v>
      </c>
      <c r="N110" s="48">
        <f t="shared" si="6"/>
        <v>13858582.012154235</v>
      </c>
      <c r="O110" s="32"/>
      <c r="R110" s="135"/>
      <c r="S110" s="135"/>
      <c r="T110" s="135"/>
    </row>
    <row r="111" spans="1:20">
      <c r="A111" s="33"/>
      <c r="J111" s="10"/>
      <c r="K111" s="58"/>
    </row>
    <row r="112" spans="1:20">
      <c r="A112" s="33"/>
      <c r="J112" s="10"/>
      <c r="K112" s="58"/>
      <c r="S112" s="169"/>
    </row>
    <row r="113" spans="1:20" ht="12.6" customHeight="1">
      <c r="A113" s="33"/>
      <c r="H113" s="99" t="s">
        <v>124</v>
      </c>
      <c r="I113" s="96"/>
      <c r="J113" s="10"/>
      <c r="K113" s="58"/>
      <c r="S113" s="169"/>
    </row>
    <row r="114" spans="1:20">
      <c r="A114" s="33"/>
      <c r="H114" s="100" t="s">
        <v>89</v>
      </c>
      <c r="I114" s="98"/>
      <c r="J114" s="10"/>
      <c r="K114" s="58"/>
      <c r="N114" s="32">
        <f>SUM(N2:N110)</f>
        <v>1297543448.4066703</v>
      </c>
      <c r="S114" s="169"/>
    </row>
    <row r="115" spans="1:20">
      <c r="A115" s="33"/>
      <c r="J115" s="10"/>
      <c r="K115" s="58"/>
      <c r="O115" s="52" t="s">
        <v>134</v>
      </c>
      <c r="P115" s="52" t="s">
        <v>135</v>
      </c>
      <c r="Q115" s="52" t="s">
        <v>106</v>
      </c>
      <c r="S115" s="169"/>
    </row>
    <row r="116" spans="1:20">
      <c r="A116" s="27">
        <v>2016</v>
      </c>
      <c r="B116" s="6">
        <f>SUM(B3:B14)</f>
        <v>199907738.60000002</v>
      </c>
      <c r="D116" s="6">
        <f>SUM(D3:D14)</f>
        <v>201771248.14999998</v>
      </c>
      <c r="E116" s="6">
        <f>SUM(E3:E14)</f>
        <v>15515215.030000001</v>
      </c>
      <c r="F116" s="6">
        <f>SUM(F3:F14)</f>
        <v>51080246.740000002</v>
      </c>
      <c r="G116" s="6">
        <f>SUM(G3:G14)</f>
        <v>135175786.38</v>
      </c>
      <c r="N116" s="6">
        <f>SUM(N3:N14)</f>
        <v>131427874.71896955</v>
      </c>
      <c r="O116" s="6">
        <f>E116</f>
        <v>15515215.030000001</v>
      </c>
      <c r="P116" s="6">
        <f>F116</f>
        <v>51080246.740000002</v>
      </c>
      <c r="Q116" s="6">
        <f t="shared" ref="Q116:Q124" si="10">N116+O116+P116</f>
        <v>198023336.48896956</v>
      </c>
      <c r="R116" s="5"/>
      <c r="S116" s="5"/>
      <c r="T116" s="6"/>
    </row>
    <row r="117" spans="1:20">
      <c r="A117" s="27">
        <v>2017</v>
      </c>
      <c r="B117" s="6">
        <f>SUM(B15:B26)</f>
        <v>187853870.12</v>
      </c>
      <c r="D117" s="6">
        <f>SUM(D15:D26)</f>
        <v>189637460.56999999</v>
      </c>
      <c r="E117" s="6">
        <f>SUM(E15:E26)</f>
        <v>13850995.209999999</v>
      </c>
      <c r="F117" s="6">
        <f>SUM(F15:F26)</f>
        <v>45192560.409999996</v>
      </c>
      <c r="G117" s="6">
        <f>SUM(G15:G26)</f>
        <v>130593904.94999999</v>
      </c>
      <c r="N117" s="6">
        <f>SUM(N15:N26)</f>
        <v>133402819.68223827</v>
      </c>
      <c r="O117" s="6">
        <f t="shared" ref="O117:P122" si="11">E117</f>
        <v>13850995.209999999</v>
      </c>
      <c r="P117" s="6">
        <f>F117</f>
        <v>45192560.409999996</v>
      </c>
      <c r="Q117" s="6">
        <f t="shared" si="10"/>
        <v>192446375.30223826</v>
      </c>
      <c r="R117" s="5"/>
      <c r="S117" s="5"/>
      <c r="T117" s="6"/>
    </row>
    <row r="118" spans="1:20">
      <c r="A118" s="27">
        <v>2018</v>
      </c>
      <c r="B118" s="6">
        <f>SUM(B27:B38)</f>
        <v>188394772.28</v>
      </c>
      <c r="D118" s="6">
        <f>SUM(D27:D38)</f>
        <v>189993954.81999999</v>
      </c>
      <c r="E118" s="6">
        <f>SUM(E27:E38)</f>
        <v>9550436.8200000022</v>
      </c>
      <c r="F118" s="6">
        <f>SUM(F27:F38)</f>
        <v>42661402.460000001</v>
      </c>
      <c r="G118" s="6">
        <f>SUM(G27:G38)</f>
        <v>137782115.54000002</v>
      </c>
      <c r="N118" s="6">
        <f>SUM(N27:N38)</f>
        <v>135614167.48517779</v>
      </c>
      <c r="O118" s="6">
        <f t="shared" si="11"/>
        <v>9550436.8200000022</v>
      </c>
      <c r="P118" s="6">
        <f>F118</f>
        <v>42661402.460000001</v>
      </c>
      <c r="Q118" s="6">
        <f t="shared" si="10"/>
        <v>187826006.76517779</v>
      </c>
      <c r="R118" s="5"/>
      <c r="S118" s="5"/>
      <c r="T118" s="6"/>
    </row>
    <row r="119" spans="1:20">
      <c r="A119" s="27">
        <v>2019</v>
      </c>
      <c r="B119" s="6">
        <f>SUM(B39:B50)</f>
        <v>175614761.14000005</v>
      </c>
      <c r="D119" s="6">
        <f>SUM(D39:D50)</f>
        <v>177282153.69999999</v>
      </c>
      <c r="E119" s="6">
        <f>SUM(E39:E50)</f>
        <v>2612047.5700000003</v>
      </c>
      <c r="F119" s="6">
        <f>SUM(F39:F50)</f>
        <v>39613794.999999993</v>
      </c>
      <c r="G119" s="6">
        <f>SUM(G39:G50)</f>
        <v>135056311.13</v>
      </c>
      <c r="N119" s="6">
        <f>SUM(N39:N50)</f>
        <v>138302002.37797704</v>
      </c>
      <c r="O119" s="6">
        <f t="shared" si="11"/>
        <v>2612047.5700000003</v>
      </c>
      <c r="P119" s="6">
        <f>F119</f>
        <v>39613794.999999993</v>
      </c>
      <c r="Q119" s="6">
        <f t="shared" si="10"/>
        <v>180527844.94797704</v>
      </c>
      <c r="R119" s="5"/>
      <c r="S119" s="5"/>
      <c r="T119" s="6"/>
    </row>
    <row r="120" spans="1:20">
      <c r="A120" s="27">
        <v>2020</v>
      </c>
      <c r="B120" s="6">
        <f>SUM(B51:B62)</f>
        <v>171542621.55000001</v>
      </c>
      <c r="D120" s="6">
        <f>SUM(D51:D62)</f>
        <v>173380458.75</v>
      </c>
      <c r="E120" s="6">
        <f>SUM(E51:E62)</f>
        <v>1868303.8099999998</v>
      </c>
      <c r="F120" s="6">
        <f>SUM(F51:F62)</f>
        <v>31465784.07</v>
      </c>
      <c r="G120" s="6">
        <f>SUM(G51:G62)</f>
        <v>140046370.87</v>
      </c>
      <c r="N120" s="6">
        <f>SUM(N51:N62)</f>
        <v>138845446.27105293</v>
      </c>
      <c r="O120" s="6">
        <f t="shared" si="11"/>
        <v>1868303.8099999998</v>
      </c>
      <c r="P120" s="6">
        <f>F120</f>
        <v>31465784.07</v>
      </c>
      <c r="Q120" s="6">
        <f t="shared" si="10"/>
        <v>172179534.15105292</v>
      </c>
      <c r="R120" s="5"/>
      <c r="S120" s="5"/>
      <c r="T120" s="6"/>
    </row>
    <row r="121" spans="1:20">
      <c r="A121" s="27">
        <v>2021</v>
      </c>
      <c r="B121" s="6">
        <f>SUM(B63:B74)</f>
        <v>176270206.56999999</v>
      </c>
      <c r="D121" s="6">
        <f>SUM(D63:D74)</f>
        <v>178063868.77000004</v>
      </c>
      <c r="E121" s="6">
        <f>SUM(E63:E74)</f>
        <v>3109565.6599999992</v>
      </c>
      <c r="F121" s="6">
        <f>SUM(F63:F74)</f>
        <v>29610899.920000002</v>
      </c>
      <c r="G121" s="6">
        <f>SUM(G63:G74)</f>
        <v>145343403.19000003</v>
      </c>
      <c r="N121" s="6">
        <f>SUM(N63:N74)</f>
        <v>147302491.73643443</v>
      </c>
      <c r="O121" s="6">
        <f t="shared" si="11"/>
        <v>3109565.6599999992</v>
      </c>
      <c r="P121" s="6">
        <f t="shared" si="11"/>
        <v>29610899.920000002</v>
      </c>
      <c r="Q121" s="6">
        <f t="shared" si="10"/>
        <v>180022957.31643444</v>
      </c>
      <c r="R121" s="5"/>
      <c r="S121" s="5"/>
      <c r="T121" s="6"/>
    </row>
    <row r="122" spans="1:20">
      <c r="A122" s="27">
        <v>2022</v>
      </c>
      <c r="B122" s="6">
        <f>SUM(B75:B86)</f>
        <v>183346093.11000001</v>
      </c>
      <c r="D122" s="6">
        <f>SUM(D75:D86)</f>
        <v>185144755.56000003</v>
      </c>
      <c r="E122" s="6">
        <f>SUM(E75:E86)</f>
        <v>2522033.3000000007</v>
      </c>
      <c r="F122" s="6">
        <f>SUM(F75:F86)</f>
        <v>28395278.939999998</v>
      </c>
      <c r="G122" s="6">
        <f>SUM(G75:G86)</f>
        <v>154227443.32000002</v>
      </c>
      <c r="N122" s="6">
        <f>SUM(N75:N86)</f>
        <v>153330533.10814959</v>
      </c>
      <c r="O122" s="6">
        <f t="shared" si="11"/>
        <v>2522033.3000000007</v>
      </c>
      <c r="P122" s="6">
        <f>F122</f>
        <v>28395278.939999998</v>
      </c>
      <c r="Q122" s="6">
        <f t="shared" si="10"/>
        <v>184247845.3481496</v>
      </c>
      <c r="R122" s="5"/>
      <c r="S122" s="5"/>
      <c r="T122" s="6"/>
    </row>
    <row r="123" spans="1:20">
      <c r="A123" s="27">
        <v>2023</v>
      </c>
      <c r="N123" s="15">
        <f>SUM(N87:N98)</f>
        <v>157403059.34893805</v>
      </c>
      <c r="O123" s="6">
        <v>0</v>
      </c>
      <c r="P123" s="6">
        <f>TREND(P116:P122,$A$116:$A$122,2023)</f>
        <v>22515160.681428909</v>
      </c>
      <c r="Q123" s="6">
        <f t="shared" si="10"/>
        <v>179918220.03036696</v>
      </c>
      <c r="R123" s="5"/>
      <c r="S123" s="5"/>
      <c r="T123" s="6"/>
    </row>
    <row r="124" spans="1:20">
      <c r="A124" s="27">
        <v>2024</v>
      </c>
      <c r="N124" s="15">
        <f>SUM(N99:N110)</f>
        <v>161915053.67773274</v>
      </c>
      <c r="O124" s="6">
        <v>0</v>
      </c>
      <c r="P124" s="6">
        <f>TREND(P116:P123,$A$116:$A$123,2024)</f>
        <v>18571809.153927803</v>
      </c>
      <c r="Q124" s="6">
        <f t="shared" si="10"/>
        <v>180486862.83166054</v>
      </c>
      <c r="R124" s="5"/>
      <c r="S124" s="5"/>
      <c r="T124" s="5"/>
    </row>
    <row r="125" spans="1:20">
      <c r="N125" s="6"/>
    </row>
    <row r="126" spans="1:20">
      <c r="A126" s="42" t="s">
        <v>7</v>
      </c>
      <c r="B126" s="6">
        <f>SUM(B116:B122)</f>
        <v>1282930063.3699999</v>
      </c>
      <c r="D126" s="6">
        <f>SUM(D116:D122)</f>
        <v>1295273900.3199999</v>
      </c>
      <c r="E126" s="6">
        <f>SUM(E116:E122)</f>
        <v>49028597.400000006</v>
      </c>
      <c r="F126" s="6">
        <f>SUM(F116:F122)</f>
        <v>268019967.54000002</v>
      </c>
      <c r="G126" s="6">
        <f>SUM(G116:G122)</f>
        <v>978225335.38000011</v>
      </c>
      <c r="L126" s="1" t="s">
        <v>126</v>
      </c>
      <c r="N126" s="6">
        <f>SUM(N116:N122)</f>
        <v>978225335.37999964</v>
      </c>
      <c r="Q126" s="6">
        <f>SUM(Q116:Q122)</f>
        <v>1295273900.3199995</v>
      </c>
    </row>
    <row r="127" spans="1:20">
      <c r="N127" s="32">
        <f>N126-G126</f>
        <v>0</v>
      </c>
      <c r="Q127" s="6">
        <f>Q126-D126</f>
        <v>0</v>
      </c>
    </row>
    <row r="129" spans="1:20">
      <c r="O129"/>
      <c r="P129"/>
      <c r="Q129"/>
      <c r="R129"/>
      <c r="S129"/>
      <c r="T129"/>
    </row>
    <row r="130" spans="1:20">
      <c r="N130" s="6">
        <f>SUM(N116:N124)</f>
        <v>1297543448.4066703</v>
      </c>
    </row>
    <row r="131" spans="1:20">
      <c r="N131" s="32">
        <f>N114-N130</f>
        <v>0</v>
      </c>
    </row>
    <row r="132" spans="1:20">
      <c r="A132"/>
      <c r="B132"/>
      <c r="C132"/>
      <c r="D132"/>
      <c r="E132"/>
      <c r="F132"/>
      <c r="G132"/>
      <c r="H132"/>
      <c r="I132"/>
      <c r="J132"/>
      <c r="L132"/>
      <c r="M132"/>
      <c r="N132"/>
      <c r="O132"/>
    </row>
    <row r="133" spans="1:20">
      <c r="A133"/>
      <c r="B133"/>
      <c r="C133"/>
      <c r="D133"/>
      <c r="E133"/>
      <c r="F133"/>
      <c r="G133"/>
      <c r="H133"/>
      <c r="I133"/>
      <c r="J133"/>
      <c r="L133"/>
      <c r="M133"/>
      <c r="N133"/>
      <c r="O133"/>
    </row>
    <row r="134" spans="1:20">
      <c r="A134"/>
      <c r="B134"/>
      <c r="C134"/>
      <c r="D134"/>
      <c r="E134"/>
      <c r="F134"/>
      <c r="G134"/>
      <c r="H134"/>
      <c r="I134"/>
      <c r="J134"/>
      <c r="L134"/>
      <c r="M134"/>
      <c r="N134"/>
      <c r="O134"/>
    </row>
    <row r="135" spans="1:20">
      <c r="A135"/>
      <c r="B135"/>
      <c r="C135"/>
      <c r="D135"/>
      <c r="E135"/>
      <c r="F135"/>
      <c r="G135"/>
      <c r="H135"/>
      <c r="I135"/>
      <c r="J135"/>
      <c r="L135"/>
      <c r="M135"/>
      <c r="N135"/>
      <c r="O135"/>
    </row>
    <row r="136" spans="1:20">
      <c r="A136"/>
      <c r="B136"/>
      <c r="C136"/>
      <c r="H136" s="6"/>
      <c r="I136" s="6"/>
      <c r="J136" s="6"/>
      <c r="L136"/>
      <c r="M136"/>
      <c r="N136"/>
      <c r="O136"/>
    </row>
    <row r="137" spans="1:20">
      <c r="A137"/>
      <c r="B137"/>
      <c r="C137"/>
      <c r="H137" s="6"/>
      <c r="I137" s="6"/>
      <c r="J137" s="6"/>
      <c r="L137"/>
      <c r="M137"/>
      <c r="N137"/>
      <c r="O137"/>
    </row>
    <row r="138" spans="1:20">
      <c r="A138"/>
      <c r="B138"/>
      <c r="C138"/>
      <c r="H138" s="6"/>
      <c r="I138" s="6"/>
      <c r="J138" s="6"/>
      <c r="L138"/>
      <c r="M138"/>
      <c r="N138"/>
      <c r="O138"/>
    </row>
    <row r="139" spans="1:20">
      <c r="A139"/>
      <c r="B139"/>
      <c r="C139"/>
      <c r="H139" s="6"/>
      <c r="I139" s="6"/>
      <c r="J139" s="6"/>
      <c r="L139"/>
      <c r="M139"/>
      <c r="N139"/>
      <c r="O139"/>
    </row>
    <row r="140" spans="1:20">
      <c r="A140"/>
      <c r="B140"/>
      <c r="C140"/>
      <c r="H140" s="6"/>
      <c r="I140" s="6"/>
      <c r="J140" s="6"/>
      <c r="L140"/>
      <c r="M140"/>
      <c r="N140"/>
      <c r="O140"/>
      <c r="P140"/>
      <c r="Q140"/>
      <c r="R140"/>
      <c r="S140"/>
      <c r="T140"/>
    </row>
    <row r="141" spans="1:20">
      <c r="A141"/>
      <c r="B141"/>
      <c r="C141"/>
      <c r="H141" s="6"/>
      <c r="I141" s="6"/>
      <c r="J141" s="6"/>
      <c r="L141"/>
      <c r="M141"/>
      <c r="N141"/>
      <c r="O141"/>
      <c r="P141"/>
      <c r="Q141"/>
      <c r="R141"/>
      <c r="S141"/>
      <c r="T141"/>
    </row>
    <row r="142" spans="1:20">
      <c r="A142"/>
      <c r="B142"/>
      <c r="C142"/>
      <c r="H142" s="6"/>
      <c r="I142" s="6"/>
      <c r="J142" s="6"/>
      <c r="L142"/>
      <c r="M142"/>
      <c r="N142"/>
      <c r="O142"/>
      <c r="P142"/>
      <c r="Q142"/>
      <c r="R142"/>
      <c r="S142"/>
      <c r="T142"/>
    </row>
    <row r="143" spans="1:20">
      <c r="A143"/>
      <c r="B143"/>
      <c r="C143"/>
      <c r="H143" s="6"/>
      <c r="I143" s="6"/>
      <c r="J143" s="6"/>
      <c r="L143"/>
      <c r="M143"/>
      <c r="N143"/>
      <c r="O143"/>
      <c r="P143"/>
      <c r="Q143"/>
      <c r="R143"/>
      <c r="S143"/>
      <c r="T143"/>
    </row>
    <row r="144" spans="1:20">
      <c r="A144"/>
      <c r="B144"/>
      <c r="C144"/>
      <c r="H144" s="6"/>
      <c r="I144" s="6"/>
      <c r="J144" s="6"/>
      <c r="L144"/>
      <c r="M144"/>
      <c r="N144"/>
      <c r="O144"/>
      <c r="P144"/>
      <c r="Q144"/>
      <c r="R144"/>
      <c r="S144"/>
      <c r="T144"/>
    </row>
    <row r="145" spans="1:20">
      <c r="A145"/>
      <c r="H145" s="6"/>
      <c r="I145" s="6"/>
      <c r="J145" s="6"/>
      <c r="P145"/>
      <c r="Q145"/>
      <c r="R145"/>
      <c r="S145"/>
      <c r="T145"/>
    </row>
    <row r="146" spans="1:20">
      <c r="A146"/>
      <c r="H146" s="6"/>
      <c r="I146" s="6"/>
      <c r="J146" s="6"/>
      <c r="P146"/>
      <c r="Q146"/>
      <c r="R146"/>
      <c r="S146"/>
      <c r="T146"/>
    </row>
    <row r="147" spans="1:20">
      <c r="A147"/>
      <c r="H147" s="6"/>
      <c r="I147" s="6"/>
      <c r="J147" s="6"/>
      <c r="P147"/>
      <c r="Q147"/>
      <c r="R147"/>
      <c r="S147"/>
      <c r="T147"/>
    </row>
    <row r="148" spans="1:20">
      <c r="A148"/>
      <c r="H148" s="6"/>
      <c r="I148" s="6"/>
      <c r="J148" s="6"/>
      <c r="K148" s="6"/>
      <c r="P148"/>
      <c r="Q148"/>
      <c r="R148"/>
      <c r="S148"/>
      <c r="T148"/>
    </row>
    <row r="149" spans="1:20">
      <c r="A149"/>
      <c r="P149"/>
      <c r="Q149"/>
      <c r="R149"/>
      <c r="S149"/>
      <c r="T149"/>
    </row>
    <row r="150" spans="1:20">
      <c r="A150"/>
      <c r="P150"/>
      <c r="Q150"/>
      <c r="R150"/>
      <c r="S150"/>
      <c r="T150"/>
    </row>
    <row r="151" spans="1:20">
      <c r="A151"/>
      <c r="P151"/>
      <c r="Q151"/>
      <c r="R151"/>
      <c r="S151"/>
      <c r="T151"/>
    </row>
    <row r="152" spans="1:20">
      <c r="A152"/>
      <c r="P152"/>
      <c r="Q152"/>
      <c r="R152"/>
      <c r="S152"/>
      <c r="T152"/>
    </row>
    <row r="153" spans="1:20">
      <c r="A153"/>
      <c r="P153"/>
      <c r="Q153"/>
      <c r="R153"/>
      <c r="S153"/>
      <c r="T153"/>
    </row>
    <row r="154" spans="1:20">
      <c r="A154"/>
      <c r="P154"/>
      <c r="Q154"/>
      <c r="R154"/>
      <c r="S154"/>
      <c r="T154"/>
    </row>
    <row r="155" spans="1:20">
      <c r="A155"/>
      <c r="P155"/>
      <c r="Q155"/>
      <c r="R155"/>
      <c r="S155"/>
      <c r="T155"/>
    </row>
    <row r="156" spans="1:20">
      <c r="A156"/>
      <c r="B156"/>
      <c r="C156"/>
      <c r="D156"/>
      <c r="E156"/>
      <c r="F156"/>
      <c r="G156"/>
      <c r="H156"/>
      <c r="I156"/>
      <c r="J156"/>
      <c r="L156"/>
      <c r="M156"/>
      <c r="N156"/>
      <c r="O156"/>
      <c r="P156"/>
      <c r="Q156"/>
      <c r="R156"/>
      <c r="S156"/>
      <c r="T156"/>
    </row>
    <row r="157" spans="1:20">
      <c r="A157"/>
      <c r="B157"/>
      <c r="C157"/>
      <c r="D157"/>
      <c r="E157"/>
      <c r="F157"/>
      <c r="G157"/>
      <c r="H157"/>
      <c r="I157"/>
      <c r="J157"/>
      <c r="L157"/>
      <c r="M157"/>
      <c r="N157"/>
      <c r="O157"/>
      <c r="P157"/>
      <c r="Q157"/>
      <c r="R157"/>
      <c r="S157"/>
      <c r="T157"/>
    </row>
  </sheetData>
  <mergeCells count="1">
    <mergeCell ref="S112:S115"/>
  </mergeCells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2:W60"/>
  <sheetViews>
    <sheetView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F13" sqref="F13"/>
    </sheetView>
  </sheetViews>
  <sheetFormatPr defaultRowHeight="13.2"/>
  <cols>
    <col min="1" max="1" width="21.5546875" customWidth="1"/>
    <col min="2" max="5" width="18" style="1" customWidth="1"/>
    <col min="6" max="6" width="15.5546875" style="1" customWidth="1"/>
    <col min="7" max="7" width="15.5546875" style="6" customWidth="1"/>
    <col min="8" max="8" width="15" style="6" customWidth="1"/>
    <col min="9" max="9" width="14" style="6" customWidth="1"/>
    <col min="10" max="10" width="14.109375" style="6" bestFit="1" customWidth="1"/>
    <col min="11" max="12" width="14.109375" style="6" customWidth="1"/>
    <col min="13" max="13" width="11.44140625" style="6" customWidth="1"/>
    <col min="14" max="14" width="12.44140625" style="6" customWidth="1"/>
    <col min="15" max="15" width="10.5546875" style="6" customWidth="1"/>
    <col min="16" max="17" width="16.88671875" customWidth="1"/>
    <col min="18" max="18" width="14.44140625" customWidth="1"/>
    <col min="19" max="19" width="12.5546875" bestFit="1" customWidth="1"/>
    <col min="20" max="20" width="11.5546875" bestFit="1" customWidth="1"/>
    <col min="21" max="21" width="14" customWidth="1"/>
    <col min="22" max="22" width="10.109375" bestFit="1" customWidth="1"/>
    <col min="23" max="23" width="12.5546875" style="6" bestFit="1" customWidth="1"/>
  </cols>
  <sheetData>
    <row r="2" spans="1:15" ht="39.6">
      <c r="B2" s="2" t="s">
        <v>4</v>
      </c>
      <c r="C2" s="2" t="s">
        <v>5</v>
      </c>
      <c r="D2" s="2" t="s">
        <v>35</v>
      </c>
      <c r="E2" s="2" t="s">
        <v>6</v>
      </c>
      <c r="F2" s="2" t="s">
        <v>0</v>
      </c>
      <c r="G2" s="7" t="s">
        <v>1</v>
      </c>
      <c r="H2" s="143" t="str">
        <f>Inputs!B4</f>
        <v>Residential</v>
      </c>
      <c r="I2" s="46" t="str">
        <f>Inputs!C4</f>
        <v>General Service &lt; 50 kW</v>
      </c>
      <c r="J2" s="46" t="str">
        <f>Inputs!D4</f>
        <v>General Service 50 to 499 kW</v>
      </c>
      <c r="K2" s="46" t="str">
        <f>Inputs!E4</f>
        <v>General Service 500 to 1499 kW</v>
      </c>
      <c r="L2" s="46" t="str">
        <f>Inputs!F4</f>
        <v>General Service 1500-4999 kW</v>
      </c>
      <c r="M2" s="46" t="str">
        <f>Inputs!G4</f>
        <v>Unmetered Scattered Load</v>
      </c>
      <c r="N2" s="46" t="str">
        <f>Inputs!H4</f>
        <v>Sentinel Lighting</v>
      </c>
      <c r="O2" s="46" t="str">
        <f>Inputs!I4</f>
        <v xml:space="preserve">Street Lighting </v>
      </c>
    </row>
    <row r="3" spans="1:15">
      <c r="A3">
        <v>2016</v>
      </c>
      <c r="B3" s="60">
        <f>'Power Purchased Model'!D116</f>
        <v>201771248.14999998</v>
      </c>
      <c r="C3" s="60">
        <f>'Power Purchased Model'!Q116</f>
        <v>199251585.53515473</v>
      </c>
      <c r="D3" s="24">
        <f t="shared" ref="D3:D9" si="0">C3-B3</f>
        <v>-2519662.6148452461</v>
      </c>
      <c r="E3" s="5">
        <f t="shared" ref="E3:E9" si="1">D3/B3</f>
        <v>-1.2487718829850765E-2</v>
      </c>
      <c r="F3" s="17">
        <f>1 +(B3-G3)/G3</f>
        <v>1.0297694965305608</v>
      </c>
      <c r="G3" s="6">
        <f t="shared" ref="G3:G9" si="2">SUM(H3:O3)</f>
        <v>195938264.66</v>
      </c>
      <c r="H3" s="38">
        <f>SUMIF(Inputs!A$24:A$143,'Rate Class Energy Model'!A3,Inputs!F$24:F$143)</f>
        <v>50305889.600000009</v>
      </c>
      <c r="I3" s="38">
        <f>SUMIF(Inputs!$A$24:$A$143,'Rate Class Energy Model'!$A$3,Inputs!$H$24:$H$143)</f>
        <v>21381406.040000003</v>
      </c>
      <c r="J3" s="38">
        <f>SUMIF(Inputs!$A$24:$A$143,'Rate Class Energy Model'!$A$3,Inputs!$J$24:$J$143)</f>
        <v>44669118.74000001</v>
      </c>
      <c r="K3" s="38">
        <f>SUMIF(Inputs!$A$24:$A$143,'Rate Class Energy Model'!$A$3,Inputs!$M$24:$M$143)</f>
        <v>42123343.190000005</v>
      </c>
      <c r="L3" s="38">
        <f>SUMIF(Inputs!$A$24:$A$143,'Rate Class Energy Model'!$A$3,Inputs!$P$24:$P$143)</f>
        <v>35542048.920000002</v>
      </c>
      <c r="M3" s="38">
        <f>SUMIF(Inputs!A$24:A$143,'Rate Class Energy Model'!A3,Inputs!S$24:S$143)</f>
        <v>386200.86999999994</v>
      </c>
      <c r="N3" s="38">
        <f>SUMIF(Inputs!A$24:A$143,'Rate Class Energy Model'!A3,Inputs!V$24:V$143)</f>
        <v>102640.95</v>
      </c>
      <c r="O3" s="38">
        <f>SUMIF(Inputs!A$24:A$143,'Rate Class Energy Model'!A3,Inputs!Y$24:Y$143)</f>
        <v>1427616.35</v>
      </c>
    </row>
    <row r="4" spans="1:15">
      <c r="A4">
        <v>2017</v>
      </c>
      <c r="B4" s="60">
        <f>'Power Purchased Model'!D117</f>
        <v>189637460.56999999</v>
      </c>
      <c r="C4" s="60">
        <f>'Power Purchased Model'!Q117</f>
        <v>190715719.25775656</v>
      </c>
      <c r="D4" s="24">
        <f t="shared" si="0"/>
        <v>1078258.6877565682</v>
      </c>
      <c r="E4" s="5">
        <f t="shared" si="1"/>
        <v>5.6858949941409678E-3</v>
      </c>
      <c r="F4" s="17">
        <f t="shared" ref="F4:F9" si="3">1 +(B4-G4)/G4</f>
        <v>1.0316132564412603</v>
      </c>
      <c r="G4" s="6">
        <f t="shared" si="2"/>
        <v>183826118.34999996</v>
      </c>
      <c r="H4" s="38">
        <f>SUMIF(Inputs!A$24:A$143,'Rate Class Energy Model'!A4,Inputs!F$24:F$143)</f>
        <v>48524267.109999999</v>
      </c>
      <c r="I4" s="38">
        <f>SUMIF(Inputs!$A$24:$A$143,'Rate Class Energy Model'!$A$4,Inputs!$H$24:$H$143)</f>
        <v>20751634.890000001</v>
      </c>
      <c r="J4" s="38">
        <f>SUMIF(Inputs!$A$24:$A$143,'Rate Class Energy Model'!$A$4,Inputs!$J$24:$J$143)</f>
        <v>42593613.240000002</v>
      </c>
      <c r="K4" s="38">
        <f>SUMIF(Inputs!$A$24:$A$143,'Rate Class Energy Model'!$A$4,Inputs!$M$24:$M$143)</f>
        <v>39292384.899999991</v>
      </c>
      <c r="L4" s="38">
        <f>SUMIF(Inputs!$A$24:$A$143,'Rate Class Energy Model'!$A$4,Inputs!$P$24:$P$143)</f>
        <v>30775849.759999998</v>
      </c>
      <c r="M4" s="38">
        <f>SUMIF(Inputs!A$24:A$143,'Rate Class Energy Model'!A4,Inputs!S$24:S$143)</f>
        <v>367142.77</v>
      </c>
      <c r="N4" s="38">
        <f>SUMIF(Inputs!A$24:A$143,'Rate Class Energy Model'!A4,Inputs!V$24:V$143)</f>
        <v>98397.14</v>
      </c>
      <c r="O4" s="38">
        <f>SUMIF(Inputs!A$24:A$143,'Rate Class Energy Model'!A4,Inputs!Y$24:Y$143)</f>
        <v>1422828.54</v>
      </c>
    </row>
    <row r="5" spans="1:15">
      <c r="A5">
        <v>2018</v>
      </c>
      <c r="B5" s="60">
        <f>'Power Purchased Model'!D118</f>
        <v>189993954.81999999</v>
      </c>
      <c r="C5" s="60">
        <f>'Power Purchased Model'!Q118</f>
        <v>189814123.06077945</v>
      </c>
      <c r="D5" s="24">
        <f t="shared" si="0"/>
        <v>-179831.75922054052</v>
      </c>
      <c r="E5" s="5">
        <f t="shared" si="1"/>
        <v>-9.4651305822289391E-4</v>
      </c>
      <c r="F5" s="17">
        <f t="shared" si="3"/>
        <v>1.0339778963343598</v>
      </c>
      <c r="G5" s="6">
        <f t="shared" si="2"/>
        <v>183750499.39999995</v>
      </c>
      <c r="H5" s="38">
        <f>SUMIF(Inputs!A$24:A$143,'Rate Class Energy Model'!A5,Inputs!F$24:F$143)</f>
        <v>52869436.35999997</v>
      </c>
      <c r="I5" s="38">
        <f>SUMIF(Inputs!$A$24:$A$143,'Rate Class Energy Model'!$A$5,Inputs!$H$24:$H$143)</f>
        <v>21318676.38000001</v>
      </c>
      <c r="J5" s="38">
        <f>SUMIF(Inputs!$A$24:$A$143,'Rate Class Energy Model'!$A$5,Inputs!$J$24:$J$143)</f>
        <v>42394829.209999993</v>
      </c>
      <c r="K5" s="38">
        <f>SUMIF(Inputs!$A$24:$A$143,'Rate Class Energy Model'!$A$5,Inputs!$M$24:$M$143)</f>
        <v>36925221.219999999</v>
      </c>
      <c r="L5" s="38">
        <f>SUMIF(Inputs!$A$24:$A$143,'Rate Class Energy Model'!$A$5,Inputs!$P$24:$P$143)</f>
        <v>28687524.48</v>
      </c>
      <c r="M5" s="38">
        <f>SUMIF(Inputs!A$24:A$143,'Rate Class Energy Model'!A5,Inputs!S$24:S$143)</f>
        <v>341865.81999999995</v>
      </c>
      <c r="N5" s="38">
        <f>SUMIF(Inputs!A$24:A$143,'Rate Class Energy Model'!A5,Inputs!V$24:V$143)</f>
        <v>95814.57</v>
      </c>
      <c r="O5" s="38">
        <f>SUMIF(Inputs!A$24:A$143,'Rate Class Energy Model'!A5,Inputs!Y$24:Y$143)</f>
        <v>1117131.3599999999</v>
      </c>
    </row>
    <row r="6" spans="1:15">
      <c r="A6">
        <v>2019</v>
      </c>
      <c r="B6" s="60">
        <f>'Power Purchased Model'!D119</f>
        <v>177282153.69999999</v>
      </c>
      <c r="C6" s="60">
        <f>'Power Purchased Model'!Q119</f>
        <v>179694366.93993077</v>
      </c>
      <c r="D6" s="24">
        <f t="shared" si="0"/>
        <v>2412213.2399307787</v>
      </c>
      <c r="E6" s="5">
        <f t="shared" si="1"/>
        <v>1.3606633209187931E-2</v>
      </c>
      <c r="F6" s="17">
        <f t="shared" si="3"/>
        <v>1.0325891191050567</v>
      </c>
      <c r="G6" s="6">
        <f t="shared" si="2"/>
        <v>171687024.79999998</v>
      </c>
      <c r="H6" s="38">
        <f>SUMIF(Inputs!A$24:A$143,'Rate Class Energy Model'!A6,Inputs!F$24:F$143)</f>
        <v>51949016.819999948</v>
      </c>
      <c r="I6" s="38">
        <f>SUMIF(Inputs!$A$24:$A$143,'Rate Class Energy Model'!$A$6,Inputs!$H$24:$H$143)</f>
        <v>21167457.630000006</v>
      </c>
      <c r="J6" s="38">
        <f>SUMIF(Inputs!$A$24:$A$143,'Rate Class Energy Model'!$A$6,Inputs!$J$24:$J$143)</f>
        <v>42725411.180000007</v>
      </c>
      <c r="K6" s="38">
        <f>SUMIF(Inputs!$A$24:$A$143,'Rate Class Energy Model'!$A$6,Inputs!$M$24:$M$143)</f>
        <v>28159132.399999999</v>
      </c>
      <c r="L6" s="38">
        <f>SUMIF(Inputs!$A$24:$A$143,'Rate Class Energy Model'!$A$6,Inputs!$P$24:$P$143)</f>
        <v>26720406.400000002</v>
      </c>
      <c r="M6" s="38">
        <f>SUMIF(Inputs!A$24:A$143,'Rate Class Energy Model'!A6,Inputs!S$24:S$143)</f>
        <v>340304.06</v>
      </c>
      <c r="N6" s="38">
        <f>SUMIF(Inputs!A$24:A$143,'Rate Class Energy Model'!A6,Inputs!V$24:V$143)</f>
        <v>79644.31</v>
      </c>
      <c r="O6" s="38">
        <f>SUMIF(Inputs!A$24:A$143,'Rate Class Energy Model'!A6,Inputs!Y$24:Y$143)</f>
        <v>545652</v>
      </c>
    </row>
    <row r="7" spans="1:15">
      <c r="A7">
        <v>2020</v>
      </c>
      <c r="B7" s="60">
        <f>'Power Purchased Model'!D120</f>
        <v>173380458.75</v>
      </c>
      <c r="C7" s="60">
        <f>'Power Purchased Model'!Q120</f>
        <v>172812609.27753702</v>
      </c>
      <c r="D7" s="24">
        <f t="shared" si="0"/>
        <v>-567849.47246298194</v>
      </c>
      <c r="E7" s="5">
        <f t="shared" si="1"/>
        <v>-3.2751642056834847E-3</v>
      </c>
      <c r="F7" s="17">
        <f t="shared" si="3"/>
        <v>1.0352458734800551</v>
      </c>
      <c r="G7" s="6">
        <f t="shared" si="2"/>
        <v>167477565.66000003</v>
      </c>
      <c r="H7" s="38">
        <f>SUMIF(Inputs!A$24:A$143,'Rate Class Energy Model'!A7,Inputs!F$24:F$143)</f>
        <v>55641421.240000024</v>
      </c>
      <c r="I7" s="38">
        <f>SUMIF(Inputs!$A$24:$A$143,'Rate Class Energy Model'!$A$7,Inputs!$H$24:$H$143)</f>
        <v>21397530.899999999</v>
      </c>
      <c r="J7" s="38">
        <f>SUMIF(Inputs!$A$24:$A$143,'Rate Class Energy Model'!$A$7,Inputs!$J$24:$J$143)</f>
        <v>43788589.379999995</v>
      </c>
      <c r="K7" s="38">
        <f>SUMIF(Inputs!$A$24:$A$143,'Rate Class Energy Model'!$A$7,Inputs!$M$24:$M$143)</f>
        <v>25142092.139999997</v>
      </c>
      <c r="L7" s="38">
        <f>SUMIF(Inputs!$A$24:$A$143,'Rate Class Energy Model'!$A$7,Inputs!$P$24:$P$143)</f>
        <v>20564790.800000001</v>
      </c>
      <c r="M7" s="38">
        <f>SUMIF(Inputs!A$24:A$143,'Rate Class Energy Model'!A7,Inputs!S$24:S$143)</f>
        <v>340496.02</v>
      </c>
      <c r="N7" s="38">
        <f>SUMIF(Inputs!A$24:A$143,'Rate Class Energy Model'!A7,Inputs!V$24:V$143)</f>
        <v>75008.179999999993</v>
      </c>
      <c r="O7" s="38">
        <f>SUMIF(Inputs!A$24:A$143,'Rate Class Energy Model'!A7,Inputs!Y$24:Y$143)</f>
        <v>527637</v>
      </c>
    </row>
    <row r="8" spans="1:15">
      <c r="A8">
        <v>2021</v>
      </c>
      <c r="B8" s="60">
        <f>'Power Purchased Model'!D121</f>
        <v>178063868.77000004</v>
      </c>
      <c r="C8" s="60">
        <f>'Power Purchased Model'!Q121</f>
        <v>180128801.67565423</v>
      </c>
      <c r="D8" s="24">
        <f t="shared" si="0"/>
        <v>2064932.905654192</v>
      </c>
      <c r="E8" s="5">
        <f t="shared" si="1"/>
        <v>1.1596585651642817E-2</v>
      </c>
      <c r="F8" s="17">
        <f t="shared" si="3"/>
        <v>1.0340712611785601</v>
      </c>
      <c r="G8" s="6">
        <f t="shared" si="2"/>
        <v>172196903.11000004</v>
      </c>
      <c r="H8" s="38">
        <f>SUMIF(Inputs!A$24:A$143,'Rate Class Energy Model'!A8,Inputs!F$24:F$143)</f>
        <v>57807950.240000054</v>
      </c>
      <c r="I8" s="38">
        <f>SUMIF(Inputs!$A$24:$A$143,'Rate Class Energy Model'!$A$8,Inputs!$H$24:$H$143)</f>
        <v>21062931.550000001</v>
      </c>
      <c r="J8" s="38">
        <f>SUMIF(Inputs!$A$24:$A$143,'Rate Class Energy Model'!$A$8,Inputs!$J$24:$J$143)</f>
        <v>46750239.970000006</v>
      </c>
      <c r="K8" s="38">
        <f>SUMIF(Inputs!$A$24:$A$143,'Rate Class Energy Model'!$A$8,Inputs!$M$24:$M$143)</f>
        <v>27055986.100000001</v>
      </c>
      <c r="L8" s="38">
        <f>SUMIF(Inputs!$A$24:$A$143,'Rate Class Energy Model'!$A$8,Inputs!$P$24:$P$143)</f>
        <v>18499236.399999999</v>
      </c>
      <c r="M8" s="38">
        <f>SUMIF(Inputs!A$24:A$143,'Rate Class Energy Model'!A8,Inputs!S$24:S$143)</f>
        <v>340759.81</v>
      </c>
      <c r="N8" s="38">
        <f>SUMIF(Inputs!A$24:A$143,'Rate Class Energy Model'!A8,Inputs!V$24:V$143)</f>
        <v>72438</v>
      </c>
      <c r="O8" s="38">
        <f>SUMIF(Inputs!A$24:A$143,'Rate Class Energy Model'!A8,Inputs!Y$24:Y$143)</f>
        <v>607361.03999999992</v>
      </c>
    </row>
    <row r="9" spans="1:15">
      <c r="A9">
        <v>2022</v>
      </c>
      <c r="B9" s="60">
        <f>'Power Purchased Model'!D122</f>
        <v>185144755.56000003</v>
      </c>
      <c r="C9" s="60">
        <f>'Power Purchased Model'!Q122</f>
        <v>182856694.57318696</v>
      </c>
      <c r="D9" s="24">
        <f t="shared" si="0"/>
        <v>-2288060.9868130684</v>
      </c>
      <c r="E9" s="5">
        <f t="shared" si="1"/>
        <v>-1.235822737669485E-2</v>
      </c>
      <c r="F9" s="17">
        <f t="shared" si="3"/>
        <v>1.0362930645547737</v>
      </c>
      <c r="G9" s="6">
        <f t="shared" si="2"/>
        <v>178660614.34999996</v>
      </c>
      <c r="H9" s="38">
        <f>SUMIF(Inputs!A$24:A$143,'Rate Class Energy Model'!A9,Inputs!F$24:F$143)</f>
        <v>59629357.129999965</v>
      </c>
      <c r="I9" s="38">
        <f>SUMIF(Inputs!$A$24:$A$143,'Rate Class Energy Model'!$A$9,Inputs!$H$24:$H$143)</f>
        <v>23000509.379999999</v>
      </c>
      <c r="J9" s="38">
        <f>SUMIF(Inputs!$A$24:$A$143,'Rate Class Energy Model'!$A$9,Inputs!$J$24:$J$143)</f>
        <v>54079512.469999991</v>
      </c>
      <c r="K9" s="38">
        <f>SUMIF(Inputs!$A$24:$A$143,'Rate Class Energy Model'!$A$9,Inputs!$M$24:$M$143)</f>
        <v>23120478.16</v>
      </c>
      <c r="L9" s="38">
        <f>SUMIF(Inputs!$A$24:$A$143,'Rate Class Energy Model'!$A$9,Inputs!$P$24:$P$143)</f>
        <v>17800153.25</v>
      </c>
      <c r="M9" s="38">
        <f>SUMIF(Inputs!A$24:A$143,'Rate Class Energy Model'!A9,Inputs!S$24:S$143)</f>
        <v>338889.99</v>
      </c>
      <c r="N9" s="38">
        <f>SUMIF(Inputs!A$24:A$143,'Rate Class Energy Model'!A9,Inputs!V$24:V$143)</f>
        <v>72091.330000000016</v>
      </c>
      <c r="O9" s="38">
        <f>SUMIF(Inputs!A$24:A$143,'Rate Class Energy Model'!A9,Inputs!Y$24:Y$143)</f>
        <v>619622.6399999999</v>
      </c>
    </row>
    <row r="10" spans="1:15">
      <c r="A10" s="45">
        <v>2023</v>
      </c>
      <c r="B10" s="6"/>
      <c r="C10" s="15">
        <f>'Power Purchased Model'!Q123</f>
        <v>179918220.03036696</v>
      </c>
      <c r="G10" s="15">
        <f>C10/$F$13</f>
        <v>174108951.31158254</v>
      </c>
      <c r="H10"/>
      <c r="I10"/>
      <c r="J10"/>
      <c r="K10"/>
      <c r="L10"/>
      <c r="M10"/>
      <c r="N10"/>
      <c r="O10"/>
    </row>
    <row r="11" spans="1:15">
      <c r="A11" s="45">
        <v>2024</v>
      </c>
      <c r="B11" s="6"/>
      <c r="C11" s="15">
        <f>'Power Purchased Model'!Q124</f>
        <v>180486862.83166054</v>
      </c>
      <c r="G11" s="15">
        <f>C11/$F$13</f>
        <v>174659233.5553008</v>
      </c>
      <c r="H11"/>
      <c r="I11"/>
      <c r="J11"/>
      <c r="K11"/>
      <c r="L11"/>
      <c r="M11"/>
      <c r="N11"/>
      <c r="O11"/>
    </row>
    <row r="12" spans="1:15">
      <c r="H12" s="34"/>
      <c r="I12" s="34"/>
      <c r="J12" s="34"/>
      <c r="K12" s="34"/>
      <c r="L12" s="34"/>
      <c r="M12" s="34"/>
      <c r="N12" s="34"/>
      <c r="O12" s="34"/>
    </row>
    <row r="13" spans="1:15">
      <c r="A13" s="14" t="s">
        <v>9</v>
      </c>
      <c r="C13" s="35"/>
      <c r="D13" s="37"/>
      <c r="E13" s="52" t="s">
        <v>127</v>
      </c>
      <c r="F13" s="17">
        <f>AVERAGE(F3:F9)</f>
        <v>1.033365709660661</v>
      </c>
      <c r="H13" s="59"/>
      <c r="I13" s="59"/>
      <c r="J13" s="59"/>
      <c r="K13" s="59"/>
      <c r="L13" s="59"/>
      <c r="M13" s="59"/>
      <c r="N13" s="59"/>
      <c r="O13" s="59"/>
    </row>
    <row r="14" spans="1:15">
      <c r="C14" s="158">
        <f>C10/1000000</f>
        <v>179.91822003036697</v>
      </c>
      <c r="D14" s="37"/>
      <c r="E14" s="52"/>
      <c r="F14" s="17"/>
      <c r="G14" s="158">
        <f>G10/1000000</f>
        <v>174.10895131158253</v>
      </c>
    </row>
    <row r="15" spans="1:15">
      <c r="C15" s="158">
        <f>C11/1000000</f>
        <v>180.48686283166055</v>
      </c>
      <c r="D15" s="37"/>
      <c r="G15" s="158">
        <f>G11/1000000</f>
        <v>174.6592335553008</v>
      </c>
    </row>
    <row r="16" spans="1:15">
      <c r="A16" s="16" t="s">
        <v>11</v>
      </c>
      <c r="B16" s="11"/>
    </row>
    <row r="18" spans="1:18">
      <c r="A18">
        <f>A9</f>
        <v>2022</v>
      </c>
      <c r="H18" s="6">
        <f>H9/'Rate Class Customer Model'!B17</f>
        <v>8039.1906970159944</v>
      </c>
      <c r="I18" s="6">
        <f>I9/'Rate Class Customer Model'!C17</f>
        <v>33712.729028948328</v>
      </c>
      <c r="J18" s="6">
        <f>J9/'Rate Class Customer Model'!D17</f>
        <v>729161.96588764025</v>
      </c>
      <c r="K18" s="6">
        <f>K9/'Rate Class Customer Model'!E17</f>
        <v>3853413.0266666668</v>
      </c>
      <c r="L18" s="6">
        <f>L9/'Rate Class Customer Model'!F17</f>
        <v>8900076.625</v>
      </c>
      <c r="M18" s="6">
        <f>M9/'Rate Class Customer Model'!G17</f>
        <v>6060.6257526080481</v>
      </c>
      <c r="N18" s="6">
        <f>N9/'Rate Class Customer Model'!H17</f>
        <v>621.47698275862081</v>
      </c>
      <c r="O18" s="6">
        <f>O9/'Rate Class Customer Model'!I17</f>
        <v>619622.6399999999</v>
      </c>
    </row>
    <row r="19" spans="1:18">
      <c r="A19">
        <v>2023</v>
      </c>
      <c r="H19" s="15">
        <f>H18</f>
        <v>8039.1906970159944</v>
      </c>
      <c r="I19" s="15">
        <f t="shared" ref="I19:O20" si="4">I18</f>
        <v>33712.729028948328</v>
      </c>
      <c r="J19" s="15">
        <f t="shared" si="4"/>
        <v>729161.96588764025</v>
      </c>
      <c r="K19" s="15">
        <f t="shared" si="4"/>
        <v>3853413.0266666668</v>
      </c>
      <c r="L19" s="15">
        <f t="shared" si="4"/>
        <v>8900076.625</v>
      </c>
      <c r="M19" s="15">
        <f t="shared" si="4"/>
        <v>6060.6257526080481</v>
      </c>
      <c r="N19" s="15">
        <f t="shared" si="4"/>
        <v>621.47698275862081</v>
      </c>
      <c r="O19" s="15">
        <f t="shared" si="4"/>
        <v>619622.6399999999</v>
      </c>
    </row>
    <row r="20" spans="1:18">
      <c r="A20">
        <f>A11</f>
        <v>2024</v>
      </c>
      <c r="H20" s="15">
        <f>H19</f>
        <v>8039.1906970159944</v>
      </c>
      <c r="I20" s="15">
        <f t="shared" si="4"/>
        <v>33712.729028948328</v>
      </c>
      <c r="J20" s="15">
        <f t="shared" si="4"/>
        <v>729161.96588764025</v>
      </c>
      <c r="K20" s="15">
        <f t="shared" si="4"/>
        <v>3853413.0266666668</v>
      </c>
      <c r="L20" s="15">
        <f t="shared" si="4"/>
        <v>8900076.625</v>
      </c>
      <c r="M20" s="15">
        <f t="shared" si="4"/>
        <v>6060.6257526080481</v>
      </c>
      <c r="N20" s="15">
        <f t="shared" si="4"/>
        <v>621.47698275862081</v>
      </c>
      <c r="O20" s="15">
        <f t="shared" si="4"/>
        <v>619622.6399999999</v>
      </c>
    </row>
    <row r="21" spans="1:18">
      <c r="H21"/>
      <c r="I21"/>
      <c r="J21"/>
      <c r="K21"/>
      <c r="L21"/>
      <c r="M21"/>
      <c r="N21"/>
      <c r="O21"/>
    </row>
    <row r="22" spans="1:18">
      <c r="D22" s="6"/>
      <c r="H22" s="18"/>
      <c r="I22" s="18"/>
      <c r="J22" s="18"/>
      <c r="K22" s="18"/>
      <c r="L22" s="18"/>
      <c r="M22" s="18"/>
      <c r="N22" s="18"/>
      <c r="O22" s="18"/>
    </row>
    <row r="23" spans="1:18">
      <c r="A23" s="14" t="s">
        <v>38</v>
      </c>
    </row>
    <row r="24" spans="1:18">
      <c r="A24" s="43">
        <v>2023</v>
      </c>
      <c r="G24" s="6">
        <f>SUM(H24:O24)</f>
        <v>178018809.81291163</v>
      </c>
      <c r="H24" s="6">
        <f>H19*'Rate Class Customer Model'!B18</f>
        <v>61284116.367775634</v>
      </c>
      <c r="I24" s="6">
        <f>I19*'Rate Class Customer Model'!C18</f>
        <v>23263572.272292376</v>
      </c>
      <c r="J24" s="6">
        <f>J19*'Rate Class Customer Model'!D18</f>
        <v>53410666.935103275</v>
      </c>
      <c r="K24" s="6">
        <f>K19*'Rate Class Customer Model'!E18</f>
        <v>21233521.193537436</v>
      </c>
      <c r="L24" s="6">
        <f>L19*'Rate Class Customer Model'!F18</f>
        <v>17800153.25</v>
      </c>
      <c r="M24" s="6">
        <f>M19*'Rate Class Customer Model'!G18</f>
        <v>335321.56730619032</v>
      </c>
      <c r="N24" s="6">
        <f>N19*'Rate Class Customer Model'!H18</f>
        <v>71835.58689671247</v>
      </c>
      <c r="O24" s="6">
        <f>O19*'Rate Class Customer Model'!I18</f>
        <v>619622.6399999999</v>
      </c>
    </row>
    <row r="25" spans="1:18">
      <c r="A25" s="43">
        <v>2024</v>
      </c>
      <c r="G25" s="6">
        <f>SUM(H25:O25)</f>
        <v>177588247.73311618</v>
      </c>
      <c r="H25" s="6">
        <f>H20*'Rate Class Customer Model'!B19</f>
        <v>62984796.411456257</v>
      </c>
      <c r="I25" s="6">
        <f>I20*'Rate Class Customer Model'!C19</f>
        <v>23529643.884268217</v>
      </c>
      <c r="J25" s="6">
        <f>J20*'Rate Class Customer Model'!D19</f>
        <v>52750093.559645846</v>
      </c>
      <c r="K25" s="6">
        <f>K20*'Rate Class Customer Model'!E19</f>
        <v>19500566.51753968</v>
      </c>
      <c r="L25" s="6">
        <f>L20*'Rate Class Customer Model'!F19</f>
        <v>17800153.25</v>
      </c>
      <c r="M25" s="6">
        <f>M20*'Rate Class Customer Model'!G19</f>
        <v>331790.7191672434</v>
      </c>
      <c r="N25" s="6">
        <f>N20*'Rate Class Customer Model'!H19</f>
        <v>71580.751038926974</v>
      </c>
      <c r="O25" s="6">
        <f>O20*'Rate Class Customer Model'!I19</f>
        <v>619622.6399999999</v>
      </c>
    </row>
    <row r="27" spans="1:18">
      <c r="A27" s="14" t="s">
        <v>37</v>
      </c>
      <c r="Q27" s="6"/>
    </row>
    <row r="28" spans="1:18">
      <c r="A28" s="43">
        <f>+A24</f>
        <v>2023</v>
      </c>
      <c r="G28" s="15">
        <f>G10</f>
        <v>174108951.31158254</v>
      </c>
      <c r="H28" s="6">
        <f>H24+H36</f>
        <v>59512317.286662422</v>
      </c>
      <c r="I28" s="6">
        <f t="shared" ref="I28:O28" si="5">I24+I36</f>
        <v>22590993.822631773</v>
      </c>
      <c r="J28" s="6">
        <f t="shared" si="5"/>
        <v>52318522.652063899</v>
      </c>
      <c r="K28" s="6">
        <f t="shared" si="5"/>
        <v>20958055.000909142</v>
      </c>
      <c r="L28" s="6">
        <f t="shared" si="5"/>
        <v>17702282.755112391</v>
      </c>
      <c r="M28" s="6">
        <f t="shared" si="5"/>
        <v>335321.56730619032</v>
      </c>
      <c r="N28" s="6">
        <f t="shared" si="5"/>
        <v>71835.58689671247</v>
      </c>
      <c r="O28" s="6">
        <f t="shared" si="5"/>
        <v>619622.6399999999</v>
      </c>
      <c r="P28" s="6">
        <f>SUM(H28:O28)</f>
        <v>174108951.31158251</v>
      </c>
      <c r="Q28" s="6">
        <f>P28-G28</f>
        <v>0</v>
      </c>
      <c r="R28" s="6" t="e">
        <f>Q28-#REF!</f>
        <v>#REF!</v>
      </c>
    </row>
    <row r="29" spans="1:18">
      <c r="A29" s="43">
        <f>+A25</f>
        <v>2024</v>
      </c>
      <c r="G29" s="15">
        <f>G11</f>
        <v>174659233.5553008</v>
      </c>
      <c r="H29" s="6">
        <f>H25+H37</f>
        <v>61627888.120042093</v>
      </c>
      <c r="I29" s="6">
        <f t="shared" ref="I29:O29" si="6">I25+I37</f>
        <v>23022734.745878451</v>
      </c>
      <c r="J29" s="6">
        <f t="shared" si="6"/>
        <v>51946338.95725169</v>
      </c>
      <c r="K29" s="6">
        <f t="shared" si="6"/>
        <v>19312053.329698451</v>
      </c>
      <c r="L29" s="6">
        <f t="shared" si="6"/>
        <v>17727224.292223938</v>
      </c>
      <c r="M29" s="6">
        <f t="shared" si="6"/>
        <v>331790.7191672434</v>
      </c>
      <c r="N29" s="6">
        <f t="shared" si="6"/>
        <v>71580.751038926974</v>
      </c>
      <c r="O29" s="6">
        <f t="shared" si="6"/>
        <v>619622.6399999999</v>
      </c>
      <c r="P29" s="6">
        <f>SUM(H29:O29)</f>
        <v>174659233.55530077</v>
      </c>
      <c r="Q29" s="6">
        <f>P29-G29</f>
        <v>0</v>
      </c>
      <c r="R29" s="6" t="e">
        <f>Q29-#REF!</f>
        <v>#REF!</v>
      </c>
    </row>
    <row r="30" spans="1:18">
      <c r="Q30" s="6"/>
    </row>
    <row r="31" spans="1:18">
      <c r="A31" t="s">
        <v>39</v>
      </c>
      <c r="H31" s="50">
        <f>(100%+J31)/2</f>
        <v>0.77355696553430442</v>
      </c>
      <c r="I31" s="51">
        <f>H31</f>
        <v>0.77355696553430442</v>
      </c>
      <c r="J31" s="51">
        <v>0.54711393106860873</v>
      </c>
      <c r="K31" s="51">
        <f>J31-20%</f>
        <v>0.34711393106860872</v>
      </c>
      <c r="L31" s="51">
        <f>K31-20%</f>
        <v>0.14711393106860871</v>
      </c>
      <c r="M31" s="51">
        <v>0</v>
      </c>
      <c r="N31" s="51">
        <v>0</v>
      </c>
      <c r="O31" s="51">
        <v>0</v>
      </c>
    </row>
    <row r="32" spans="1:18">
      <c r="A32" s="43">
        <f>+A28</f>
        <v>2023</v>
      </c>
      <c r="G32" s="6">
        <f>G28-G24</f>
        <v>-3909858.5013290942</v>
      </c>
      <c r="H32" s="6">
        <f>H24*H$31</f>
        <v>47406755.092907719</v>
      </c>
      <c r="I32" s="6">
        <f t="shared" ref="I32:O32" si="7">I24*I$31</f>
        <v>17995698.374442473</v>
      </c>
      <c r="J32" s="6">
        <f t="shared" si="7"/>
        <v>29221719.947860513</v>
      </c>
      <c r="K32" s="6">
        <f t="shared" si="7"/>
        <v>7370451.0119173964</v>
      </c>
      <c r="L32" s="6">
        <f t="shared" si="7"/>
        <v>2618650.5182311712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>SUM(H32:O32)</f>
        <v>104613274.94535927</v>
      </c>
    </row>
    <row r="33" spans="1:23">
      <c r="A33" s="43">
        <f>+A29</f>
        <v>2024</v>
      </c>
      <c r="G33" s="6">
        <f>G29-G25</f>
        <v>-2929014.1778153777</v>
      </c>
      <c r="H33" s="6">
        <f t="shared" ref="H33:O33" si="8">H25*H$31</f>
        <v>48722327.986842051</v>
      </c>
      <c r="I33" s="6">
        <f t="shared" si="8"/>
        <v>18201519.923217326</v>
      </c>
      <c r="J33" s="6">
        <f t="shared" si="8"/>
        <v>28860311.051654737</v>
      </c>
      <c r="K33" s="6">
        <f t="shared" si="8"/>
        <v>6768918.3019680874</v>
      </c>
      <c r="L33" s="6">
        <f t="shared" si="8"/>
        <v>2618650.5182311712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>SUM(H33:O33)</f>
        <v>105171727.78191337</v>
      </c>
    </row>
    <row r="34" spans="1:23" ht="12" customHeight="1"/>
    <row r="35" spans="1:23">
      <c r="A35" t="s">
        <v>40</v>
      </c>
    </row>
    <row r="36" spans="1:23">
      <c r="A36" s="43">
        <f>+A32</f>
        <v>2023</v>
      </c>
      <c r="G36" s="6">
        <f>SUM(H36:O36)</f>
        <v>-3909858.5013290937</v>
      </c>
      <c r="H36" s="6">
        <f>H32/$P$32*$G$32</f>
        <v>-1771799.0811132139</v>
      </c>
      <c r="I36" s="6">
        <f t="shared" ref="I36:O36" si="9">I32/$P$32*$G$32</f>
        <v>-672578.44966060226</v>
      </c>
      <c r="J36" s="6">
        <f t="shared" si="9"/>
        <v>-1092144.2830393747</v>
      </c>
      <c r="K36" s="6">
        <f t="shared" si="9"/>
        <v>-275466.19262829243</v>
      </c>
      <c r="L36" s="6">
        <f t="shared" si="9"/>
        <v>-97870.494887610548</v>
      </c>
      <c r="M36" s="6">
        <f t="shared" si="9"/>
        <v>0</v>
      </c>
      <c r="N36" s="6">
        <f t="shared" si="9"/>
        <v>0</v>
      </c>
      <c r="O36" s="6">
        <f t="shared" si="9"/>
        <v>0</v>
      </c>
    </row>
    <row r="37" spans="1:23">
      <c r="A37" s="43">
        <f>+A33</f>
        <v>2024</v>
      </c>
      <c r="G37" s="6">
        <f>SUM(H37:O37)</f>
        <v>-2929014.1778153772</v>
      </c>
      <c r="H37" s="6">
        <f>H33/$P$33*$G$33</f>
        <v>-1356908.2914141612</v>
      </c>
      <c r="I37" s="6">
        <f t="shared" ref="I37:O37" si="10">I33/$P$33*$G$33</f>
        <v>-506909.13838976494</v>
      </c>
      <c r="J37" s="6">
        <f t="shared" si="10"/>
        <v>-803754.60239415953</v>
      </c>
      <c r="K37" s="6">
        <f t="shared" si="10"/>
        <v>-188513.18784122975</v>
      </c>
      <c r="L37" s="6">
        <f t="shared" si="10"/>
        <v>-72928.95777606238</v>
      </c>
      <c r="M37" s="6">
        <f t="shared" si="10"/>
        <v>0</v>
      </c>
      <c r="N37" s="6">
        <f t="shared" si="10"/>
        <v>0</v>
      </c>
      <c r="O37" s="6">
        <f t="shared" si="10"/>
        <v>0</v>
      </c>
    </row>
    <row r="38" spans="1:23">
      <c r="G38" s="19"/>
    </row>
    <row r="39" spans="1:23">
      <c r="A39" s="14"/>
    </row>
    <row r="40" spans="1:23">
      <c r="A40" s="14"/>
      <c r="J40" s="6">
        <f>J29</f>
        <v>51946338.95725169</v>
      </c>
      <c r="K40" s="6">
        <f>K29</f>
        <v>19312053.329698451</v>
      </c>
      <c r="L40" s="6">
        <f>SUM(J40:K40)</f>
        <v>71258392.286950141</v>
      </c>
    </row>
    <row r="41" spans="1:23">
      <c r="A41" s="14"/>
      <c r="J41" s="6">
        <f>J33</f>
        <v>28860311.051654737</v>
      </c>
      <c r="K41" s="6">
        <f>K33</f>
        <v>6768918.3019680874</v>
      </c>
      <c r="L41" s="6">
        <f>SUM(J41:K41)</f>
        <v>35629229.353622824</v>
      </c>
    </row>
    <row r="42" spans="1:23">
      <c r="L42" s="59">
        <f>L41/L40</f>
        <v>0.50000046605244219</v>
      </c>
    </row>
    <row r="43" spans="1:23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W43"/>
    </row>
    <row r="44" spans="1:23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W44"/>
    </row>
    <row r="45" spans="1:23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W45"/>
    </row>
    <row r="46" spans="1:23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W46"/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</sheetData>
  <phoneticPr fontId="0" type="noConversion"/>
  <pageMargins left="0.38" right="0.75" top="0.73" bottom="0.74" header="0.5" footer="0.5"/>
  <pageSetup scale="62"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86"/>
  <sheetViews>
    <sheetView topLeftCell="A11" workbookViewId="0">
      <selection activeCell="D38" sqref="D38:I38"/>
    </sheetView>
  </sheetViews>
  <sheetFormatPr defaultRowHeight="13.2"/>
  <cols>
    <col min="1" max="1" width="11" customWidth="1"/>
    <col min="2" max="2" width="15" style="6" customWidth="1"/>
    <col min="3" max="3" width="14.109375" style="6" bestFit="1" customWidth="1"/>
    <col min="4" max="4" width="17.88671875" style="6" bestFit="1" customWidth="1"/>
    <col min="5" max="6" width="17.88671875" style="6" customWidth="1"/>
    <col min="7" max="7" width="12.5546875" style="6" customWidth="1"/>
    <col min="8" max="9" width="11.44140625" style="6" customWidth="1"/>
    <col min="10" max="10" width="11.5546875" customWidth="1"/>
    <col min="11" max="11" width="12.5546875" bestFit="1" customWidth="1"/>
    <col min="12" max="12" width="12.5546875" customWidth="1"/>
    <col min="13" max="13" width="12.5546875" bestFit="1" customWidth="1"/>
    <col min="14" max="14" width="11.5546875" bestFit="1" customWidth="1"/>
    <col min="15" max="17" width="11.5546875" customWidth="1"/>
    <col min="18" max="18" width="10.5546875" bestFit="1" customWidth="1"/>
    <col min="19" max="20" width="9.109375" customWidth="1"/>
  </cols>
  <sheetData>
    <row r="1" spans="1:18">
      <c r="B1" s="170" t="s">
        <v>57</v>
      </c>
      <c r="C1" s="171"/>
      <c r="D1" s="171"/>
      <c r="E1" s="171"/>
      <c r="F1" s="171"/>
      <c r="G1" s="171"/>
      <c r="H1" s="171"/>
      <c r="I1" s="171"/>
    </row>
    <row r="2" spans="1:18" ht="39.6">
      <c r="B2" s="9" t="str">
        <f>'Rate Class Energy Model'!H2</f>
        <v>Residential</v>
      </c>
      <c r="C2" s="9" t="str">
        <f>'Rate Class Energy Model'!I2</f>
        <v>General Service &lt; 50 kW</v>
      </c>
      <c r="D2" s="9" t="str">
        <f>'Rate Class Energy Model'!J2</f>
        <v>General Service 50 to 499 kW</v>
      </c>
      <c r="E2" s="9" t="str">
        <f>'Rate Class Energy Model'!K2</f>
        <v>General Service 500 to 1499 kW</v>
      </c>
      <c r="F2" s="9" t="str">
        <f>'Rate Class Energy Model'!L2</f>
        <v>General Service 1500-4999 kW</v>
      </c>
      <c r="G2" s="9" t="str">
        <f>'Rate Class Energy Model'!M2</f>
        <v>Unmetered Scattered Load</v>
      </c>
      <c r="H2" s="9" t="str">
        <f>'Rate Class Energy Model'!N2</f>
        <v>Sentinel Lighting</v>
      </c>
      <c r="I2" s="9" t="str">
        <f>'Rate Class Energy Model'!O2</f>
        <v xml:space="preserve">Street Lighting </v>
      </c>
      <c r="J2" s="1" t="s">
        <v>7</v>
      </c>
      <c r="L2" s="95" t="s">
        <v>105</v>
      </c>
      <c r="O2" t="s">
        <v>125</v>
      </c>
      <c r="Q2" s="108">
        <v>2023</v>
      </c>
      <c r="R2" s="108">
        <v>2024</v>
      </c>
    </row>
    <row r="3" spans="1:18" hidden="1">
      <c r="A3" s="4"/>
      <c r="B3" s="26"/>
      <c r="C3" s="26"/>
      <c r="D3" s="26"/>
      <c r="E3" s="26"/>
      <c r="F3" s="26"/>
      <c r="G3" s="26"/>
      <c r="H3" s="26"/>
      <c r="I3" s="26"/>
    </row>
    <row r="4" spans="1:18" hidden="1">
      <c r="A4" s="4">
        <v>2000</v>
      </c>
      <c r="B4" s="25"/>
      <c r="C4" s="25"/>
      <c r="D4" s="25"/>
      <c r="E4" s="25"/>
      <c r="F4" s="25"/>
      <c r="G4" s="25"/>
      <c r="H4" s="25"/>
      <c r="I4" s="25"/>
    </row>
    <row r="5" spans="1:18" hidden="1">
      <c r="A5" s="4">
        <v>2001</v>
      </c>
      <c r="B5" s="26" t="e">
        <f>(#REF!+#REF!)/2</f>
        <v>#REF!</v>
      </c>
      <c r="C5" s="26" t="e">
        <f>(#REF!+#REF!)/2</f>
        <v>#REF!</v>
      </c>
      <c r="D5" s="26" t="e">
        <f>(#REF!+#REF!)/2</f>
        <v>#REF!</v>
      </c>
      <c r="E5" s="26"/>
      <c r="F5" s="26"/>
      <c r="G5" s="26" t="e">
        <f>(#REF!+#REF!)/2</f>
        <v>#REF!</v>
      </c>
      <c r="H5" s="26" t="e">
        <f>(#REF!+#REF!)/2</f>
        <v>#REF!</v>
      </c>
      <c r="I5" s="26"/>
    </row>
    <row r="6" spans="1:18" hidden="1">
      <c r="A6" s="4">
        <v>2002</v>
      </c>
      <c r="B6" s="26" t="e">
        <f>(#REF!+#REF!)/2</f>
        <v>#REF!</v>
      </c>
      <c r="C6" s="26" t="e">
        <f>(#REF!+#REF!)/2</f>
        <v>#REF!</v>
      </c>
      <c r="D6" s="26" t="e">
        <f>(#REF!+#REF!)/2</f>
        <v>#REF!</v>
      </c>
      <c r="E6" s="26"/>
      <c r="F6" s="26"/>
      <c r="G6" s="26" t="e">
        <f>(#REF!+#REF!)/2</f>
        <v>#REF!</v>
      </c>
      <c r="H6" s="26">
        <v>0</v>
      </c>
      <c r="I6" s="26"/>
    </row>
    <row r="7" spans="1:18" hidden="1">
      <c r="A7" s="4">
        <v>2003</v>
      </c>
      <c r="B7" s="26" t="e">
        <f>(#REF!+#REF!)/2</f>
        <v>#REF!</v>
      </c>
      <c r="C7" s="26" t="e">
        <f>(#REF!+#REF!)/2</f>
        <v>#REF!</v>
      </c>
      <c r="D7" s="26" t="e">
        <f>(#REF!+#REF!)/2</f>
        <v>#REF!</v>
      </c>
      <c r="E7" s="26"/>
      <c r="F7" s="26"/>
      <c r="G7" s="26" t="e">
        <f>(#REF!+#REF!)/2</f>
        <v>#REF!</v>
      </c>
      <c r="H7" s="26" t="e">
        <f>(#REF!+#REF!)/2</f>
        <v>#REF!</v>
      </c>
      <c r="I7" s="26"/>
    </row>
    <row r="8" spans="1:18" hidden="1">
      <c r="A8" s="4">
        <v>2004</v>
      </c>
      <c r="B8" s="26" t="e">
        <f>(#REF!+#REF!)/2</f>
        <v>#REF!</v>
      </c>
      <c r="C8" s="26" t="e">
        <f>(#REF!+#REF!)/2</f>
        <v>#REF!</v>
      </c>
      <c r="D8" s="26" t="e">
        <f>(#REF!+#REF!)/2</f>
        <v>#REF!</v>
      </c>
      <c r="E8" s="26"/>
      <c r="F8" s="26"/>
      <c r="G8" s="26" t="e">
        <f>(#REF!+#REF!)/2</f>
        <v>#REF!</v>
      </c>
      <c r="H8" s="26" t="e">
        <f>(#REF!+#REF!)/2</f>
        <v>#REF!</v>
      </c>
      <c r="I8" s="26"/>
    </row>
    <row r="9" spans="1:18" hidden="1">
      <c r="A9" s="4">
        <v>2005</v>
      </c>
      <c r="B9" s="26" t="e">
        <f>(#REF!+#REF!)/2</f>
        <v>#REF!</v>
      </c>
      <c r="C9" s="26" t="e">
        <f>(#REF!+#REF!)/2</f>
        <v>#REF!</v>
      </c>
      <c r="D9" s="26" t="e">
        <f>(#REF!+#REF!)/2</f>
        <v>#REF!</v>
      </c>
      <c r="E9" s="26"/>
      <c r="F9" s="26"/>
      <c r="G9" s="26" t="e">
        <f>(#REF!+#REF!)/2</f>
        <v>#REF!</v>
      </c>
      <c r="H9" s="26" t="e">
        <f>(#REF!+#REF!)/2</f>
        <v>#REF!</v>
      </c>
      <c r="I9" s="26"/>
    </row>
    <row r="10" spans="1:18" hidden="1">
      <c r="A10" s="4">
        <v>2006</v>
      </c>
      <c r="B10" s="26" t="e">
        <f>(#REF!+#REF!)/2</f>
        <v>#REF!</v>
      </c>
      <c r="C10" s="26" t="e">
        <f>(#REF!+#REF!)/2</f>
        <v>#REF!</v>
      </c>
      <c r="D10" s="26" t="e">
        <f>(#REF!+#REF!)/2</f>
        <v>#REF!</v>
      </c>
      <c r="E10" s="26"/>
      <c r="F10" s="26"/>
      <c r="G10" s="26">
        <v>1</v>
      </c>
      <c r="H10" s="26" t="e">
        <f>(#REF!+#REF!)/2</f>
        <v>#REF!</v>
      </c>
      <c r="I10" s="26"/>
    </row>
    <row r="11" spans="1:18">
      <c r="A11" s="4">
        <v>2016</v>
      </c>
      <c r="B11" s="39">
        <f>Inputs!B8</f>
        <v>6293.916666666667</v>
      </c>
      <c r="C11" s="39">
        <f>Inputs!C8</f>
        <v>637.25</v>
      </c>
      <c r="D11" s="39">
        <f>Inputs!D8</f>
        <v>79.916666666666671</v>
      </c>
      <c r="E11" s="39">
        <f>Inputs!E8</f>
        <v>10</v>
      </c>
      <c r="F11" s="39">
        <f>Inputs!F8</f>
        <v>2</v>
      </c>
      <c r="G11" s="39">
        <f>Inputs!G8</f>
        <v>59.583333333333336</v>
      </c>
      <c r="H11" s="39">
        <f>Inputs!H8</f>
        <v>118.5</v>
      </c>
      <c r="I11" s="39">
        <f>Inputs!I8</f>
        <v>1</v>
      </c>
      <c r="J11" s="49">
        <f t="shared" ref="J11:J19" si="0">SUM(B11:I11)</f>
        <v>7202.166666666667</v>
      </c>
      <c r="L11" s="6">
        <f t="shared" ref="L11:L19" si="1">B11+C11+D11+E11+F11+I11</f>
        <v>7024.0833333333339</v>
      </c>
      <c r="M11" s="6"/>
      <c r="O11" s="144">
        <f>'Power Purchased Model'!L86</f>
        <v>8315</v>
      </c>
      <c r="Q11" s="110">
        <v>1.4722037241325342E-3</v>
      </c>
      <c r="R11" s="110">
        <v>2.6982277831991489E-3</v>
      </c>
    </row>
    <row r="12" spans="1:18">
      <c r="A12" s="4">
        <v>2017</v>
      </c>
      <c r="B12" s="39">
        <f>Inputs!B9</f>
        <v>6408.583333333333</v>
      </c>
      <c r="C12" s="39">
        <f>Inputs!C9</f>
        <v>642.08333333333337</v>
      </c>
      <c r="D12" s="39">
        <f>Inputs!D9</f>
        <v>80.083333333333329</v>
      </c>
      <c r="E12" s="39">
        <f>Inputs!E9</f>
        <v>10.416666666666666</v>
      </c>
      <c r="F12" s="39">
        <f>Inputs!F9</f>
        <v>2</v>
      </c>
      <c r="G12" s="39">
        <f>Inputs!G9</f>
        <v>58.5</v>
      </c>
      <c r="H12" s="39">
        <f>Inputs!H9</f>
        <v>113</v>
      </c>
      <c r="I12" s="39">
        <f>Inputs!I9</f>
        <v>1</v>
      </c>
      <c r="J12" s="49">
        <f t="shared" si="0"/>
        <v>7315.6666666666661</v>
      </c>
      <c r="L12" s="6">
        <f t="shared" si="1"/>
        <v>7144.1666666666661</v>
      </c>
      <c r="M12" s="6"/>
      <c r="P12" s="109" t="s">
        <v>91</v>
      </c>
      <c r="Q12" s="107">
        <f>O11*(1+$Q$11)</f>
        <v>8327.2413739661624</v>
      </c>
      <c r="R12" s="107">
        <f>Q23*(1+$R$11)</f>
        <v>8485.9271318984902</v>
      </c>
    </row>
    <row r="13" spans="1:18">
      <c r="A13" s="4">
        <v>2018</v>
      </c>
      <c r="B13" s="39">
        <f>Inputs!B10</f>
        <v>6516.333333333333</v>
      </c>
      <c r="C13" s="39">
        <f>Inputs!C10</f>
        <v>648</v>
      </c>
      <c r="D13" s="39">
        <f>Inputs!D10</f>
        <v>79.75</v>
      </c>
      <c r="E13" s="39">
        <f>Inputs!E10</f>
        <v>12.333333333333334</v>
      </c>
      <c r="F13" s="39">
        <f>Inputs!F10</f>
        <v>2</v>
      </c>
      <c r="G13" s="39">
        <f>Inputs!G10</f>
        <v>59.25</v>
      </c>
      <c r="H13" s="39">
        <f>Inputs!H10</f>
        <v>112</v>
      </c>
      <c r="I13" s="39">
        <f>Inputs!I10</f>
        <v>1</v>
      </c>
      <c r="J13" s="49">
        <f t="shared" si="0"/>
        <v>7430.6666666666661</v>
      </c>
      <c r="L13" s="6">
        <f t="shared" si="1"/>
        <v>7259.4166666666661</v>
      </c>
      <c r="M13" s="6"/>
      <c r="P13" s="109" t="s">
        <v>92</v>
      </c>
      <c r="Q13" s="107">
        <f>Q12*(1+$Q$11)</f>
        <v>8339.5007697286655</v>
      </c>
      <c r="R13" s="107">
        <f>R12*(1+$R$11)</f>
        <v>8508.8240962519812</v>
      </c>
    </row>
    <row r="14" spans="1:18">
      <c r="A14" s="4">
        <v>2019</v>
      </c>
      <c r="B14" s="39">
        <f>Inputs!B11</f>
        <v>6652</v>
      </c>
      <c r="C14" s="39">
        <f>Inputs!C11</f>
        <v>654.83333333333337</v>
      </c>
      <c r="D14" s="39">
        <f>Inputs!D11</f>
        <v>78.083333333333329</v>
      </c>
      <c r="E14" s="39">
        <f>Inputs!E11</f>
        <v>11.583333333333334</v>
      </c>
      <c r="F14" s="39">
        <f>Inputs!F11</f>
        <v>2</v>
      </c>
      <c r="G14" s="39">
        <f>Inputs!G11</f>
        <v>56.666666666666664</v>
      </c>
      <c r="H14" s="39">
        <f>Inputs!H11</f>
        <v>112</v>
      </c>
      <c r="I14" s="39">
        <f>Inputs!I11</f>
        <v>1</v>
      </c>
      <c r="J14" s="49">
        <f t="shared" si="0"/>
        <v>7568.1666666666661</v>
      </c>
      <c r="L14" s="6">
        <f t="shared" si="1"/>
        <v>7399.4999999999991</v>
      </c>
      <c r="M14" s="6"/>
      <c r="P14" s="109" t="s">
        <v>93</v>
      </c>
      <c r="Q14" s="107">
        <f t="shared" ref="Q14:Q23" si="2">Q13*(1+$Q$11)</f>
        <v>8351.778213819267</v>
      </c>
      <c r="R14" s="107">
        <f t="shared" ref="R14:R23" si="3">R13*(1+$R$11)</f>
        <v>8531.7828418308418</v>
      </c>
    </row>
    <row r="15" spans="1:18">
      <c r="A15" s="4">
        <v>2020</v>
      </c>
      <c r="B15" s="39">
        <f>Inputs!B12</f>
        <v>6823.416666666667</v>
      </c>
      <c r="C15" s="39">
        <f>Inputs!C12</f>
        <v>664.91666666666663</v>
      </c>
      <c r="D15" s="39">
        <f>Inputs!D12</f>
        <v>81</v>
      </c>
      <c r="E15" s="39">
        <f>Inputs!E12</f>
        <v>8</v>
      </c>
      <c r="F15" s="39">
        <f>Inputs!F12</f>
        <v>2</v>
      </c>
      <c r="G15" s="39">
        <f>Inputs!G12</f>
        <v>56.833333333333336</v>
      </c>
      <c r="H15" s="39">
        <f>Inputs!H12</f>
        <v>112.08333333333333</v>
      </c>
      <c r="I15" s="39">
        <f>Inputs!I12</f>
        <v>1</v>
      </c>
      <c r="J15" s="49">
        <f t="shared" si="0"/>
        <v>7749.25</v>
      </c>
      <c r="L15" s="6">
        <f>B15+C15+D15+E15+F15+I15</f>
        <v>7580.3333333333339</v>
      </c>
      <c r="M15" s="6"/>
      <c r="P15" s="109" t="s">
        <v>94</v>
      </c>
      <c r="Q15" s="107">
        <f t="shared" si="2"/>
        <v>8364.0737328087816</v>
      </c>
      <c r="R15" s="107">
        <f t="shared" si="3"/>
        <v>8554.8035353348914</v>
      </c>
    </row>
    <row r="16" spans="1:18">
      <c r="A16" s="4">
        <v>2021</v>
      </c>
      <c r="B16" s="39">
        <f>Inputs!B13</f>
        <v>7107.416666666667</v>
      </c>
      <c r="C16" s="39">
        <f>Inputs!C13</f>
        <v>672.33333333333337</v>
      </c>
      <c r="D16" s="39">
        <f>Inputs!D13</f>
        <v>77.333333333333329</v>
      </c>
      <c r="E16" s="39">
        <f>Inputs!E13</f>
        <v>8.5</v>
      </c>
      <c r="F16" s="39">
        <f>Inputs!F13</f>
        <v>2</v>
      </c>
      <c r="G16" s="39">
        <f>Inputs!G13</f>
        <v>56.833333333333336</v>
      </c>
      <c r="H16" s="39">
        <f>Inputs!H13</f>
        <v>112</v>
      </c>
      <c r="I16" s="39">
        <f>Inputs!I13</f>
        <v>1</v>
      </c>
      <c r="J16" s="49">
        <f t="shared" si="0"/>
        <v>8037.4166666666661</v>
      </c>
      <c r="L16" s="6">
        <f t="shared" si="1"/>
        <v>7868.583333333333</v>
      </c>
      <c r="M16" s="6"/>
      <c r="P16" s="109" t="s">
        <v>52</v>
      </c>
      <c r="Q16" s="107">
        <f t="shared" si="2"/>
        <v>8376.3873533071419</v>
      </c>
      <c r="R16" s="107">
        <f t="shared" si="3"/>
        <v>8577.8863439137422</v>
      </c>
    </row>
    <row r="17" spans="1:18">
      <c r="A17" s="4">
        <v>2022</v>
      </c>
      <c r="B17" s="39">
        <f>Inputs!B14</f>
        <v>7417.333333333333</v>
      </c>
      <c r="C17" s="39">
        <f>Inputs!C14</f>
        <v>682.25</v>
      </c>
      <c r="D17" s="39">
        <f>Inputs!D14</f>
        <v>74.166666666666671</v>
      </c>
      <c r="E17" s="39">
        <f>Inputs!E14</f>
        <v>6</v>
      </c>
      <c r="F17" s="39">
        <f>Inputs!F14</f>
        <v>2</v>
      </c>
      <c r="G17" s="39">
        <f>Inputs!G14</f>
        <v>55.916666666666664</v>
      </c>
      <c r="H17" s="39">
        <f>Inputs!H14</f>
        <v>116</v>
      </c>
      <c r="I17" s="39">
        <f>Inputs!I14</f>
        <v>1</v>
      </c>
      <c r="J17" s="49">
        <f t="shared" si="0"/>
        <v>8354.6666666666661</v>
      </c>
      <c r="L17" s="6">
        <f t="shared" si="1"/>
        <v>8182.75</v>
      </c>
      <c r="M17" s="6"/>
      <c r="P17" s="109" t="s">
        <v>95</v>
      </c>
      <c r="Q17" s="107">
        <f t="shared" si="2"/>
        <v>8388.7191019634574</v>
      </c>
      <c r="R17" s="107">
        <f t="shared" si="3"/>
        <v>8601.0314351680136</v>
      </c>
    </row>
    <row r="18" spans="1:18">
      <c r="A18" s="4">
        <v>2023</v>
      </c>
      <c r="B18" s="54">
        <f>B17*B34</f>
        <v>7623.1698783464881</v>
      </c>
      <c r="C18" s="54">
        <f t="shared" ref="C18:I18" si="4">C17*C34</f>
        <v>690.05307319726307</v>
      </c>
      <c r="D18" s="54">
        <f>D17*D34</f>
        <v>73.249386876733439</v>
      </c>
      <c r="E18" s="54">
        <f t="shared" si="4"/>
        <v>5.5103154130106713</v>
      </c>
      <c r="F18" s="54">
        <f t="shared" si="4"/>
        <v>2</v>
      </c>
      <c r="G18" s="54">
        <f t="shared" si="4"/>
        <v>55.327878835265906</v>
      </c>
      <c r="H18" s="54">
        <f t="shared" si="4"/>
        <v>115.58849143189126</v>
      </c>
      <c r="I18" s="54">
        <f t="shared" si="4"/>
        <v>1</v>
      </c>
      <c r="J18" s="49">
        <f t="shared" si="0"/>
        <v>8565.8990241006504</v>
      </c>
      <c r="L18" s="6">
        <f t="shared" si="1"/>
        <v>8394.9826538334946</v>
      </c>
      <c r="M18" s="6"/>
      <c r="P18" s="109" t="s">
        <v>96</v>
      </c>
      <c r="Q18" s="107">
        <f t="shared" si="2"/>
        <v>8401.0690054660699</v>
      </c>
      <c r="R18" s="107">
        <f t="shared" si="3"/>
        <v>8624.2389771505532</v>
      </c>
    </row>
    <row r="19" spans="1:18">
      <c r="A19" s="4">
        <v>2024</v>
      </c>
      <c r="B19" s="54">
        <f>B18*B34</f>
        <v>7834.7185413620182</v>
      </c>
      <c r="C19" s="54">
        <f t="shared" ref="C19:I19" si="5">C18*C34</f>
        <v>697.94539220078752</v>
      </c>
      <c r="D19" s="54">
        <f t="shared" si="5"/>
        <v>72.343451835739799</v>
      </c>
      <c r="E19" s="54">
        <f t="shared" si="5"/>
        <v>5.0605959918104944</v>
      </c>
      <c r="F19" s="54">
        <f t="shared" si="5"/>
        <v>2</v>
      </c>
      <c r="G19" s="54">
        <f t="shared" si="5"/>
        <v>54.745290785273298</v>
      </c>
      <c r="H19" s="54">
        <f t="shared" si="5"/>
        <v>115.17844268534826</v>
      </c>
      <c r="I19" s="54">
        <f t="shared" si="5"/>
        <v>1</v>
      </c>
      <c r="J19" s="49">
        <f t="shared" si="0"/>
        <v>8782.9917148609766</v>
      </c>
      <c r="L19" s="6">
        <f t="shared" si="1"/>
        <v>8613.0679813903553</v>
      </c>
      <c r="M19" s="59"/>
      <c r="P19" s="109" t="s">
        <v>97</v>
      </c>
      <c r="Q19" s="107">
        <f t="shared" si="2"/>
        <v>8413.4370905426113</v>
      </c>
      <c r="R19" s="107">
        <f t="shared" si="3"/>
        <v>8647.5091383676499</v>
      </c>
    </row>
    <row r="20" spans="1:18">
      <c r="A20" s="14"/>
      <c r="P20" s="109" t="s">
        <v>98</v>
      </c>
      <c r="Q20" s="107">
        <f t="shared" si="2"/>
        <v>8425.8233839600634</v>
      </c>
      <c r="R20" s="107">
        <f t="shared" si="3"/>
        <v>8670.8420877802619</v>
      </c>
    </row>
    <row r="21" spans="1:18">
      <c r="A21" s="14" t="s">
        <v>36</v>
      </c>
      <c r="B21" s="5"/>
      <c r="C21" s="5"/>
      <c r="D21" s="5"/>
      <c r="E21" s="5"/>
      <c r="F21" s="5"/>
      <c r="G21" s="5"/>
      <c r="H21" s="17"/>
      <c r="I21" s="17"/>
      <c r="P21" s="109" t="s">
        <v>99</v>
      </c>
      <c r="Q21" s="107">
        <f t="shared" si="2"/>
        <v>8438.2279125248133</v>
      </c>
      <c r="R21" s="107">
        <f t="shared" si="3"/>
        <v>8694.2379948052421</v>
      </c>
    </row>
    <row r="22" spans="1:18">
      <c r="A22" s="4"/>
      <c r="B22" s="17"/>
      <c r="C22" s="17"/>
      <c r="D22" s="17"/>
      <c r="E22" s="17"/>
      <c r="F22" s="17"/>
      <c r="G22" s="17"/>
      <c r="H22" s="17"/>
      <c r="I22" s="17"/>
      <c r="P22" s="109" t="s">
        <v>100</v>
      </c>
      <c r="Q22" s="107">
        <f t="shared" si="2"/>
        <v>8450.6507030827124</v>
      </c>
      <c r="R22" s="107">
        <f t="shared" si="3"/>
        <v>8717.6970293165705</v>
      </c>
    </row>
    <row r="23" spans="1:18" ht="13.8" thickBot="1">
      <c r="A23" s="4">
        <f t="shared" ref="A23:A29" si="6">+A11</f>
        <v>2016</v>
      </c>
      <c r="B23" s="17"/>
      <c r="C23" s="17"/>
      <c r="D23" s="17"/>
      <c r="E23" s="17"/>
      <c r="F23" s="17"/>
      <c r="G23" s="17"/>
      <c r="H23" s="17"/>
      <c r="I23" s="17"/>
      <c r="P23" s="146" t="s">
        <v>101</v>
      </c>
      <c r="Q23" s="145">
        <f t="shared" si="2"/>
        <v>8463.0917825191336</v>
      </c>
      <c r="R23" s="145">
        <f t="shared" si="3"/>
        <v>8741.2193616465847</v>
      </c>
    </row>
    <row r="24" spans="1:18" ht="13.8" thickTop="1">
      <c r="A24" s="4">
        <f t="shared" si="6"/>
        <v>2017</v>
      </c>
      <c r="B24" s="17">
        <f t="shared" ref="B24:I28" si="7">B12/B11</f>
        <v>1.0182186502840043</v>
      </c>
      <c r="C24" s="17">
        <f t="shared" si="7"/>
        <v>1.0075846737282594</v>
      </c>
      <c r="D24" s="17">
        <f t="shared" si="7"/>
        <v>1.0020855057351405</v>
      </c>
      <c r="E24" s="17">
        <f t="shared" si="7"/>
        <v>1.0416666666666665</v>
      </c>
      <c r="F24" s="17">
        <f t="shared" si="7"/>
        <v>1</v>
      </c>
      <c r="G24" s="17">
        <f t="shared" si="7"/>
        <v>0.98181818181818181</v>
      </c>
      <c r="H24" s="17">
        <f t="shared" si="7"/>
        <v>0.95358649789029537</v>
      </c>
      <c r="I24" s="17">
        <f t="shared" si="7"/>
        <v>1</v>
      </c>
      <c r="P24" s="109" t="s">
        <v>9</v>
      </c>
      <c r="Q24" s="107">
        <f>AVERAGE(Q12:Q23)</f>
        <v>8395.0000353074065</v>
      </c>
      <c r="R24" s="107">
        <f>AVERAGE(R12:R23)</f>
        <v>8612.9999977887346</v>
      </c>
    </row>
    <row r="25" spans="1:18">
      <c r="A25" s="4">
        <f t="shared" si="6"/>
        <v>2018</v>
      </c>
      <c r="B25" s="17">
        <f t="shared" si="7"/>
        <v>1.0168133882943449</v>
      </c>
      <c r="C25" s="17">
        <f t="shared" si="7"/>
        <v>1.009214795587281</v>
      </c>
      <c r="D25" s="17">
        <f t="shared" si="7"/>
        <v>0.99583766909469307</v>
      </c>
      <c r="E25" s="17">
        <f t="shared" si="7"/>
        <v>1.1840000000000002</v>
      </c>
      <c r="F25" s="17">
        <f t="shared" si="7"/>
        <v>1</v>
      </c>
      <c r="G25" s="17">
        <f t="shared" si="7"/>
        <v>1.0128205128205128</v>
      </c>
      <c r="H25" s="17">
        <f t="shared" si="7"/>
        <v>0.99115044247787609</v>
      </c>
      <c r="I25" s="17">
        <f t="shared" si="7"/>
        <v>1</v>
      </c>
      <c r="Q25" s="6">
        <f>L18</f>
        <v>8394.9826538334946</v>
      </c>
      <c r="R25" s="6">
        <f>L19</f>
        <v>8613.0679813903553</v>
      </c>
    </row>
    <row r="26" spans="1:18">
      <c r="A26" s="4">
        <f t="shared" si="6"/>
        <v>2019</v>
      </c>
      <c r="B26" s="17">
        <f t="shared" si="7"/>
        <v>1.0208194792572511</v>
      </c>
      <c r="C26" s="17">
        <f t="shared" si="7"/>
        <v>1.010545267489712</v>
      </c>
      <c r="D26" s="17">
        <f t="shared" si="7"/>
        <v>0.9791013584117032</v>
      </c>
      <c r="E26" s="17">
        <f t="shared" si="7"/>
        <v>0.93918918918918914</v>
      </c>
      <c r="F26" s="17">
        <f t="shared" si="7"/>
        <v>1</v>
      </c>
      <c r="G26" s="17">
        <f t="shared" si="7"/>
        <v>0.95639943741209565</v>
      </c>
      <c r="H26" s="17">
        <f t="shared" si="7"/>
        <v>1</v>
      </c>
      <c r="I26" s="17">
        <f t="shared" si="7"/>
        <v>1</v>
      </c>
      <c r="Q26" s="6">
        <f>Q24-Q25</f>
        <v>1.7381473911882495E-2</v>
      </c>
      <c r="R26" s="6">
        <f>R24-R25</f>
        <v>-6.7983601620653644E-2</v>
      </c>
    </row>
    <row r="27" spans="1:18">
      <c r="A27" s="4">
        <f t="shared" si="6"/>
        <v>2020</v>
      </c>
      <c r="B27" s="17">
        <f t="shared" si="7"/>
        <v>1.0257691922228904</v>
      </c>
      <c r="C27" s="17">
        <f t="shared" si="7"/>
        <v>1.0153983201832526</v>
      </c>
      <c r="D27" s="17">
        <f t="shared" si="7"/>
        <v>1.0373532550693705</v>
      </c>
      <c r="E27" s="17">
        <f t="shared" si="7"/>
        <v>0.69064748201438841</v>
      </c>
      <c r="F27" s="17">
        <f t="shared" si="7"/>
        <v>1</v>
      </c>
      <c r="G27" s="17">
        <f t="shared" si="7"/>
        <v>1.0029411764705882</v>
      </c>
      <c r="H27" s="17">
        <f t="shared" si="7"/>
        <v>1.0007440476190477</v>
      </c>
      <c r="I27" s="17">
        <f t="shared" si="7"/>
        <v>1</v>
      </c>
    </row>
    <row r="28" spans="1:18">
      <c r="A28" s="4">
        <f t="shared" si="6"/>
        <v>2021</v>
      </c>
      <c r="B28" s="17">
        <f t="shared" si="7"/>
        <v>1.0416213773647123</v>
      </c>
      <c r="C28" s="17">
        <f t="shared" si="7"/>
        <v>1.0111542799849607</v>
      </c>
      <c r="D28" s="17">
        <f t="shared" si="7"/>
        <v>0.95473251028806583</v>
      </c>
      <c r="E28" s="17">
        <f t="shared" si="7"/>
        <v>1.0625</v>
      </c>
      <c r="F28" s="17">
        <f t="shared" si="7"/>
        <v>1</v>
      </c>
      <c r="G28" s="17">
        <f t="shared" si="7"/>
        <v>1</v>
      </c>
      <c r="H28" s="17">
        <f t="shared" si="7"/>
        <v>0.99925650557620826</v>
      </c>
      <c r="I28" s="17">
        <f t="shared" si="7"/>
        <v>1</v>
      </c>
    </row>
    <row r="29" spans="1:18">
      <c r="A29" s="4">
        <f t="shared" si="6"/>
        <v>2022</v>
      </c>
      <c r="B29" s="17">
        <f>B17/B16</f>
        <v>1.0436046852466319</v>
      </c>
      <c r="C29" s="17">
        <f t="shared" ref="C29:I29" si="8">C17/C16</f>
        <v>1.0147496281606345</v>
      </c>
      <c r="D29" s="17">
        <f t="shared" si="8"/>
        <v>0.95905172413793116</v>
      </c>
      <c r="E29" s="17">
        <f t="shared" si="8"/>
        <v>0.70588235294117652</v>
      </c>
      <c r="F29" s="17">
        <f t="shared" si="8"/>
        <v>1</v>
      </c>
      <c r="G29" s="17">
        <f t="shared" si="8"/>
        <v>0.98387096774193539</v>
      </c>
      <c r="H29" s="17">
        <f t="shared" si="8"/>
        <v>1.0357142857142858</v>
      </c>
      <c r="I29" s="17">
        <f t="shared" si="8"/>
        <v>1</v>
      </c>
    </row>
    <row r="30" spans="1:18">
      <c r="A30" s="4"/>
      <c r="B30" s="17"/>
      <c r="C30" s="17"/>
      <c r="D30" s="17"/>
      <c r="E30" s="17"/>
      <c r="F30" s="17"/>
      <c r="G30" s="17"/>
      <c r="H30" s="17"/>
      <c r="I30" s="17"/>
    </row>
    <row r="31" spans="1:18">
      <c r="A31" s="4"/>
      <c r="B31" s="17"/>
      <c r="C31" s="17"/>
      <c r="D31" s="17"/>
      <c r="E31" s="17"/>
      <c r="F31" s="17"/>
      <c r="G31" s="17"/>
      <c r="H31" s="17"/>
      <c r="I31" s="17"/>
    </row>
    <row r="32" spans="1:18">
      <c r="A32" s="4"/>
      <c r="B32" s="17"/>
      <c r="C32" s="17"/>
      <c r="D32" s="17"/>
      <c r="E32" s="17"/>
      <c r="F32" s="17"/>
      <c r="G32" s="17"/>
      <c r="H32" s="17"/>
      <c r="I32" s="17"/>
    </row>
    <row r="34" spans="1:10">
      <c r="A34" t="s">
        <v>50</v>
      </c>
      <c r="B34" s="55">
        <f>B36</f>
        <v>1.0277507475750254</v>
      </c>
      <c r="C34" s="55">
        <f t="shared" ref="C34:G34" si="9">C36</f>
        <v>1.0114372637556073</v>
      </c>
      <c r="D34" s="55">
        <f t="shared" si="9"/>
        <v>0.98763218260764185</v>
      </c>
      <c r="E34" s="55">
        <f t="shared" si="9"/>
        <v>0.91838590216844529</v>
      </c>
      <c r="F34" s="55">
        <f t="shared" si="9"/>
        <v>1</v>
      </c>
      <c r="G34" s="55">
        <f t="shared" si="9"/>
        <v>0.98947026232964364</v>
      </c>
      <c r="H34" s="55">
        <f>+H36</f>
        <v>0.9964525123438901</v>
      </c>
      <c r="I34" s="55">
        <f>+I36</f>
        <v>1</v>
      </c>
      <c r="J34" s="43" t="s">
        <v>61</v>
      </c>
    </row>
    <row r="35" spans="1:10">
      <c r="B35" s="18"/>
      <c r="C35" s="18"/>
      <c r="D35" s="18"/>
      <c r="E35" s="18"/>
      <c r="F35" s="18"/>
      <c r="G35" s="18"/>
      <c r="H35" s="18"/>
      <c r="I35" s="18"/>
    </row>
    <row r="36" spans="1:10">
      <c r="A36" t="s">
        <v>10</v>
      </c>
      <c r="B36" s="18">
        <f>IF(B17="",0,GEOMEAN(B23:B29))</f>
        <v>1.0277507475750254</v>
      </c>
      <c r="C36" s="18">
        <f>IF(C17="",0,GEOMEAN(C23:C29))</f>
        <v>1.0114372637556073</v>
      </c>
      <c r="D36" s="18">
        <f>IF(D17="",0,GEOMEAN(D23:D29))</f>
        <v>0.98763218260764185</v>
      </c>
      <c r="E36" s="18">
        <f t="shared" ref="E36:I36" si="10">IF(E17="",0,GEOMEAN(E23:E29))</f>
        <v>0.91838590216844529</v>
      </c>
      <c r="F36" s="18">
        <f t="shared" si="10"/>
        <v>1</v>
      </c>
      <c r="G36" s="18">
        <f>IF(G17="",0,GEOMEAN(G23:G29))</f>
        <v>0.98947026232964364</v>
      </c>
      <c r="H36" s="18">
        <f t="shared" si="10"/>
        <v>0.9964525123438901</v>
      </c>
      <c r="I36" s="18">
        <f t="shared" si="10"/>
        <v>1</v>
      </c>
    </row>
    <row r="37" spans="1:10">
      <c r="A37" s="4"/>
      <c r="B37" s="18"/>
      <c r="C37" s="18"/>
      <c r="D37" s="18"/>
      <c r="E37" s="18"/>
      <c r="F37" s="18"/>
      <c r="G37" s="18"/>
      <c r="H37" s="18"/>
      <c r="I37" s="18"/>
    </row>
    <row r="38" spans="1:10">
      <c r="B38"/>
      <c r="C38"/>
      <c r="D38" s="159"/>
      <c r="E38" s="159"/>
      <c r="F38" s="159"/>
      <c r="G38" s="159"/>
      <c r="H38" s="159"/>
      <c r="I38" s="159"/>
    </row>
    <row r="39" spans="1:10">
      <c r="A39" s="3"/>
      <c r="B39"/>
      <c r="C39"/>
      <c r="D39"/>
      <c r="E39"/>
      <c r="F39"/>
      <c r="G39"/>
      <c r="H39"/>
      <c r="I39"/>
    </row>
    <row r="40" spans="1:10">
      <c r="A40" s="3"/>
      <c r="B40"/>
      <c r="C40"/>
      <c r="D40"/>
      <c r="E40"/>
      <c r="F40"/>
      <c r="G40"/>
      <c r="H40"/>
      <c r="I40"/>
    </row>
    <row r="41" spans="1:10">
      <c r="A41" s="3"/>
      <c r="B41"/>
      <c r="C41"/>
      <c r="D41"/>
      <c r="E41"/>
      <c r="F41"/>
      <c r="G41"/>
      <c r="H41"/>
      <c r="I41"/>
    </row>
    <row r="42" spans="1:10">
      <c r="A42" s="3"/>
      <c r="B42"/>
      <c r="C42"/>
      <c r="D42"/>
      <c r="E42"/>
      <c r="F42"/>
      <c r="G42"/>
      <c r="H42"/>
      <c r="I42"/>
    </row>
    <row r="43" spans="1:10">
      <c r="A43" s="3"/>
      <c r="B43"/>
      <c r="C43"/>
      <c r="D43"/>
      <c r="E43"/>
      <c r="F43"/>
      <c r="G43"/>
      <c r="H43"/>
      <c r="I43"/>
    </row>
    <row r="44" spans="1:10">
      <c r="A44" s="3"/>
      <c r="B44"/>
      <c r="C44"/>
      <c r="D44"/>
      <c r="E44"/>
      <c r="F44"/>
      <c r="G44"/>
      <c r="H44"/>
      <c r="I44"/>
    </row>
    <row r="45" spans="1:10">
      <c r="A45" s="3"/>
      <c r="B45"/>
      <c r="C45"/>
      <c r="D45"/>
      <c r="E45"/>
      <c r="F45"/>
      <c r="G45"/>
      <c r="H45"/>
      <c r="I45"/>
    </row>
    <row r="46" spans="1:10">
      <c r="A46" s="3"/>
      <c r="B46"/>
      <c r="C46"/>
      <c r="D46"/>
      <c r="E46"/>
      <c r="F46"/>
      <c r="G46"/>
      <c r="H46"/>
      <c r="I46"/>
    </row>
    <row r="47" spans="1:10">
      <c r="A47" s="3"/>
      <c r="B47"/>
      <c r="C47"/>
      <c r="D47"/>
      <c r="E47"/>
      <c r="F47"/>
      <c r="G47"/>
      <c r="H47"/>
      <c r="I47"/>
    </row>
    <row r="48" spans="1:10">
      <c r="A48" s="3"/>
      <c r="B48"/>
      <c r="C48"/>
      <c r="D48"/>
      <c r="E48"/>
      <c r="F48"/>
      <c r="G48"/>
      <c r="H48"/>
      <c r="I48"/>
    </row>
    <row r="49" spans="1:9">
      <c r="A49" s="3"/>
      <c r="B49"/>
      <c r="C49"/>
      <c r="D49"/>
      <c r="E49"/>
      <c r="F49"/>
      <c r="G49"/>
      <c r="H49"/>
      <c r="I49"/>
    </row>
    <row r="50" spans="1:9">
      <c r="A50" s="3"/>
      <c r="B50"/>
      <c r="C50"/>
      <c r="D50"/>
      <c r="E50"/>
      <c r="F50"/>
      <c r="G50"/>
      <c r="H50"/>
      <c r="I50"/>
    </row>
    <row r="51" spans="1:9">
      <c r="A51" s="3"/>
      <c r="B51"/>
      <c r="C51"/>
      <c r="D51"/>
      <c r="E51"/>
      <c r="F51"/>
      <c r="G51"/>
      <c r="H51"/>
      <c r="I51"/>
    </row>
    <row r="52" spans="1:9">
      <c r="A52" s="3"/>
      <c r="B52"/>
      <c r="C52"/>
      <c r="D52"/>
      <c r="E52"/>
      <c r="F52"/>
      <c r="G52"/>
      <c r="H52"/>
      <c r="I52"/>
    </row>
    <row r="53" spans="1:9">
      <c r="A53" s="3"/>
      <c r="B53"/>
      <c r="C53"/>
      <c r="D53"/>
      <c r="E53"/>
      <c r="F53"/>
      <c r="G53"/>
      <c r="H53"/>
      <c r="I53"/>
    </row>
    <row r="54" spans="1:9">
      <c r="A54" s="3"/>
      <c r="B54"/>
      <c r="C54"/>
      <c r="D54"/>
      <c r="E54"/>
      <c r="F54"/>
      <c r="G54"/>
      <c r="H54"/>
      <c r="I54"/>
    </row>
    <row r="55" spans="1:9">
      <c r="A55" s="3"/>
      <c r="B55"/>
      <c r="C55"/>
      <c r="D55"/>
      <c r="E55"/>
      <c r="F55"/>
      <c r="G55"/>
      <c r="H55"/>
      <c r="I55"/>
    </row>
    <row r="56" spans="1:9">
      <c r="A56" s="3"/>
      <c r="B56"/>
      <c r="C56"/>
      <c r="D56"/>
      <c r="E56"/>
      <c r="F56"/>
      <c r="G56"/>
      <c r="H56"/>
      <c r="I56"/>
    </row>
    <row r="57" spans="1:9">
      <c r="A57" s="3"/>
      <c r="B57"/>
      <c r="C57"/>
      <c r="D57"/>
      <c r="E57"/>
      <c r="F57"/>
      <c r="G57"/>
      <c r="H57"/>
      <c r="I57"/>
    </row>
    <row r="58" spans="1:9">
      <c r="A58" s="3"/>
      <c r="B58"/>
      <c r="C58"/>
      <c r="D58"/>
      <c r="E58"/>
      <c r="F58"/>
      <c r="G58"/>
      <c r="H58"/>
      <c r="I58"/>
    </row>
    <row r="59" spans="1:9">
      <c r="A59" s="3"/>
      <c r="B59"/>
      <c r="C59"/>
      <c r="D59"/>
      <c r="E59"/>
      <c r="F59"/>
      <c r="G59"/>
      <c r="H59"/>
      <c r="I59"/>
    </row>
    <row r="60" spans="1:9">
      <c r="A60" s="3"/>
      <c r="B60"/>
      <c r="C60"/>
      <c r="D60"/>
      <c r="E60"/>
      <c r="F60"/>
      <c r="G60"/>
      <c r="H60"/>
      <c r="I60"/>
    </row>
    <row r="61" spans="1:9">
      <c r="A61" s="3"/>
      <c r="B61"/>
      <c r="C61"/>
      <c r="D61"/>
      <c r="E61"/>
      <c r="F61"/>
      <c r="G61"/>
      <c r="H61"/>
      <c r="I61"/>
    </row>
    <row r="62" spans="1:9">
      <c r="A62" s="3"/>
      <c r="B62"/>
      <c r="C62"/>
      <c r="D62"/>
      <c r="E62"/>
      <c r="F62"/>
      <c r="G62"/>
      <c r="H62"/>
      <c r="I62"/>
    </row>
    <row r="63" spans="1:9">
      <c r="B63"/>
      <c r="C63"/>
      <c r="D63"/>
      <c r="E63"/>
      <c r="F63"/>
      <c r="G63"/>
      <c r="H63"/>
      <c r="I63"/>
    </row>
    <row r="64" spans="1:9">
      <c r="B64"/>
      <c r="C64"/>
      <c r="D64"/>
      <c r="E64"/>
      <c r="F64"/>
      <c r="G64"/>
      <c r="H64"/>
      <c r="I64"/>
    </row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</sheetData>
  <mergeCells count="1">
    <mergeCell ref="B1:I1"/>
  </mergeCells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O49"/>
  <sheetViews>
    <sheetView workbookViewId="0">
      <selection activeCell="B9" sqref="B9:D10"/>
    </sheetView>
  </sheetViews>
  <sheetFormatPr defaultRowHeight="13.2"/>
  <cols>
    <col min="1" max="1" width="11" customWidth="1"/>
    <col min="2" max="2" width="14.109375" style="6" bestFit="1" customWidth="1"/>
    <col min="3" max="4" width="14.109375" style="6" customWidth="1"/>
    <col min="5" max="6" width="12.5546875" style="6" customWidth="1"/>
    <col min="7" max="7" width="13.44140625" customWidth="1"/>
    <col min="8" max="8" width="13" customWidth="1"/>
    <col min="9" max="9" width="13.44140625" customWidth="1"/>
    <col min="10" max="10" width="12.5546875" bestFit="1" customWidth="1"/>
    <col min="12" max="12" width="12.44140625" style="6" bestFit="1" customWidth="1"/>
    <col min="13" max="13" width="13.44140625" bestFit="1" customWidth="1"/>
    <col min="14" max="15" width="9.109375" style="6" customWidth="1"/>
  </cols>
  <sheetData>
    <row r="1" spans="1:12" ht="26.4">
      <c r="B1" s="8" t="str">
        <f>'Rate Class Customer Model'!D2</f>
        <v>General Service 50 to 499 kW</v>
      </c>
      <c r="C1" s="8" t="str">
        <f>'Rate Class Customer Model'!E2</f>
        <v>General Service 500 to 1499 kW</v>
      </c>
      <c r="D1" s="8" t="str">
        <f>'Rate Class Customer Model'!F2</f>
        <v>General Service 1500-4999 kW</v>
      </c>
      <c r="E1" s="8" t="str">
        <f>'Rate Class Energy Model'!N2</f>
        <v>Sentinel Lighting</v>
      </c>
      <c r="F1" s="8" t="str">
        <f>'Rate Class Energy Model'!O2</f>
        <v xml:space="preserve">Street Lighting </v>
      </c>
      <c r="G1" s="52" t="s">
        <v>7</v>
      </c>
      <c r="L1" s="8"/>
    </row>
    <row r="2" spans="1:12">
      <c r="A2" s="22">
        <f>+'Rate Class Customer Model'!A11</f>
        <v>2016</v>
      </c>
      <c r="B2" s="39">
        <f>SUMIF(Inputs!$A$24:$A$143,'Rate Class Load Model'!$A$2,Inputs!$K$24:$K$143)</f>
        <v>143222.89000000001</v>
      </c>
      <c r="C2" s="39">
        <f>SUMIF(Inputs!$A$24:$A$143,'Rate Class Load Model'!$A$2,Inputs!$N$24:$N$143)</f>
        <v>103435.35</v>
      </c>
      <c r="D2" s="39">
        <f>SUMIF(Inputs!$A$24:$A$143,'Rate Class Load Model'!$A$2,Inputs!$Q$24:$Q$143)</f>
        <v>72106.679999999993</v>
      </c>
      <c r="E2" s="39">
        <f>SUMIF(Inputs!A$24:A$143,'Rate Class Load Model'!A2,Inputs!W$24:W$143)</f>
        <v>282.01</v>
      </c>
      <c r="F2" s="39">
        <f>SUMIF(Inputs!$A$24:$A$143,'Rate Class Load Model'!$A$2,Inputs!$Z$24:$Z$143)</f>
        <v>3831.24</v>
      </c>
      <c r="G2" s="49">
        <f t="shared" ref="G2:G10" si="0">SUM(B2:F2)</f>
        <v>322878.17000000004</v>
      </c>
      <c r="L2" s="40"/>
    </row>
    <row r="3" spans="1:12">
      <c r="A3" s="22">
        <f>+'Rate Class Customer Model'!A12</f>
        <v>2017</v>
      </c>
      <c r="B3" s="39">
        <f>SUMIF(Inputs!$A$24:$A$143,'Rate Class Load Model'!$A$3,Inputs!$K$24:$K$143)</f>
        <v>137627.43000000002</v>
      </c>
      <c r="C3" s="39">
        <f>SUMIF(Inputs!$A$24:$A$143,'Rate Class Load Model'!$A$3,Inputs!$N$24:$N$143)</f>
        <v>106160.91</v>
      </c>
      <c r="D3" s="39">
        <f>SUMIF(Inputs!$A$24:$A$143,'Rate Class Load Model'!$A$3,Inputs!$Q$24:$Q$143)</f>
        <v>68624.840000000011</v>
      </c>
      <c r="E3" s="39">
        <f>SUMIF(Inputs!A$24:A$143,'Rate Class Load Model'!A3,Inputs!W$24:W$143)</f>
        <v>262.84999999999997</v>
      </c>
      <c r="F3" s="39">
        <f>SUMIF(Inputs!$A$24:$A$143,'Rate Class Load Model'!$A$3,Inputs!$Z$24:$Z$143)</f>
        <v>3831.24</v>
      </c>
      <c r="G3" s="49">
        <f t="shared" si="0"/>
        <v>316507.27</v>
      </c>
      <c r="L3" s="40"/>
    </row>
    <row r="4" spans="1:12">
      <c r="A4" s="22">
        <f>+'Rate Class Customer Model'!A13</f>
        <v>2018</v>
      </c>
      <c r="B4" s="39">
        <f>SUMIF(Inputs!$A$24:$A$143,'Rate Class Load Model'!$A$4,Inputs!$K$24:$K$143)</f>
        <v>131465.72999999998</v>
      </c>
      <c r="C4" s="39">
        <f>SUMIF(Inputs!$A$24:$A$143,'Rate Class Load Model'!$A$4,Inputs!$N$24:$N$143)</f>
        <v>113440.98000000003</v>
      </c>
      <c r="D4" s="39">
        <f>SUMIF(Inputs!$A$24:$A$143,'Rate Class Load Model'!$A$4,Inputs!$Q$24:$Q$143)</f>
        <v>66586</v>
      </c>
      <c r="E4" s="39">
        <f>SUMIF(Inputs!A$24:A$143,'Rate Class Load Model'!A4,Inputs!W$24:W$143)</f>
        <v>256.44</v>
      </c>
      <c r="F4" s="39">
        <f>SUMIF(Inputs!$A$24:$A$143,'Rate Class Load Model'!$A$4,Inputs!$Z$24:$Z$143)</f>
        <v>3043.83</v>
      </c>
      <c r="G4" s="49">
        <f t="shared" si="0"/>
        <v>314792.98000000004</v>
      </c>
      <c r="L4" s="40"/>
    </row>
    <row r="5" spans="1:12">
      <c r="A5" s="22">
        <f>+'Rate Class Customer Model'!A14</f>
        <v>2019</v>
      </c>
      <c r="B5" s="39">
        <f>SUMIF(Inputs!$A$24:$A$143,'Rate Class Load Model'!$A$5,Inputs!$K$24:$K$143)</f>
        <v>131386.22</v>
      </c>
      <c r="C5" s="39">
        <f>SUMIF(Inputs!$A$24:$A$143,'Rate Class Load Model'!$A$5,Inputs!$N$24:$N$143)</f>
        <v>91315.26</v>
      </c>
      <c r="D5" s="39">
        <f>SUMIF(Inputs!$A$24:$A$143,'Rate Class Load Model'!$A$5,Inputs!$Q$24:$Q$143)</f>
        <v>60559.709999999992</v>
      </c>
      <c r="E5" s="39">
        <f>SUMIF(Inputs!A$24:A$143,'Rate Class Load Model'!A5,Inputs!W$24:W$143)</f>
        <v>216.62</v>
      </c>
      <c r="F5" s="39">
        <f>SUMIF(Inputs!$A$24:$A$143,'Rate Class Load Model'!$A$5,Inputs!$Z$24:$Z$143)</f>
        <v>1498</v>
      </c>
      <c r="G5" s="49">
        <f t="shared" si="0"/>
        <v>284975.80999999994</v>
      </c>
      <c r="L5" s="40"/>
    </row>
    <row r="6" spans="1:12">
      <c r="A6" s="22">
        <f>+'Rate Class Customer Model'!A15</f>
        <v>2020</v>
      </c>
      <c r="B6" s="39">
        <f>SUMIF(Inputs!$A$24:$A$143,'Rate Class Load Model'!$A$6,Inputs!$K$24:$K$143)</f>
        <v>137702.44</v>
      </c>
      <c r="C6" s="39">
        <f>SUMIF(Inputs!$A$24:$A$143,'Rate Class Load Model'!$A$6,Inputs!$N$24:$N$143)</f>
        <v>76762.569999999992</v>
      </c>
      <c r="D6" s="39">
        <f>SUMIF(Inputs!$A$24:$A$143,'Rate Class Load Model'!$A$6,Inputs!$Q$24:$Q$143)</f>
        <v>53164.5</v>
      </c>
      <c r="E6" s="39">
        <f>SUMIF(Inputs!A$24:A$143,'Rate Class Load Model'!A6,Inputs!W$24:W$143)</f>
        <v>202.49</v>
      </c>
      <c r="F6" s="39">
        <f>SUMIF(Inputs!$A$24:$A$143,'Rate Class Load Model'!$A$6,Inputs!$Z$24:$Z$143)</f>
        <v>1416</v>
      </c>
      <c r="G6" s="49">
        <f t="shared" si="0"/>
        <v>269248</v>
      </c>
    </row>
    <row r="7" spans="1:12">
      <c r="A7" s="22">
        <f>+'Rate Class Customer Model'!A16</f>
        <v>2021</v>
      </c>
      <c r="B7" s="39">
        <f>SUMIF(Inputs!$A$24:$A$143,'Rate Class Load Model'!$A$7,Inputs!$K$24:$K$143)</f>
        <v>146508.41</v>
      </c>
      <c r="C7" s="39">
        <f>SUMIF(Inputs!$A$24:$A$143,'Rate Class Load Model'!$A$7,Inputs!$N$24:$N$143)</f>
        <v>82836.580000000016</v>
      </c>
      <c r="D7" s="39">
        <f>SUMIF(Inputs!$A$24:$A$143,'Rate Class Load Model'!$A$7,Inputs!$Q$24:$Q$143)</f>
        <v>50923.430000000008</v>
      </c>
      <c r="E7" s="39">
        <f>SUMIF(Inputs!A$24:A$143,'Rate Class Load Model'!A7,Inputs!W$24:W$143)</f>
        <v>201.60999999999996</v>
      </c>
      <c r="F7" s="39">
        <f>SUMIF(Inputs!$A$24:$A$143,'Rate Class Load Model'!$A$7,Inputs!$Z$24:$Z$143)</f>
        <v>1646.5600000000004</v>
      </c>
      <c r="G7" s="49">
        <f t="shared" si="0"/>
        <v>282116.59000000003</v>
      </c>
    </row>
    <row r="8" spans="1:12">
      <c r="A8" s="22">
        <f>+'Rate Class Customer Model'!A17</f>
        <v>2022</v>
      </c>
      <c r="B8" s="39">
        <f>SUMIF(Inputs!$A$24:$A$143,'Rate Class Load Model'!$A$8,Inputs!$K$24:$K$143)</f>
        <v>160486.38999999998</v>
      </c>
      <c r="C8" s="39">
        <f>SUMIF(Inputs!$A$24:$A$143,'Rate Class Load Model'!$A$8,Inputs!$N$24:$N$143)</f>
        <v>73360.160000000003</v>
      </c>
      <c r="D8" s="39">
        <f>SUMIF(Inputs!$A$24:$A$143,'Rate Class Load Model'!$A$8,Inputs!$Q$24:$Q$143)</f>
        <v>48074.27</v>
      </c>
      <c r="E8" s="39">
        <f>SUMIF(Inputs!A$24:A$143,'Rate Class Load Model'!A8,Inputs!W$24:W$143)</f>
        <v>201.57</v>
      </c>
      <c r="F8" s="39">
        <f>SUMIF(Inputs!$A$24:$A$143,'Rate Class Load Model'!$A$8,Inputs!$Z$24:$Z$143)</f>
        <v>1667.5200000000002</v>
      </c>
      <c r="G8" s="49">
        <f t="shared" si="0"/>
        <v>283789.91000000003</v>
      </c>
    </row>
    <row r="9" spans="1:12">
      <c r="A9" s="22">
        <f>+'Rate Class Customer Model'!A18</f>
        <v>2023</v>
      </c>
      <c r="B9" s="23">
        <f>B21*'Rate Class Energy Model'!J28</f>
        <v>163381.4952140938</v>
      </c>
      <c r="C9" s="23">
        <f>C21*'Rate Class Energy Model'!K28</f>
        <v>62156.019677513104</v>
      </c>
      <c r="D9" s="23">
        <f>D21*'Rate Class Energy Model'!L28</f>
        <v>42700.001269265842</v>
      </c>
      <c r="E9" s="23">
        <f>E21*'Rate Class Energy Model'!N28</f>
        <v>195.9462932995628</v>
      </c>
      <c r="F9" s="23">
        <f>F21*'Rate Class Energy Model'!O28</f>
        <v>1675.8344854275467</v>
      </c>
      <c r="G9" s="49">
        <f t="shared" si="0"/>
        <v>270109.29693959985</v>
      </c>
    </row>
    <row r="10" spans="1:12">
      <c r="A10" s="22">
        <f>+'Rate Class Customer Model'!A19</f>
        <v>2024</v>
      </c>
      <c r="B10" s="23">
        <f>B21*'Rate Class Energy Model'!J29</f>
        <v>162219.23134519372</v>
      </c>
      <c r="C10" s="23">
        <f>C21*'Rate Class Energy Model'!K29</f>
        <v>57274.416291103771</v>
      </c>
      <c r="D10" s="23">
        <f>D21*'Rate Class Energy Model'!L29</f>
        <v>42760.163208889862</v>
      </c>
      <c r="E10" s="23">
        <f>E21*'Rate Class Energy Model'!N29</f>
        <v>195.25117624282211</v>
      </c>
      <c r="F10" s="23">
        <f>F21*'Rate Class Energy Model'!O29</f>
        <v>1675.8344854275467</v>
      </c>
      <c r="G10" s="49">
        <f t="shared" si="0"/>
        <v>264124.89650685777</v>
      </c>
    </row>
    <row r="11" spans="1:12">
      <c r="A11" s="14"/>
    </row>
    <row r="12" spans="1:12">
      <c r="A12" s="14" t="s">
        <v>51</v>
      </c>
      <c r="B12" s="5"/>
      <c r="C12" s="5"/>
      <c r="D12" s="5"/>
      <c r="E12" s="5"/>
      <c r="F12" s="5"/>
    </row>
    <row r="13" spans="1:12">
      <c r="A13" s="22">
        <f t="shared" ref="A13:A19" si="1">+A2</f>
        <v>2016</v>
      </c>
      <c r="B13" s="53">
        <f>B2/'Rate Class Energy Model'!J3</f>
        <v>3.206306594800755E-3</v>
      </c>
      <c r="C13" s="53">
        <f>C2/'Rate Class Energy Model'!K3</f>
        <v>2.4555351538325986E-3</v>
      </c>
      <c r="D13" s="53">
        <f>D2/'Rate Class Energy Model'!L3</f>
        <v>2.0287710526284424E-3</v>
      </c>
      <c r="E13" s="53">
        <f>E2/'Rate Class Energy Model'!N3</f>
        <v>2.7475388721558015E-3</v>
      </c>
      <c r="F13" s="53">
        <f>F2/'Rate Class Energy Model'!O3</f>
        <v>2.683662175765919E-3</v>
      </c>
      <c r="L13" s="20"/>
    </row>
    <row r="14" spans="1:12">
      <c r="A14" s="22">
        <f t="shared" si="1"/>
        <v>2017</v>
      </c>
      <c r="B14" s="53">
        <f>B3/'Rate Class Energy Model'!J4</f>
        <v>3.2311752756104054E-3</v>
      </c>
      <c r="C14" s="53">
        <f>C3/'Rate Class Energy Model'!K4</f>
        <v>2.7018189471110475E-3</v>
      </c>
      <c r="D14" s="53">
        <f>D3/'Rate Class Energy Model'!L4</f>
        <v>2.2298276257246719E-3</v>
      </c>
      <c r="E14" s="53">
        <f>E3/'Rate Class Energy Model'!N4</f>
        <v>2.6713174793495009E-3</v>
      </c>
      <c r="F14" s="53">
        <f>F3/'Rate Class Energy Model'!O4</f>
        <v>2.6926926838282284E-3</v>
      </c>
      <c r="L14" s="20"/>
    </row>
    <row r="15" spans="1:12">
      <c r="A15" s="22">
        <f t="shared" si="1"/>
        <v>2018</v>
      </c>
      <c r="B15" s="53">
        <f>B4/'Rate Class Energy Model'!J5</f>
        <v>3.1009850127899597E-3</v>
      </c>
      <c r="C15" s="53">
        <f>C4/'Rate Class Energy Model'!K5</f>
        <v>3.0721814589578247E-3</v>
      </c>
      <c r="D15" s="53">
        <f>D4/'Rate Class Energy Model'!L5</f>
        <v>2.3210786293680228E-3</v>
      </c>
      <c r="E15" s="53">
        <f>E4/'Rate Class Energy Model'!N5</f>
        <v>2.6764196718724511E-3</v>
      </c>
      <c r="F15" s="53">
        <f>F4/'Rate Class Energy Model'!O5</f>
        <v>2.7246840514798549E-3</v>
      </c>
      <c r="L15" s="20"/>
    </row>
    <row r="16" spans="1:12">
      <c r="A16" s="22">
        <f t="shared" si="1"/>
        <v>2019</v>
      </c>
      <c r="B16" s="53">
        <f>B5/'Rate Class Energy Model'!J6</f>
        <v>3.0751306159811187E-3</v>
      </c>
      <c r="C16" s="53">
        <f>C5/'Rate Class Energy Model'!K6</f>
        <v>3.2428293138747413E-3</v>
      </c>
      <c r="D16" s="53">
        <f>D5/'Rate Class Energy Model'!L6</f>
        <v>2.2664217412501626E-3</v>
      </c>
      <c r="E16" s="53">
        <f>E5/'Rate Class Energy Model'!N6</f>
        <v>2.7198427608952857E-3</v>
      </c>
      <c r="F16" s="53">
        <f>F5/'Rate Class Energy Model'!O6</f>
        <v>2.7453395204269388E-3</v>
      </c>
      <c r="L16" s="20"/>
    </row>
    <row r="17" spans="1:12">
      <c r="A17" s="22">
        <f t="shared" si="1"/>
        <v>2020</v>
      </c>
      <c r="B17" s="53">
        <f>B6/'Rate Class Energy Model'!J7</f>
        <v>3.1447105729990525E-3</v>
      </c>
      <c r="C17" s="53">
        <f>C6/'Rate Class Energy Model'!K7</f>
        <v>3.0531496572583955E-3</v>
      </c>
      <c r="D17" s="53">
        <f>D6/'Rate Class Energy Model'!L7</f>
        <v>2.5852195880349048E-3</v>
      </c>
      <c r="E17" s="53">
        <f>E6/'Rate Class Energy Model'!N7</f>
        <v>2.6995722333217529E-3</v>
      </c>
      <c r="F17" s="53">
        <f>F6/'Rate Class Energy Model'!O7</f>
        <v>2.6836632002683663E-3</v>
      </c>
      <c r="L17" s="20"/>
    </row>
    <row r="18" spans="1:12">
      <c r="A18" s="22">
        <f t="shared" si="1"/>
        <v>2021</v>
      </c>
      <c r="B18" s="53">
        <f>B7/'Rate Class Energy Model'!J8</f>
        <v>3.1338536463987265E-3</v>
      </c>
      <c r="C18" s="53">
        <f>C7/'Rate Class Energy Model'!K8</f>
        <v>3.0616729212468072E-3</v>
      </c>
      <c r="D18" s="53">
        <f>D7/'Rate Class Energy Model'!L8</f>
        <v>2.7527314586887493E-3</v>
      </c>
      <c r="E18" s="53">
        <f>E7/'Rate Class Energy Model'!N8</f>
        <v>2.7832077086611994E-3</v>
      </c>
      <c r="F18" s="53">
        <f>F7/'Rate Class Energy Model'!O8</f>
        <v>2.7110069490133919E-3</v>
      </c>
      <c r="L18" s="20"/>
    </row>
    <row r="19" spans="1:12">
      <c r="A19" s="22">
        <f t="shared" si="1"/>
        <v>2022</v>
      </c>
      <c r="B19" s="53">
        <f>B8/'Rate Class Energy Model'!J9</f>
        <v>2.9676005324387497E-3</v>
      </c>
      <c r="C19" s="53">
        <f>C8/'Rate Class Energy Model'!K9</f>
        <v>3.1729516791273839E-3</v>
      </c>
      <c r="D19" s="53">
        <f>D8/'Rate Class Energy Model'!L9</f>
        <v>2.7007784329047841E-3</v>
      </c>
      <c r="E19" s="53">
        <f>E8/'Rate Class Energy Model'!N9</f>
        <v>2.7960366385250479E-3</v>
      </c>
      <c r="F19" s="53">
        <f>F8/'Rate Class Energy Model'!O9</f>
        <v>2.691186364655753E-3</v>
      </c>
      <c r="L19" s="20"/>
    </row>
    <row r="21" spans="1:12">
      <c r="A21" s="43" t="s">
        <v>50</v>
      </c>
      <c r="B21" s="20">
        <f>B23</f>
        <v>3.1228231787169664E-3</v>
      </c>
      <c r="C21" s="20">
        <f t="shared" ref="C21:D21" si="2">C23</f>
        <v>2.9657341616298283E-3</v>
      </c>
      <c r="D21" s="20">
        <f t="shared" si="2"/>
        <v>2.4121183612285341E-3</v>
      </c>
      <c r="E21" s="20">
        <f t="shared" ref="E21:F21" si="3">E23</f>
        <v>2.7277050521115767E-3</v>
      </c>
      <c r="F21" s="20">
        <f t="shared" si="3"/>
        <v>2.7046049922054929E-3</v>
      </c>
    </row>
    <row r="23" spans="1:12">
      <c r="A23" t="s">
        <v>9</v>
      </c>
      <c r="B23" s="20">
        <f>AVERAGE(B13:B19)</f>
        <v>3.1228231787169664E-3</v>
      </c>
      <c r="C23" s="20">
        <f t="shared" ref="C23:D23" si="4">AVERAGE(C13:C19)</f>
        <v>2.9657341616298283E-3</v>
      </c>
      <c r="D23" s="20">
        <f t="shared" si="4"/>
        <v>2.4121183612285341E-3</v>
      </c>
      <c r="E23" s="20">
        <f>AVERAGE(E13:E19)</f>
        <v>2.7277050521115767E-3</v>
      </c>
      <c r="F23" s="20">
        <f>AVERAGE(F13:F19)</f>
        <v>2.7046049922054929E-3</v>
      </c>
      <c r="K23" s="20"/>
      <c r="L23" s="20"/>
    </row>
    <row r="26" spans="1:12">
      <c r="B26" s="60"/>
      <c r="C26" s="60"/>
      <c r="D26" s="60"/>
      <c r="E26" s="60"/>
      <c r="F26" s="60"/>
    </row>
    <row r="28" spans="1:12">
      <c r="B28" s="19"/>
      <c r="C28" s="19"/>
      <c r="D28" s="19"/>
      <c r="E28" s="19"/>
      <c r="F28" s="19"/>
    </row>
    <row r="29" spans="1:12">
      <c r="B29" s="19"/>
      <c r="C29" s="19"/>
      <c r="D29" s="19"/>
      <c r="E29" s="19"/>
      <c r="F29" s="19"/>
    </row>
    <row r="48" spans="2:6">
      <c r="B48" s="13"/>
      <c r="C48" s="13"/>
      <c r="D48" s="13"/>
      <c r="E48" s="13"/>
      <c r="F48" s="13"/>
    </row>
    <row r="49" spans="2:6">
      <c r="B49" s="13"/>
      <c r="C49" s="13"/>
      <c r="D49" s="13"/>
      <c r="E49" s="13"/>
      <c r="F49" s="13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topLeftCell="A13" workbookViewId="0">
      <selection activeCell="P1" sqref="P1:Q1048576"/>
    </sheetView>
  </sheetViews>
  <sheetFormatPr defaultRowHeight="13.2"/>
  <cols>
    <col min="13" max="14" width="9.88671875" bestFit="1" customWidth="1"/>
    <col min="16" max="16" width="8.88671875" customWidth="1"/>
  </cols>
  <sheetData>
    <row r="1" spans="1:14">
      <c r="A1" s="14" t="s">
        <v>129</v>
      </c>
    </row>
    <row r="2" spans="1:14">
      <c r="A2" s="147"/>
    </row>
    <row r="3" spans="1:14">
      <c r="A3" s="148" t="s">
        <v>130</v>
      </c>
    </row>
    <row r="4" spans="1:14">
      <c r="A4" s="149"/>
    </row>
    <row r="5" spans="1:14">
      <c r="A5" s="150" t="s">
        <v>103</v>
      </c>
      <c r="B5" s="150">
        <f t="shared" ref="B5:L5" si="0">B24</f>
        <v>2013</v>
      </c>
      <c r="C5" s="150">
        <f t="shared" si="0"/>
        <v>2014</v>
      </c>
      <c r="D5" s="150">
        <f t="shared" si="0"/>
        <v>2015</v>
      </c>
      <c r="E5" s="150">
        <f t="shared" si="0"/>
        <v>2016</v>
      </c>
      <c r="F5" s="150">
        <f t="shared" si="0"/>
        <v>2017</v>
      </c>
      <c r="G5" s="150">
        <f t="shared" si="0"/>
        <v>2018</v>
      </c>
      <c r="H5" s="150">
        <f t="shared" si="0"/>
        <v>2019</v>
      </c>
      <c r="I5" s="150">
        <f t="shared" si="0"/>
        <v>2020</v>
      </c>
      <c r="J5" s="150">
        <f t="shared" si="0"/>
        <v>2021</v>
      </c>
      <c r="K5" s="150">
        <f t="shared" si="0"/>
        <v>2022</v>
      </c>
      <c r="L5" s="150">
        <f t="shared" si="0"/>
        <v>2023</v>
      </c>
      <c r="M5" s="151" t="s">
        <v>133</v>
      </c>
      <c r="N5" s="151" t="s">
        <v>131</v>
      </c>
    </row>
    <row r="6" spans="1:14">
      <c r="A6" s="149"/>
    </row>
    <row r="7" spans="1:14">
      <c r="A7" s="152"/>
    </row>
    <row r="8" spans="1:14">
      <c r="A8" s="152" t="s">
        <v>78</v>
      </c>
      <c r="B8" s="153">
        <v>620.79999999999995</v>
      </c>
      <c r="C8" s="153">
        <v>852.0999999999998</v>
      </c>
      <c r="D8" s="153">
        <v>829.49999999999989</v>
      </c>
      <c r="E8" s="153">
        <v>699.50000000000023</v>
      </c>
      <c r="F8" s="153">
        <v>605.4</v>
      </c>
      <c r="G8" s="153">
        <v>764.80000000000007</v>
      </c>
      <c r="H8" s="153">
        <v>778.9</v>
      </c>
      <c r="I8" s="153">
        <v>602.6</v>
      </c>
      <c r="J8" s="153">
        <v>615.30000000000007</v>
      </c>
      <c r="K8" s="153">
        <v>824.49999999999989</v>
      </c>
      <c r="L8" s="153">
        <v>545.69999999999993</v>
      </c>
      <c r="M8" s="154">
        <f>AVERAGE(E8:K8)</f>
        <v>698.71428571428567</v>
      </c>
      <c r="N8" s="154">
        <f>AVERAGE(B8:K8)</f>
        <v>719.33999999999992</v>
      </c>
    </row>
    <row r="9" spans="1:14">
      <c r="A9" s="152" t="s">
        <v>79</v>
      </c>
      <c r="B9" s="153">
        <v>651.29999999999995</v>
      </c>
      <c r="C9" s="153">
        <v>800.7</v>
      </c>
      <c r="D9" s="153">
        <v>884.09999999999991</v>
      </c>
      <c r="E9" s="153">
        <v>603.99999999999989</v>
      </c>
      <c r="F9" s="153">
        <v>507.69999999999993</v>
      </c>
      <c r="G9" s="153">
        <v>585</v>
      </c>
      <c r="H9" s="153">
        <v>636.20000000000005</v>
      </c>
      <c r="I9" s="153">
        <v>602.69999999999993</v>
      </c>
      <c r="J9" s="153">
        <v>692.7</v>
      </c>
      <c r="K9" s="153">
        <v>635.30000000000018</v>
      </c>
      <c r="L9" s="153">
        <v>534.49999999999989</v>
      </c>
      <c r="M9" s="154">
        <f t="shared" ref="M9:M19" si="1">AVERAGE(E9:K9)</f>
        <v>609.08571428571418</v>
      </c>
      <c r="N9" s="154">
        <f t="shared" ref="N9:N19" si="2">AVERAGE(B9:K9)</f>
        <v>659.97</v>
      </c>
    </row>
    <row r="10" spans="1:14">
      <c r="A10" s="152" t="s">
        <v>80</v>
      </c>
      <c r="B10" s="153">
        <v>593.4</v>
      </c>
      <c r="C10" s="153">
        <v>726</v>
      </c>
      <c r="D10" s="153">
        <v>651.70000000000005</v>
      </c>
      <c r="E10" s="153">
        <v>466.50000000000006</v>
      </c>
      <c r="F10" s="153">
        <v>568.4</v>
      </c>
      <c r="G10" s="153">
        <v>591.50000000000011</v>
      </c>
      <c r="H10" s="153">
        <v>617</v>
      </c>
      <c r="I10" s="153">
        <v>463.4</v>
      </c>
      <c r="J10" s="153">
        <v>456</v>
      </c>
      <c r="K10" s="153">
        <v>499.2</v>
      </c>
      <c r="L10" s="153">
        <v>556.09999999999991</v>
      </c>
      <c r="M10" s="154">
        <f t="shared" si="1"/>
        <v>523.14285714285711</v>
      </c>
      <c r="N10" s="154">
        <f t="shared" si="2"/>
        <v>563.30999999999995</v>
      </c>
    </row>
    <row r="11" spans="1:14">
      <c r="A11" s="152" t="s">
        <v>81</v>
      </c>
      <c r="B11" s="153">
        <v>347.5</v>
      </c>
      <c r="C11" s="153">
        <v>359.59999999999997</v>
      </c>
      <c r="D11" s="153">
        <v>340.09999999999997</v>
      </c>
      <c r="E11" s="153">
        <v>391.09999999999997</v>
      </c>
      <c r="F11" s="153">
        <v>255.80000000000004</v>
      </c>
      <c r="G11" s="153">
        <v>454.2000000000001</v>
      </c>
      <c r="H11" s="153">
        <v>346.60000000000014</v>
      </c>
      <c r="I11" s="153">
        <v>381.59999999999997</v>
      </c>
      <c r="J11" s="153">
        <v>302.70000000000005</v>
      </c>
      <c r="K11" s="153">
        <v>371.9</v>
      </c>
      <c r="L11" s="153">
        <v>290.59999999999997</v>
      </c>
      <c r="M11" s="154">
        <f t="shared" si="1"/>
        <v>357.7</v>
      </c>
      <c r="N11" s="154">
        <f t="shared" si="2"/>
        <v>355.11</v>
      </c>
    </row>
    <row r="12" spans="1:14">
      <c r="A12" s="152" t="s">
        <v>52</v>
      </c>
      <c r="B12" s="153">
        <v>117.60000000000002</v>
      </c>
      <c r="C12" s="153">
        <v>147.69999999999996</v>
      </c>
      <c r="D12" s="153">
        <v>106.7</v>
      </c>
      <c r="E12" s="153">
        <v>148.19999999999996</v>
      </c>
      <c r="F12" s="153">
        <v>194.60000000000002</v>
      </c>
      <c r="G12" s="153">
        <v>83.5</v>
      </c>
      <c r="H12" s="153">
        <v>184.20000000000002</v>
      </c>
      <c r="I12" s="153">
        <v>213.39999999999995</v>
      </c>
      <c r="J12" s="153">
        <v>175.60000000000005</v>
      </c>
      <c r="K12" s="153">
        <v>120.5</v>
      </c>
      <c r="L12" s="153">
        <v>153</v>
      </c>
      <c r="M12" s="154">
        <f t="shared" si="1"/>
        <v>160</v>
      </c>
      <c r="N12" s="154">
        <f t="shared" si="2"/>
        <v>149.19999999999999</v>
      </c>
    </row>
    <row r="13" spans="1:14">
      <c r="A13" s="152" t="s">
        <v>82</v>
      </c>
      <c r="B13" s="153">
        <v>47</v>
      </c>
      <c r="C13" s="153">
        <v>21</v>
      </c>
      <c r="D13" s="153">
        <v>33.300000000000004</v>
      </c>
      <c r="E13" s="153">
        <v>42.5</v>
      </c>
      <c r="F13" s="153">
        <v>37.400000000000006</v>
      </c>
      <c r="G13" s="153">
        <v>22.600000000000005</v>
      </c>
      <c r="H13" s="153">
        <v>37.800000000000004</v>
      </c>
      <c r="I13" s="153">
        <v>33.9</v>
      </c>
      <c r="J13" s="153">
        <v>20.799999999999997</v>
      </c>
      <c r="K13" s="153">
        <v>36.700000000000003</v>
      </c>
      <c r="L13" s="153">
        <v>34.9</v>
      </c>
      <c r="M13" s="154">
        <f t="shared" si="1"/>
        <v>33.1</v>
      </c>
      <c r="N13" s="154">
        <f t="shared" si="2"/>
        <v>33.299999999999997</v>
      </c>
    </row>
    <row r="14" spans="1:14">
      <c r="A14" s="152" t="s">
        <v>83</v>
      </c>
      <c r="B14" s="153">
        <v>8.3000000000000007</v>
      </c>
      <c r="C14" s="153">
        <v>26.799999999999997</v>
      </c>
      <c r="D14" s="153">
        <v>10.499999999999998</v>
      </c>
      <c r="E14" s="153">
        <v>4.4000000000000004</v>
      </c>
      <c r="F14" s="153">
        <v>0.8</v>
      </c>
      <c r="G14" s="153">
        <v>3.6</v>
      </c>
      <c r="H14" s="153">
        <v>0</v>
      </c>
      <c r="I14" s="153">
        <v>0</v>
      </c>
      <c r="J14" s="153">
        <v>6</v>
      </c>
      <c r="K14" s="153">
        <v>0.9</v>
      </c>
      <c r="L14" s="153">
        <v>2.4</v>
      </c>
      <c r="M14" s="154">
        <f t="shared" si="1"/>
        <v>2.2428571428571429</v>
      </c>
      <c r="N14" s="154">
        <f t="shared" si="2"/>
        <v>6.129999999999999</v>
      </c>
    </row>
    <row r="15" spans="1:14">
      <c r="A15" s="152" t="s">
        <v>84</v>
      </c>
      <c r="B15" s="153">
        <v>23.3</v>
      </c>
      <c r="C15" s="153">
        <v>19.3</v>
      </c>
      <c r="D15" s="153">
        <v>19.600000000000001</v>
      </c>
      <c r="E15" s="153">
        <v>0.7</v>
      </c>
      <c r="F15" s="153">
        <v>23.500000000000004</v>
      </c>
      <c r="G15" s="153">
        <v>3.5999999999999996</v>
      </c>
      <c r="H15" s="153">
        <v>11.099999999999998</v>
      </c>
      <c r="I15" s="153">
        <v>5.6</v>
      </c>
      <c r="J15" s="153">
        <v>2.2999999999999998</v>
      </c>
      <c r="K15" s="153">
        <v>2.2000000000000002</v>
      </c>
      <c r="L15" s="153">
        <v>19.8</v>
      </c>
      <c r="M15" s="154">
        <f t="shared" si="1"/>
        <v>7.0000000000000009</v>
      </c>
      <c r="N15" s="154">
        <f t="shared" si="2"/>
        <v>11.12</v>
      </c>
    </row>
    <row r="16" spans="1:14">
      <c r="A16" s="152" t="s">
        <v>85</v>
      </c>
      <c r="B16" s="153">
        <v>103.4</v>
      </c>
      <c r="C16" s="153">
        <v>92.799999999999983</v>
      </c>
      <c r="D16" s="153">
        <v>36.099999999999994</v>
      </c>
      <c r="E16" s="153">
        <v>40.9</v>
      </c>
      <c r="F16" s="153">
        <v>71.399999999999991</v>
      </c>
      <c r="G16" s="153">
        <v>68.699999999999989</v>
      </c>
      <c r="H16" s="153">
        <v>47.999999999999986</v>
      </c>
      <c r="I16" s="153">
        <v>91.6</v>
      </c>
      <c r="J16" s="153">
        <v>58.4</v>
      </c>
      <c r="K16" s="153">
        <v>69.899999999999991</v>
      </c>
      <c r="L16" s="153">
        <v>52.500000000000007</v>
      </c>
      <c r="M16" s="154">
        <f t="shared" si="1"/>
        <v>64.128571428571405</v>
      </c>
      <c r="N16" s="154">
        <f t="shared" si="2"/>
        <v>68.11999999999999</v>
      </c>
    </row>
    <row r="17" spans="1:19">
      <c r="A17" s="152" t="s">
        <v>86</v>
      </c>
      <c r="B17" s="153">
        <v>217.6</v>
      </c>
      <c r="C17" s="153">
        <v>253.09999999999997</v>
      </c>
      <c r="D17" s="153">
        <v>261.09999999999997</v>
      </c>
      <c r="E17" s="153">
        <v>212.90000000000003</v>
      </c>
      <c r="F17" s="153">
        <v>184.39999999999998</v>
      </c>
      <c r="G17" s="153">
        <v>293.89999999999998</v>
      </c>
      <c r="H17" s="153">
        <v>248.3</v>
      </c>
      <c r="I17" s="153">
        <v>273.00000000000006</v>
      </c>
      <c r="J17" s="153">
        <v>157.30000000000001</v>
      </c>
      <c r="K17" s="153">
        <v>254</v>
      </c>
      <c r="L17" s="153">
        <v>210.69999999999996</v>
      </c>
      <c r="M17" s="154">
        <f t="shared" si="1"/>
        <v>231.97142857142856</v>
      </c>
      <c r="N17" s="154">
        <f t="shared" si="2"/>
        <v>235.56</v>
      </c>
    </row>
    <row r="18" spans="1:19">
      <c r="A18" s="152" t="s">
        <v>87</v>
      </c>
      <c r="B18" s="153">
        <v>499.59999999999997</v>
      </c>
      <c r="C18" s="153">
        <v>509.80000000000013</v>
      </c>
      <c r="D18" s="153">
        <v>358.5</v>
      </c>
      <c r="E18" s="153">
        <v>364.5</v>
      </c>
      <c r="F18" s="153">
        <v>447.5</v>
      </c>
      <c r="G18" s="153">
        <v>526.9</v>
      </c>
      <c r="H18" s="153">
        <v>527.1</v>
      </c>
      <c r="I18" s="153">
        <v>354.3</v>
      </c>
      <c r="J18" s="153">
        <v>447.7000000000001</v>
      </c>
      <c r="K18" s="153">
        <v>401.29999999999995</v>
      </c>
      <c r="L18" s="153">
        <v>448.1</v>
      </c>
      <c r="M18" s="154">
        <f t="shared" si="1"/>
        <v>438.47142857142859</v>
      </c>
      <c r="N18" s="154">
        <f t="shared" si="2"/>
        <v>443.72000000000008</v>
      </c>
    </row>
    <row r="19" spans="1:19">
      <c r="A19" s="152" t="s">
        <v>88</v>
      </c>
      <c r="B19" s="153">
        <v>694.6</v>
      </c>
      <c r="C19" s="153">
        <v>573.49999999999989</v>
      </c>
      <c r="D19" s="153">
        <v>452.59999999999997</v>
      </c>
      <c r="E19" s="153">
        <v>645.10000000000014</v>
      </c>
      <c r="F19" s="153">
        <v>730</v>
      </c>
      <c r="G19" s="153">
        <v>573.5</v>
      </c>
      <c r="H19" s="153">
        <v>535.89999999999986</v>
      </c>
      <c r="I19" s="153">
        <v>567.59999999999991</v>
      </c>
      <c r="J19" s="153">
        <v>515.4</v>
      </c>
      <c r="K19" s="153">
        <v>557.30000000000007</v>
      </c>
      <c r="L19" s="153">
        <v>462.29999999999995</v>
      </c>
      <c r="M19" s="154">
        <f t="shared" si="1"/>
        <v>589.25714285714287</v>
      </c>
      <c r="N19" s="154">
        <f t="shared" si="2"/>
        <v>584.54999999999995</v>
      </c>
    </row>
    <row r="20" spans="1:19">
      <c r="A20" s="152" t="s">
        <v>7</v>
      </c>
      <c r="B20" s="153">
        <f t="shared" ref="B20:L20" si="3">SUM(B8:B19)</f>
        <v>3924.4</v>
      </c>
      <c r="C20" s="153">
        <f t="shared" si="3"/>
        <v>4382.3999999999996</v>
      </c>
      <c r="D20" s="153">
        <f t="shared" si="3"/>
        <v>3983.7999999999997</v>
      </c>
      <c r="E20" s="153">
        <f t="shared" si="3"/>
        <v>3620.3</v>
      </c>
      <c r="F20" s="153">
        <f t="shared" si="3"/>
        <v>3626.9000000000005</v>
      </c>
      <c r="G20" s="153">
        <f t="shared" si="3"/>
        <v>3971.8</v>
      </c>
      <c r="H20" s="153">
        <f t="shared" si="3"/>
        <v>3971.0999999999995</v>
      </c>
      <c r="I20" s="153">
        <f t="shared" si="3"/>
        <v>3589.7</v>
      </c>
      <c r="J20" s="153">
        <f t="shared" si="3"/>
        <v>3450.2000000000007</v>
      </c>
      <c r="K20" s="153">
        <f t="shared" si="3"/>
        <v>3773.7</v>
      </c>
      <c r="L20" s="153">
        <f t="shared" si="3"/>
        <v>3310.5999999999995</v>
      </c>
    </row>
    <row r="22" spans="1:19">
      <c r="A22" s="148" t="s">
        <v>132</v>
      </c>
    </row>
    <row r="23" spans="1:19">
      <c r="A23" s="149"/>
    </row>
    <row r="24" spans="1:19">
      <c r="A24" s="150" t="s">
        <v>103</v>
      </c>
      <c r="B24" s="150">
        <v>2013</v>
      </c>
      <c r="C24" s="150">
        <v>2014</v>
      </c>
      <c r="D24" s="150">
        <v>2015</v>
      </c>
      <c r="E24" s="150">
        <v>2016</v>
      </c>
      <c r="F24" s="150">
        <v>2017</v>
      </c>
      <c r="G24" s="150">
        <v>2018</v>
      </c>
      <c r="H24" s="150">
        <v>2019</v>
      </c>
      <c r="I24" s="150">
        <v>2020</v>
      </c>
      <c r="J24" s="150">
        <v>2021</v>
      </c>
      <c r="K24" s="150">
        <v>2022</v>
      </c>
      <c r="L24" s="150">
        <v>2023</v>
      </c>
      <c r="M24" s="151" t="s">
        <v>133</v>
      </c>
      <c r="N24" s="151" t="s">
        <v>131</v>
      </c>
    </row>
    <row r="25" spans="1:19">
      <c r="A25" s="149"/>
      <c r="M25" s="155"/>
      <c r="N25" s="155"/>
    </row>
    <row r="26" spans="1:19">
      <c r="M26" s="155"/>
      <c r="N26" s="155"/>
    </row>
    <row r="27" spans="1:19">
      <c r="A27" s="152" t="s">
        <v>78</v>
      </c>
      <c r="B27" s="153">
        <v>0</v>
      </c>
      <c r="C27" s="153">
        <v>0</v>
      </c>
      <c r="D27" s="153">
        <v>0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4">
        <f>AVERAGE(E27:K27)</f>
        <v>0</v>
      </c>
      <c r="N27" s="154">
        <f>AVERAGE(B27:K27)</f>
        <v>0</v>
      </c>
      <c r="R27" s="153"/>
      <c r="S27" s="153"/>
    </row>
    <row r="28" spans="1:19">
      <c r="A28" s="152" t="s">
        <v>79</v>
      </c>
      <c r="B28" s="153">
        <v>0</v>
      </c>
      <c r="C28" s="153">
        <v>0</v>
      </c>
      <c r="D28" s="153">
        <v>0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4">
        <f t="shared" ref="M28:M38" si="4">AVERAGE(E28:K28)</f>
        <v>0</v>
      </c>
      <c r="N28" s="154">
        <f t="shared" ref="N28:N38" si="5">AVERAGE(B28:K28)</f>
        <v>0</v>
      </c>
      <c r="R28" s="153"/>
      <c r="S28" s="153"/>
    </row>
    <row r="29" spans="1:19">
      <c r="A29" s="152" t="s">
        <v>80</v>
      </c>
      <c r="B29" s="153">
        <v>0</v>
      </c>
      <c r="C29" s="153">
        <v>0</v>
      </c>
      <c r="D29" s="153">
        <v>0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4">
        <f t="shared" si="4"/>
        <v>0</v>
      </c>
      <c r="N29" s="154">
        <f t="shared" si="5"/>
        <v>0</v>
      </c>
      <c r="R29" s="153"/>
      <c r="S29" s="153"/>
    </row>
    <row r="30" spans="1:19">
      <c r="A30" s="152" t="s">
        <v>81</v>
      </c>
      <c r="B30" s="153">
        <v>0</v>
      </c>
      <c r="C30" s="153">
        <v>0</v>
      </c>
      <c r="D30" s="153">
        <v>0</v>
      </c>
      <c r="E30" s="153">
        <v>0</v>
      </c>
      <c r="F30" s="153">
        <v>0</v>
      </c>
      <c r="G30" s="153">
        <v>0</v>
      </c>
      <c r="H30" s="153">
        <v>0</v>
      </c>
      <c r="I30" s="153">
        <v>0</v>
      </c>
      <c r="J30" s="153">
        <v>0</v>
      </c>
      <c r="K30" s="153">
        <v>0</v>
      </c>
      <c r="L30" s="153">
        <v>2.6</v>
      </c>
      <c r="M30" s="154">
        <f t="shared" si="4"/>
        <v>0</v>
      </c>
      <c r="N30" s="154">
        <f t="shared" si="5"/>
        <v>0</v>
      </c>
      <c r="R30" s="153"/>
      <c r="S30" s="153"/>
    </row>
    <row r="31" spans="1:19">
      <c r="A31" s="152" t="s">
        <v>52</v>
      </c>
      <c r="B31" s="153">
        <v>20.799999999999997</v>
      </c>
      <c r="C31" s="153">
        <v>10.199999999999999</v>
      </c>
      <c r="D31" s="153">
        <v>35.4</v>
      </c>
      <c r="E31" s="153">
        <v>25.8</v>
      </c>
      <c r="F31" s="153">
        <v>7.3</v>
      </c>
      <c r="G31" s="153">
        <v>36.900000000000006</v>
      </c>
      <c r="H31" s="153">
        <v>2.2000000000000002</v>
      </c>
      <c r="I31" s="153">
        <v>22.699999999999996</v>
      </c>
      <c r="J31" s="153">
        <v>19.8</v>
      </c>
      <c r="K31" s="153">
        <v>23.699999999999996</v>
      </c>
      <c r="L31" s="153">
        <v>8.9</v>
      </c>
      <c r="M31" s="154">
        <f t="shared" si="4"/>
        <v>19.771428571428572</v>
      </c>
      <c r="N31" s="154">
        <f t="shared" si="5"/>
        <v>20.479999999999997</v>
      </c>
      <c r="R31" s="153"/>
      <c r="S31" s="153"/>
    </row>
    <row r="32" spans="1:19">
      <c r="A32" s="152" t="s">
        <v>82</v>
      </c>
      <c r="B32" s="153">
        <v>47.699999999999996</v>
      </c>
      <c r="C32" s="153">
        <v>66.500000000000014</v>
      </c>
      <c r="D32" s="153">
        <v>24.900000000000002</v>
      </c>
      <c r="E32" s="153">
        <v>43.8</v>
      </c>
      <c r="F32" s="153">
        <v>59.6</v>
      </c>
      <c r="G32" s="153">
        <v>45.9</v>
      </c>
      <c r="H32" s="153">
        <v>30.2</v>
      </c>
      <c r="I32" s="153">
        <v>59.9</v>
      </c>
      <c r="J32" s="153">
        <v>88.100000000000009</v>
      </c>
      <c r="K32" s="153">
        <v>45.5</v>
      </c>
      <c r="L32" s="153">
        <v>31.9</v>
      </c>
      <c r="M32" s="154">
        <f t="shared" si="4"/>
        <v>53.285714285714285</v>
      </c>
      <c r="N32" s="154">
        <f t="shared" si="5"/>
        <v>51.21</v>
      </c>
      <c r="R32" s="153"/>
      <c r="S32" s="153"/>
    </row>
    <row r="33" spans="1:19">
      <c r="A33" s="152" t="s">
        <v>83</v>
      </c>
      <c r="B33" s="153">
        <v>104.00000000000001</v>
      </c>
      <c r="C33" s="153">
        <v>45.099999999999994</v>
      </c>
      <c r="D33" s="153">
        <v>70.7</v>
      </c>
      <c r="E33" s="153">
        <v>109.1</v>
      </c>
      <c r="F33" s="153">
        <v>78.300000000000011</v>
      </c>
      <c r="G33" s="153">
        <v>91.499999999999986</v>
      </c>
      <c r="H33" s="153">
        <v>127.19999999999999</v>
      </c>
      <c r="I33" s="153">
        <v>159.19999999999993</v>
      </c>
      <c r="J33" s="153">
        <v>76.5</v>
      </c>
      <c r="K33" s="153">
        <v>80</v>
      </c>
      <c r="L33" s="153">
        <v>80.3</v>
      </c>
      <c r="M33" s="154">
        <f t="shared" si="4"/>
        <v>103.11428571428571</v>
      </c>
      <c r="N33" s="154">
        <f t="shared" si="5"/>
        <v>94.16</v>
      </c>
      <c r="R33" s="153"/>
      <c r="S33" s="153"/>
    </row>
    <row r="34" spans="1:19">
      <c r="A34" s="152" t="s">
        <v>84</v>
      </c>
      <c r="B34" s="153">
        <v>54.4</v>
      </c>
      <c r="C34" s="153">
        <v>50.400000000000006</v>
      </c>
      <c r="D34" s="153">
        <v>55.7</v>
      </c>
      <c r="E34" s="153">
        <v>124.20000000000002</v>
      </c>
      <c r="F34" s="153">
        <v>43.300000000000004</v>
      </c>
      <c r="G34" s="153">
        <v>107.3</v>
      </c>
      <c r="H34" s="153">
        <v>66.5</v>
      </c>
      <c r="I34" s="153">
        <v>75.699999999999989</v>
      </c>
      <c r="J34" s="153">
        <v>112.89999999999999</v>
      </c>
      <c r="K34" s="153">
        <v>71.5</v>
      </c>
      <c r="L34" s="153">
        <v>35.299999999999997</v>
      </c>
      <c r="M34" s="154">
        <f t="shared" si="4"/>
        <v>85.914285714285711</v>
      </c>
      <c r="N34" s="154">
        <f t="shared" si="5"/>
        <v>76.19</v>
      </c>
      <c r="R34" s="153"/>
      <c r="S34" s="153"/>
    </row>
    <row r="35" spans="1:19">
      <c r="A35" s="152" t="s">
        <v>85</v>
      </c>
      <c r="B35" s="153">
        <v>24</v>
      </c>
      <c r="C35" s="153">
        <v>16.2</v>
      </c>
      <c r="D35" s="153">
        <v>50.199999999999989</v>
      </c>
      <c r="E35" s="153">
        <v>40.000000000000007</v>
      </c>
      <c r="F35" s="153">
        <v>52.9</v>
      </c>
      <c r="G35" s="153">
        <v>58.699999999999996</v>
      </c>
      <c r="H35" s="153">
        <v>23.6</v>
      </c>
      <c r="I35" s="153">
        <v>10.600000000000001</v>
      </c>
      <c r="J35" s="153">
        <v>11.700000000000001</v>
      </c>
      <c r="K35" s="153">
        <v>26.900000000000006</v>
      </c>
      <c r="L35" s="153">
        <v>29.200000000000003</v>
      </c>
      <c r="M35" s="154">
        <f t="shared" si="4"/>
        <v>32.057142857142857</v>
      </c>
      <c r="N35" s="154">
        <f t="shared" si="5"/>
        <v>31.480000000000008</v>
      </c>
      <c r="R35" s="153"/>
      <c r="S35" s="153"/>
    </row>
    <row r="36" spans="1:19">
      <c r="A36" s="152" t="s">
        <v>86</v>
      </c>
      <c r="B36" s="153">
        <v>2.7</v>
      </c>
      <c r="C36" s="153">
        <v>0</v>
      </c>
      <c r="D36" s="153">
        <v>0</v>
      </c>
      <c r="E36" s="153">
        <v>3.3</v>
      </c>
      <c r="F36" s="153">
        <v>4.6000000000000005</v>
      </c>
      <c r="G36" s="153">
        <v>8.9</v>
      </c>
      <c r="H36" s="153">
        <v>4.4000000000000004</v>
      </c>
      <c r="I36" s="153">
        <v>0</v>
      </c>
      <c r="J36" s="153">
        <v>10.3</v>
      </c>
      <c r="K36" s="153">
        <v>0</v>
      </c>
      <c r="L36" s="153">
        <v>9.4</v>
      </c>
      <c r="M36" s="154">
        <f t="shared" si="4"/>
        <v>4.5000000000000009</v>
      </c>
      <c r="N36" s="154">
        <f t="shared" si="5"/>
        <v>3.4200000000000004</v>
      </c>
      <c r="R36" s="153"/>
      <c r="S36" s="153"/>
    </row>
    <row r="37" spans="1:19">
      <c r="A37" s="152" t="s">
        <v>87</v>
      </c>
      <c r="B37" s="153">
        <v>0</v>
      </c>
      <c r="C37" s="153">
        <v>0</v>
      </c>
      <c r="D37" s="153">
        <v>0</v>
      </c>
      <c r="E37" s="153">
        <v>0</v>
      </c>
      <c r="F37" s="153">
        <v>0</v>
      </c>
      <c r="G37" s="153">
        <v>0</v>
      </c>
      <c r="H37" s="153">
        <v>0</v>
      </c>
      <c r="I37" s="153">
        <v>0</v>
      </c>
      <c r="J37" s="153">
        <v>0</v>
      </c>
      <c r="K37" s="153">
        <v>0.4</v>
      </c>
      <c r="L37" s="153">
        <v>0</v>
      </c>
      <c r="M37" s="154">
        <f t="shared" si="4"/>
        <v>5.7142857142857148E-2</v>
      </c>
      <c r="N37" s="154">
        <f t="shared" si="5"/>
        <v>0.04</v>
      </c>
      <c r="R37" s="153"/>
      <c r="S37" s="153"/>
    </row>
    <row r="38" spans="1:19">
      <c r="A38" s="152" t="s">
        <v>88</v>
      </c>
      <c r="B38" s="153">
        <v>0</v>
      </c>
      <c r="C38" s="153">
        <v>0</v>
      </c>
      <c r="D38" s="153">
        <v>0</v>
      </c>
      <c r="E38" s="153">
        <v>0</v>
      </c>
      <c r="F38" s="153">
        <v>0</v>
      </c>
      <c r="G38" s="153">
        <v>0</v>
      </c>
      <c r="H38" s="153">
        <v>0</v>
      </c>
      <c r="I38" s="153">
        <v>0</v>
      </c>
      <c r="J38" s="153">
        <v>0</v>
      </c>
      <c r="K38" s="153">
        <v>0</v>
      </c>
      <c r="L38" s="153">
        <v>0</v>
      </c>
      <c r="M38" s="154">
        <f t="shared" si="4"/>
        <v>0</v>
      </c>
      <c r="N38" s="154">
        <f t="shared" si="5"/>
        <v>0</v>
      </c>
      <c r="R38" s="153"/>
      <c r="S38" s="153"/>
    </row>
    <row r="39" spans="1:19">
      <c r="A39" s="152" t="s">
        <v>7</v>
      </c>
      <c r="B39" s="153">
        <f t="shared" ref="B39:L39" si="6">SUM(B27:B38)</f>
        <v>253.6</v>
      </c>
      <c r="C39" s="153">
        <f t="shared" si="6"/>
        <v>188.4</v>
      </c>
      <c r="D39" s="153">
        <f t="shared" si="6"/>
        <v>236.89999999999998</v>
      </c>
      <c r="E39" s="153">
        <f t="shared" si="6"/>
        <v>346.2</v>
      </c>
      <c r="F39" s="153">
        <f t="shared" si="6"/>
        <v>246.00000000000003</v>
      </c>
      <c r="G39" s="153">
        <f t="shared" si="6"/>
        <v>349.2</v>
      </c>
      <c r="H39" s="153">
        <f t="shared" si="6"/>
        <v>254.1</v>
      </c>
      <c r="I39" s="153">
        <f t="shared" si="6"/>
        <v>328.09999999999991</v>
      </c>
      <c r="J39" s="153">
        <f t="shared" si="6"/>
        <v>319.3</v>
      </c>
      <c r="K39" s="153">
        <f t="shared" si="6"/>
        <v>248</v>
      </c>
      <c r="L39" s="153">
        <f t="shared" si="6"/>
        <v>197.6</v>
      </c>
    </row>
    <row r="41" spans="1:19">
      <c r="A41" s="152"/>
    </row>
    <row r="42" spans="1:19">
      <c r="A42" s="152"/>
    </row>
    <row r="43" spans="1:19">
      <c r="A43" s="148"/>
    </row>
  </sheetData>
  <pageMargins left="0.5" right="0.5" top="0.75" bottom="0.75" header="0.5" footer="0.5"/>
  <pageSetup paperSize="5" scale="10" orientation="landscape" r:id="rId1"/>
  <headerFooter alignWithMargins="0">
    <oddFooter>&amp;L&amp;8&amp;D
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8d8a70-55d5-4828-a1cb-39c7a4ea1aa6">
      <Terms xmlns="http://schemas.microsoft.com/office/infopath/2007/PartnerControls"/>
    </lcf76f155ced4ddcb4097134ff3c332f>
    <TaxCatchAll xmlns="afebf44e-3847-4d5f-9a78-07f3492fbf0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16D136C44BEE41AC588AB04EEF8BC9" ma:contentTypeVersion="17" ma:contentTypeDescription="Create a new document." ma:contentTypeScope="" ma:versionID="570b4c3bd3cd8a8b8159e1eae1d11db0">
  <xsd:schema xmlns:xsd="http://www.w3.org/2001/XMLSchema" xmlns:xs="http://www.w3.org/2001/XMLSchema" xmlns:p="http://schemas.microsoft.com/office/2006/metadata/properties" xmlns:ns2="838d8a70-55d5-4828-a1cb-39c7a4ea1aa6" xmlns:ns3="afebf44e-3847-4d5f-9a78-07f3492fbf0b" targetNamespace="http://schemas.microsoft.com/office/2006/metadata/properties" ma:root="true" ma:fieldsID="cd6a08f9b189b62d1816eaad0d3ccfca" ns2:_="" ns3:_="">
    <xsd:import namespace="838d8a70-55d5-4828-a1cb-39c7a4ea1aa6"/>
    <xsd:import namespace="afebf44e-3847-4d5f-9a78-07f3492fbf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d8a70-55d5-4828-a1cb-39c7a4ea1a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5b30678-c39d-4978-b88d-bf256d84e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bf44e-3847-4d5f-9a78-07f3492fbf0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5356211-8b1d-41ce-b4d5-45acda0bbce1}" ma:internalName="TaxCatchAll" ma:showField="CatchAllData" ma:web="afebf44e-3847-4d5f-9a78-07f3492fbf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5926EC-6E72-428A-995F-813DD7AB274E}">
  <ds:schemaRefs>
    <ds:schemaRef ds:uri="http://purl.org/dc/terms/"/>
    <ds:schemaRef ds:uri="http://schemas.microsoft.com/office/2006/metadata/properties"/>
    <ds:schemaRef ds:uri="838d8a70-55d5-4828-a1cb-39c7a4ea1aa6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febf44e-3847-4d5f-9a78-07f3492fbf0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CB312C9-DDB8-4480-B29B-3C829F7593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F6EC31-AC87-44E0-8C96-B9051C884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8d8a70-55d5-4828-a1cb-39c7a4ea1aa6"/>
    <ds:schemaRef ds:uri="afebf44e-3847-4d5f-9a78-07f3492fbf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Inputs</vt:lpstr>
      <vt:lpstr>Load Forecast Summary</vt:lpstr>
      <vt:lpstr>Power Purchased Model</vt:lpstr>
      <vt:lpstr>Power Purchased Model WN</vt:lpstr>
      <vt:lpstr>Rate Class Energy Model</vt:lpstr>
      <vt:lpstr>Rate Class Customer Model</vt:lpstr>
      <vt:lpstr>Rate Class Load Model</vt:lpstr>
      <vt:lpstr>Weather Analysis</vt:lpstr>
      <vt:lpstr>'Load Forecast Summary'!Print_Area</vt:lpstr>
      <vt:lpstr>'Power Purchased Model'!Print_Area</vt:lpstr>
      <vt:lpstr>'Power Purchased Model WN'!Print_Area</vt:lpstr>
      <vt:lpstr>'Rate Class Customer Model'!Print_Area</vt:lpstr>
      <vt:lpstr>'Rate Class Load Model'!Print_Area</vt:lpstr>
      <vt:lpstr>'Power Purchased Model'!Print_Titles</vt:lpstr>
      <vt:lpstr>'Power Purchased Model WN'!Print_Titles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2014-03-06T15:42:29Z</cp:lastPrinted>
  <dcterms:created xsi:type="dcterms:W3CDTF">2014-03-06T15:42:29Z</dcterms:created>
  <dcterms:modified xsi:type="dcterms:W3CDTF">2024-05-14T20:02:59Z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0x0101005B16D136C44BEE41AC588AB04EEF8BC9</vt:lpwstr>
  </property>
</Properties>
</file>