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mammon3.festival.local\CostofService\Draft Models\To File 20240226\"/>
    </mc:Choice>
  </mc:AlternateContent>
  <bookViews>
    <workbookView xWindow="0" yWindow="0" windowWidth="25125" windowHeight="1218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 l="1"/>
  <c r="K15" i="4"/>
  <c r="L15" i="4" s="1"/>
  <c r="K16" i="4"/>
  <c r="L16" i="4" s="1"/>
  <c r="J121" i="4" l="1"/>
  <c r="H64" i="4" l="1"/>
  <c r="H118" i="4"/>
  <c r="H119" i="4"/>
  <c r="H120" i="4"/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L22" i="4" s="1"/>
  <c r="M22" i="4" s="1"/>
  <c r="M110" i="1" s="1"/>
  <c r="L21" i="4"/>
  <c r="M21" i="4" s="1"/>
  <c r="L20" i="4"/>
  <c r="M20" i="4" s="1"/>
  <c r="G121" i="4"/>
  <c r="G36" i="4" s="1"/>
  <c r="G122" i="4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H110" i="4" s="1"/>
  <c r="G111" i="4"/>
  <c r="H111" i="4" s="1"/>
  <c r="I111" i="4" s="1"/>
  <c r="J111" i="4" s="1"/>
  <c r="K111" i="4" s="1"/>
  <c r="L111" i="4" s="1"/>
  <c r="M111" i="4" s="1"/>
  <c r="G112" i="4"/>
  <c r="G113" i="4"/>
  <c r="H113" i="4" s="1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H109" i="4"/>
  <c r="M98" i="1"/>
  <c r="M130" i="1" s="1"/>
  <c r="I110" i="4"/>
  <c r="H112" i="4"/>
  <c r="G120" i="4"/>
  <c r="I113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J113" i="4"/>
  <c r="I114" i="4"/>
  <c r="J110" i="4"/>
  <c r="I112" i="4"/>
  <c r="I78" i="4"/>
  <c r="H97" i="1"/>
  <c r="H155" i="1" s="1"/>
  <c r="H209" i="1" s="1"/>
  <c r="H213" i="1" s="1"/>
  <c r="I91" i="4"/>
  <c r="I109" i="4"/>
  <c r="H121" i="4"/>
  <c r="H78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K113" i="4"/>
  <c r="J114" i="4"/>
  <c r="I121" i="4"/>
  <c r="I118" i="4"/>
  <c r="J91" i="4"/>
  <c r="K110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J118" i="4"/>
  <c r="J120" i="4"/>
  <c r="J78" i="4"/>
  <c r="J119" i="4"/>
  <c r="K109" i="4"/>
  <c r="L113" i="4"/>
  <c r="K114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H218" i="1"/>
  <c r="H211" i="1"/>
  <c r="I136" i="1"/>
  <c r="I137" i="1" s="1"/>
  <c r="K64" i="4" l="1"/>
  <c r="M113" i="4"/>
  <c r="M114" i="4" s="1"/>
  <c r="L114" i="4"/>
  <c r="K120" i="4"/>
  <c r="K78" i="4"/>
  <c r="L109" i="4"/>
  <c r="M109" i="4"/>
  <c r="M86" i="4"/>
  <c r="L86" i="4"/>
  <c r="K121" i="4"/>
  <c r="K118" i="4"/>
  <c r="L112" i="4"/>
  <c r="M110" i="4"/>
  <c r="M112" i="4" s="1"/>
  <c r="J115" i="4"/>
  <c r="J29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K129" i="1"/>
  <c r="K155" i="1"/>
  <c r="K209" i="1" s="1"/>
  <c r="K213" i="1" s="1"/>
  <c r="I211" i="1"/>
  <c r="I218" i="1"/>
  <c r="J136" i="1"/>
  <c r="J137" i="1" s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6" i="1"/>
  <c r="I214" i="1"/>
  <c r="I210" i="1"/>
  <c r="K143" i="1"/>
  <c r="J156" i="1"/>
  <c r="J220" i="1" s="1"/>
  <c r="K153" i="1"/>
  <c r="K207" i="1" s="1"/>
  <c r="K128" i="1"/>
  <c r="K157" i="1" s="1"/>
  <c r="K221" i="1" s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4" i="1"/>
  <c r="J210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I242" i="1"/>
  <c r="J178" i="1"/>
  <c r="I172" i="1"/>
  <c r="H239" i="1"/>
  <c r="I175" i="1"/>
  <c r="I234" i="1"/>
  <c r="J170" i="1"/>
  <c r="H241" i="1"/>
  <c r="I177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J242" i="1"/>
  <c r="I226" i="1"/>
  <c r="J162" i="1"/>
  <c r="J169" i="1"/>
  <c r="J168" i="1"/>
  <c r="I232" i="1"/>
  <c r="J176" i="1"/>
  <c r="J234" i="1"/>
  <c r="K170" i="1"/>
  <c r="J172" i="1"/>
  <c r="I230" i="1"/>
  <c r="J166" i="1"/>
  <c r="J179" i="1"/>
  <c r="I243" i="1"/>
  <c r="I228" i="1"/>
  <c r="J164" i="1"/>
  <c r="J174" i="1"/>
  <c r="I241" i="1"/>
  <c r="J177" i="1"/>
  <c r="I239" i="1"/>
  <c r="J175" i="1"/>
  <c r="J163" i="1"/>
  <c r="I227" i="1"/>
  <c r="I235" i="1"/>
  <c r="J171" i="1"/>
  <c r="J237" i="1" l="1"/>
  <c r="L231" i="1"/>
  <c r="M167" i="1"/>
  <c r="K174" i="1"/>
  <c r="K164" i="1"/>
  <c r="J228" i="1"/>
  <c r="L170" i="1"/>
  <c r="K234" i="1"/>
  <c r="K169" i="1"/>
  <c r="K171" i="1"/>
  <c r="J235" i="1"/>
  <c r="K163" i="1"/>
  <c r="J227" i="1"/>
  <c r="K175" i="1"/>
  <c r="J239" i="1"/>
  <c r="K176" i="1"/>
  <c r="K237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M232" i="1" l="1"/>
  <c r="M227" i="1"/>
  <c r="M243" i="1"/>
  <c r="M226" i="1"/>
  <c r="M230" i="1"/>
  <c r="M239" i="1"/>
  <c r="M228" i="1"/>
  <c r="M241" i="1"/>
  <c r="M235" i="1"/>
  <c r="M245" i="1" l="1"/>
  <c r="M246" i="1" s="1"/>
  <c r="M248" i="1" s="1"/>
  <c r="M257" i="1" s="1"/>
  <c r="M258" i="1" s="1"/>
  <c r="M259" i="1" s="1"/>
  <c r="M261" i="1" l="1"/>
  <c r="H98" i="1" l="1"/>
  <c r="H130" i="1"/>
  <c r="H131" i="1"/>
  <c r="I131" i="1" s="1"/>
  <c r="H154" i="1"/>
  <c r="H208" i="1" s="1"/>
  <c r="J131" i="1" l="1"/>
  <c r="I154" i="1"/>
  <c r="I208" i="1" s="1"/>
  <c r="H219" i="1"/>
  <c r="H240" i="1" s="1"/>
  <c r="H212" i="1"/>
  <c r="H233" i="1" s="1"/>
  <c r="H229" i="1"/>
  <c r="H217" i="1"/>
  <c r="H238" i="1" s="1"/>
  <c r="H215" i="1"/>
  <c r="H236" i="1" s="1"/>
  <c r="I212" i="1" l="1"/>
  <c r="I233" i="1" s="1"/>
  <c r="I215" i="1"/>
  <c r="I236" i="1" s="1"/>
  <c r="I217" i="1"/>
  <c r="I238" i="1" s="1"/>
  <c r="I229" i="1"/>
  <c r="I245" i="1" s="1"/>
  <c r="I246" i="1" s="1"/>
  <c r="I248" i="1" s="1"/>
  <c r="I257" i="1" s="1"/>
  <c r="I219" i="1"/>
  <c r="I240" i="1" s="1"/>
  <c r="H245" i="1"/>
  <c r="H246" i="1" s="1"/>
  <c r="H248" i="1" s="1"/>
  <c r="H257" i="1" s="1"/>
  <c r="J154" i="1"/>
  <c r="J208" i="1" s="1"/>
  <c r="K131" i="1"/>
  <c r="L131" i="1" l="1"/>
  <c r="K154" i="1"/>
  <c r="K208" i="1" s="1"/>
  <c r="H261" i="1"/>
  <c r="H258" i="1"/>
  <c r="H259" i="1" s="1"/>
  <c r="G12" i="5"/>
  <c r="J212" i="1"/>
  <c r="J233" i="1" s="1"/>
  <c r="J215" i="1"/>
  <c r="J236" i="1" s="1"/>
  <c r="J217" i="1"/>
  <c r="J238" i="1" s="1"/>
  <c r="J219" i="1"/>
  <c r="J240" i="1" s="1"/>
  <c r="J229" i="1"/>
  <c r="I261" i="1"/>
  <c r="I258" i="1"/>
  <c r="I259" i="1" s="1"/>
  <c r="H12" i="5"/>
  <c r="G14" i="5" l="1"/>
  <c r="G16" i="5"/>
  <c r="H14" i="5"/>
  <c r="H16" i="5"/>
  <c r="H22" i="5" s="1"/>
  <c r="J245" i="1"/>
  <c r="J246" i="1" s="1"/>
  <c r="J248" i="1" s="1"/>
  <c r="J257" i="1" s="1"/>
  <c r="K212" i="1"/>
  <c r="K233" i="1" s="1"/>
  <c r="K229" i="1"/>
  <c r="K245" i="1" s="1"/>
  <c r="K246" i="1" s="1"/>
  <c r="K248" i="1" s="1"/>
  <c r="K257" i="1" s="1"/>
  <c r="K219" i="1"/>
  <c r="K240" i="1" s="1"/>
  <c r="K215" i="1"/>
  <c r="K236" i="1" s="1"/>
  <c r="K217" i="1"/>
  <c r="K238" i="1" s="1"/>
  <c r="M131" i="1"/>
  <c r="M154" i="1" s="1"/>
  <c r="M208" i="1" s="1"/>
  <c r="L154" i="1"/>
  <c r="L208" i="1" s="1"/>
  <c r="J258" i="1" l="1"/>
  <c r="J259" i="1" s="1"/>
  <c r="I12" i="5"/>
  <c r="J261" i="1"/>
  <c r="K261" i="1"/>
  <c r="K258" i="1"/>
  <c r="K259" i="1" s="1"/>
  <c r="J12" i="5"/>
  <c r="L212" i="1"/>
  <c r="L233" i="1" s="1"/>
  <c r="L215" i="1"/>
  <c r="L236" i="1" s="1"/>
  <c r="L217" i="1"/>
  <c r="L238" i="1" s="1"/>
  <c r="L219" i="1"/>
  <c r="L240" i="1" s="1"/>
  <c r="L229" i="1"/>
  <c r="M229" i="1"/>
  <c r="M215" i="1"/>
  <c r="M236" i="1" s="1"/>
  <c r="M212" i="1"/>
  <c r="M233" i="1" s="1"/>
  <c r="M217" i="1"/>
  <c r="M238" i="1" s="1"/>
  <c r="M219" i="1"/>
  <c r="M240" i="1" s="1"/>
  <c r="H18" i="5"/>
  <c r="H24" i="5" s="1"/>
  <c r="G22" i="5"/>
  <c r="L245" i="1" l="1"/>
  <c r="L246" i="1" s="1"/>
  <c r="L248" i="1" s="1"/>
  <c r="L257" i="1" s="1"/>
  <c r="I10" i="5"/>
  <c r="I14" i="5" s="1"/>
  <c r="I16" i="5" s="1"/>
  <c r="J10" i="5"/>
  <c r="J14" i="5" s="1"/>
  <c r="J16" i="5" s="1"/>
  <c r="J22" i="5" l="1"/>
  <c r="J18" i="5"/>
  <c r="J24" i="5" s="1"/>
  <c r="I18" i="5"/>
  <c r="I24" i="5" s="1"/>
  <c r="I22" i="5"/>
  <c r="K12" i="5"/>
  <c r="L258" i="1"/>
  <c r="L259" i="1" s="1"/>
  <c r="L261" i="1"/>
  <c r="K10" i="5" l="1"/>
  <c r="K14" i="5"/>
  <c r="K16" i="5" s="1"/>
  <c r="K22" i="5" l="1"/>
  <c r="K18" i="5"/>
  <c r="K24" i="5" s="1"/>
</calcChain>
</file>

<file path=xl/sharedStrings.xml><?xml version="1.0" encoding="utf-8"?>
<sst xmlns="http://schemas.openxmlformats.org/spreadsheetml/2006/main" count="517" uniqueCount="270">
  <si>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</si>
  <si>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</si>
  <si>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</si>
  <si>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</si>
  <si>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</si>
  <si>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</si>
  <si>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</si>
  <si>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</si>
  <si>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</si>
  <si>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</si>
  <si>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</si>
  <si>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</si>
  <si>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</si>
  <si>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</si>
  <si>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</si>
  <si>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</si>
  <si>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</si>
  <si>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</si>
  <si>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</si>
  <si>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</si>
  <si>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</si>
  <si>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</si>
  <si>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</si>
  <si>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</si>
  <si>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</si>
  <si>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</si>
  <si>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</si>
  <si>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</si>
  <si>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</si>
  <si>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</si>
  <si>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</si>
  <si>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</si>
  <si>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</si>
  <si>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</si>
  <si>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</si>
  <si>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</si>
  <si>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</si>
  <si>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</si>
  <si>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</si>
  <si>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</si>
  <si>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</si>
  <si>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</si>
  <si>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</si>
  <si>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</si>
  <si>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</si>
  <si>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</si>
  <si>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</si>
  <si>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</si>
  <si>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</si>
  <si>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</si>
  <si>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</si>
  <si>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</si>
  <si>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</si>
  <si>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</si>
  <si>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</si>
  <si>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</si>
  <si>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</si>
  <si>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</si>
  <si>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</si>
  <si>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</si>
  <si>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</si>
  <si>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</si>
  <si>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</si>
  <si>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</si>
  <si>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</si>
  <si>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</si>
  <si>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</si>
  <si>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</si>
  <si>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</si>
  <si>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</si>
  <si>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</si>
  <si>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</si>
  <si>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</si>
  <si>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</si>
  <si>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</si>
  <si>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</si>
  <si>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</si>
  <si>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</si>
  <si>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</si>
  <si>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</si>
  <si>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</si>
  <si>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</si>
  <si>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</si>
  <si>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</si>
  <si>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</si>
  <si>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</si>
  <si>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</si>
  <si>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</si>
  <si>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</si>
  <si>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</si>
  <si>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</si>
  <si>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</si>
  <si>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</si>
  <si>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</si>
  <si>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</si>
  <si>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</si>
  <si>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</si>
  <si>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</si>
  <si>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</si>
  <si>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</si>
  <si>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</si>
  <si>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</si>
  <si>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</si>
  <si>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</si>
  <si>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</si>
  <si>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</si>
  <si>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</si>
  <si>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</si>
  <si>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</si>
  <si>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</si>
  <si>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</si>
  <si>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</si>
  <si>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</si>
  <si>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</si>
  <si>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</si>
  <si>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</si>
  <si>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</si>
  <si>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</si>
  <si>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</si>
  <si>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</si>
  <si>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</si>
  <si>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</si>
  <si>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</si>
  <si>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</si>
  <si>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</si>
  <si>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</si>
  <si>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</si>
  <si>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</si>
  <si>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</si>
  <si>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</si>
  <si>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</si>
  <si>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</si>
  <si>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</si>
  <si>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</si>
  <si>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</si>
  <si>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</si>
  <si>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</si>
  <si>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</si>
  <si>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</si>
  <si>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</si>
  <si>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</si>
  <si>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</si>
  <si>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</si>
  <si>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</si>
  <si>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</si>
  <si>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</si>
  <si>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</si>
  <si>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</si>
  <si>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</si>
  <si>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</si>
  <si>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</si>
  <si>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</si>
  <si>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</si>
  <si>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</si>
  <si>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</si>
  <si>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</si>
  <si>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</si>
  <si>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</si>
  <si>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</si>
  <si>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</si>
  <si>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</si>
  <si>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</si>
  <si>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</si>
  <si>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</si>
  <si>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</si>
  <si>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</si>
  <si>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</si>
  <si>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</si>
  <si>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</si>
  <si>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</si>
  <si>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</si>
  <si>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</si>
  <si>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</si>
  <si>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</si>
  <si>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</si>
  <si>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</si>
  <si>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</si>
  <si>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</si>
  <si>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</si>
  <si>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</si>
  <si>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</si>
  <si>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</si>
  <si>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</si>
  <si>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</si>
  <si>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</si>
  <si>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</si>
  <si>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</si>
  <si>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</si>
  <si>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</si>
  <si>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</si>
  <si>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</si>
  <si>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</si>
  <si>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</si>
  <si>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</si>
  <si>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</si>
  <si>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</si>
  <si>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</si>
  <si>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</si>
  <si>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</si>
  <si>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</si>
  <si>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</si>
  <si>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</si>
  <si>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</si>
  <si>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</si>
  <si>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</si>
  <si>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</si>
  <si>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</si>
  <si>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</si>
  <si>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</si>
  <si>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</si>
  <si>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</si>
  <si>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</si>
  <si>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</si>
  <si>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</si>
  <si>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</si>
  <si>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</si>
  <si>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</si>
  <si>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</si>
  <si>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</si>
  <si>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</si>
  <si>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</si>
  <si>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</si>
  <si>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</si>
  <si>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</si>
  <si>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</si>
  <si>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</si>
  <si>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</si>
  <si>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</si>
  <si>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</si>
  <si>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</si>
  <si>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</si>
  <si>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</si>
  <si>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</si>
  <si>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</si>
  <si>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</si>
  <si>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</si>
  <si>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</si>
  <si>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</si>
  <si>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</si>
  <si>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</si>
  <si>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</si>
  <si>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</si>
  <si>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</si>
  <si>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</si>
  <si>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</si>
  <si>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</si>
  <si>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</si>
  <si>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</si>
  <si>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</si>
  <si>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</si>
  <si>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</si>
  <si>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</si>
  <si>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</si>
  <si>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</si>
  <si>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</si>
  <si>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</si>
  <si>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</si>
  <si>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</si>
  <si>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</si>
  <si>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</si>
  <si>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</si>
  <si>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</si>
  <si>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</si>
  <si>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</si>
  <si>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</si>
  <si>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</si>
  <si>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</si>
  <si>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Bridge</t>
  </si>
  <si>
    <t>Test</t>
  </si>
  <si>
    <t>Additional Year for Custom 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</si>
</sst>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  <numFmt numFmtId="176" formatCode="0.000000"/>
    <numFmt numFmtId="177" formatCode="_(* #,##0.00000_);_(* \(#,##0.00000\);_(* &quot;-&quot;??_);_(@_)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1" applyNumberFormat="1" applyFont="1" applyFill="1"/>
    <xf numFmtId="167" fontId="7" fillId="0" borderId="6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23"/>
  <sheetViews>
    <sheetView tabSelected="1" topLeftCell="D1" zoomScale="90" zoomScaleNormal="90" workbookViewId="0">
      <selection activeCell="F20" sqref="F19:F20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32" t="s">
        <v>186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2:15" ht="19.5" customHeight="1" x14ac:dyDescent="0.25">
      <c r="C3" s="233" t="str">
        <f>IF(F5="Click to Choose an LDC","",F5)</f>
        <v>Festival Hydro Inc.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261</v>
      </c>
      <c r="E5" s="9"/>
      <c r="F5" s="89" t="s">
        <v>212</v>
      </c>
      <c r="G5" s="2" t="s">
        <v>174</v>
      </c>
      <c r="H5" s="2" t="s">
        <v>174</v>
      </c>
      <c r="I5" s="2" t="s">
        <v>174</v>
      </c>
      <c r="J5" s="2" t="s">
        <v>174</v>
      </c>
      <c r="K5" s="2" t="s">
        <v>267</v>
      </c>
      <c r="L5" s="2" t="s">
        <v>268</v>
      </c>
      <c r="M5" s="143" t="s">
        <v>269</v>
      </c>
      <c r="O5" s="4"/>
    </row>
    <row r="6" spans="2:15" ht="36" customHeight="1" x14ac:dyDescent="0.35">
      <c r="B6" s="4" t="s">
        <v>177</v>
      </c>
      <c r="C6" s="59"/>
      <c r="G6" s="2">
        <v>2020</v>
      </c>
      <c r="H6" s="2">
        <f>G6+1</f>
        <v>2021</v>
      </c>
      <c r="I6" s="2">
        <f t="shared" ref="I6:M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94" t="s">
        <v>263</v>
      </c>
      <c r="O6" s="2"/>
    </row>
    <row r="8" spans="2:15" x14ac:dyDescent="0.2">
      <c r="C8" s="8" t="s">
        <v>85</v>
      </c>
      <c r="D8" s="8"/>
      <c r="E8" s="2"/>
      <c r="H8" s="234"/>
      <c r="I8" s="234"/>
      <c r="J8" s="234"/>
      <c r="K8" s="234"/>
      <c r="L8" s="234"/>
      <c r="M8" s="234"/>
    </row>
    <row r="9" spans="2:15" x14ac:dyDescent="0.2">
      <c r="B9" s="2">
        <v>1</v>
      </c>
      <c r="D9" s="9" t="s">
        <v>86</v>
      </c>
      <c r="G9" s="54">
        <f>'Benchmarking Calculations'!G92</f>
        <v>3224478.31</v>
      </c>
      <c r="H9" s="81">
        <v>3865722.96</v>
      </c>
      <c r="I9" s="81">
        <v>4175358.02</v>
      </c>
      <c r="J9" s="81">
        <v>5337210.4700000007</v>
      </c>
      <c r="K9" s="81">
        <v>7716940</v>
      </c>
      <c r="L9" s="81">
        <v>7736538</v>
      </c>
      <c r="M9" s="81"/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0</v>
      </c>
      <c r="H10" s="81">
        <v>143417</v>
      </c>
      <c r="I10" s="81">
        <v>86263.4</v>
      </c>
      <c r="J10" s="81">
        <v>212042.5</v>
      </c>
      <c r="K10" s="81">
        <v>150000</v>
      </c>
      <c r="L10" s="81">
        <v>274600</v>
      </c>
      <c r="M10" s="81"/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89</v>
      </c>
      <c r="G13" s="54">
        <f>'Benchmarking Calculations'!G96</f>
        <v>21654</v>
      </c>
      <c r="H13" s="81">
        <v>21908</v>
      </c>
      <c r="I13" s="81">
        <v>22211</v>
      </c>
      <c r="J13" s="81">
        <v>22397</v>
      </c>
      <c r="K13" s="81">
        <v>22645.79624146282</v>
      </c>
      <c r="L13" s="81">
        <v>22897.516110656543</v>
      </c>
      <c r="M13" s="81"/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590935763.94000006</v>
      </c>
      <c r="H14" s="81">
        <v>597239897.88999999</v>
      </c>
      <c r="I14" s="81">
        <v>611606380.99000001</v>
      </c>
      <c r="J14" s="81">
        <v>600491417.97128236</v>
      </c>
      <c r="K14" s="81">
        <v>603790040.53898442</v>
      </c>
      <c r="L14" s="81">
        <v>602361929.99881101</v>
      </c>
      <c r="M14" s="81"/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116734</v>
      </c>
      <c r="H15" s="81">
        <v>116734</v>
      </c>
      <c r="I15" s="81">
        <v>116734</v>
      </c>
      <c r="J15" s="81">
        <f t="shared" ref="J15:L16" si="1">I15</f>
        <v>116734</v>
      </c>
      <c r="K15" s="81">
        <f t="shared" si="1"/>
        <v>116734</v>
      </c>
      <c r="L15" s="81">
        <f t="shared" si="1"/>
        <v>116734</v>
      </c>
      <c r="M15" s="81"/>
      <c r="N15" s="9" t="s">
        <v>172</v>
      </c>
      <c r="O15" s="56"/>
    </row>
    <row r="16" spans="2:15" x14ac:dyDescent="0.2">
      <c r="B16" s="2">
        <v>6</v>
      </c>
      <c r="D16" s="9" t="s">
        <v>187</v>
      </c>
      <c r="G16" s="54">
        <f>'Benchmarking Calculations'!G99</f>
        <v>263</v>
      </c>
      <c r="H16" s="81">
        <v>266</v>
      </c>
      <c r="I16" s="81">
        <v>287</v>
      </c>
      <c r="J16" s="81">
        <v>290</v>
      </c>
      <c r="K16" s="81">
        <f t="shared" si="1"/>
        <v>290</v>
      </c>
      <c r="L16" s="81">
        <f t="shared" si="1"/>
        <v>290</v>
      </c>
      <c r="M16" s="81"/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0.1059808979008121</v>
      </c>
      <c r="H17" s="207">
        <v>0.10173497611264773</v>
      </c>
      <c r="I17" s="207">
        <v>0.10739392730717455</v>
      </c>
      <c r="J17" s="207">
        <v>0.1095</v>
      </c>
      <c r="K17" s="207">
        <v>0.11649604510180499</v>
      </c>
      <c r="L17" s="207">
        <v>0.11868004774806014</v>
      </c>
      <c r="M17" s="207"/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4"/>
      <c r="I19" s="234"/>
      <c r="J19" s="234"/>
      <c r="K19" s="234"/>
      <c r="L19" s="234"/>
      <c r="M19" s="234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3.0533707039455342E-2</v>
      </c>
      <c r="I20" s="80">
        <v>3.0454519489995294E-2</v>
      </c>
      <c r="J20" s="80">
        <v>3.5000000000000003E-2</v>
      </c>
      <c r="K20" s="80">
        <v>2.3E-2</v>
      </c>
      <c r="L20" s="80">
        <f t="shared" ref="L20:M20" si="2">K20</f>
        <v>2.3E-2</v>
      </c>
      <c r="M20" s="80">
        <f t="shared" si="2"/>
        <v>2.3E-2</v>
      </c>
      <c r="N20" s="9" t="s">
        <v>265</v>
      </c>
      <c r="O20" s="235" t="s">
        <v>264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4.0013942058278212E-2</v>
      </c>
      <c r="I21" s="80">
        <v>5.8587303414415259E-2</v>
      </c>
      <c r="J21" s="80">
        <v>3.7999999999999999E-2</v>
      </c>
      <c r="K21" s="80">
        <v>5.8999999999999997E-2</v>
      </c>
      <c r="L21" s="80">
        <f t="shared" ref="L21:M22" si="3">K21</f>
        <v>5.8999999999999997E-2</v>
      </c>
      <c r="M21" s="80">
        <f t="shared" si="3"/>
        <v>5.8999999999999997E-2</v>
      </c>
      <c r="N21" s="9" t="s">
        <v>265</v>
      </c>
      <c r="O21" s="235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5.0029999999999998E-2</v>
      </c>
      <c r="I22" s="80">
        <v>5.4602999999999999E-2</v>
      </c>
      <c r="J22" s="80">
        <v>6.6699999999999995E-2</v>
      </c>
      <c r="K22" s="80">
        <v>6.5000000000000002E-2</v>
      </c>
      <c r="L22" s="80">
        <f t="shared" si="3"/>
        <v>6.5000000000000002E-2</v>
      </c>
      <c r="M22" s="80">
        <f t="shared" si="3"/>
        <v>6.5000000000000002E-2</v>
      </c>
      <c r="N22" s="9" t="s">
        <v>266</v>
      </c>
      <c r="O22" s="235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188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193</v>
      </c>
      <c r="G27" s="34">
        <f>G35-G36+G37</f>
        <v>6002783.96</v>
      </c>
      <c r="H27" s="34">
        <f t="shared" ref="H27:M27" si="4">H35-H36+H37</f>
        <v>0</v>
      </c>
      <c r="I27" s="34">
        <f t="shared" si="4"/>
        <v>0</v>
      </c>
      <c r="J27" s="34">
        <f>J35-J36+J37</f>
        <v>0</v>
      </c>
      <c r="K27" s="34">
        <f t="shared" si="4"/>
        <v>0</v>
      </c>
      <c r="L27" s="34">
        <f t="shared" si="4"/>
        <v>0</v>
      </c>
      <c r="M27" s="34">
        <f t="shared" si="4"/>
        <v>0</v>
      </c>
      <c r="N27" s="9" t="s">
        <v>29</v>
      </c>
    </row>
    <row r="28" spans="2:15" ht="13.5" thickBot="1" x14ac:dyDescent="0.25">
      <c r="B28" s="9" t="s">
        <v>185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197</v>
      </c>
      <c r="G29" s="34">
        <f>G115-G121+G122</f>
        <v>6002783.96</v>
      </c>
      <c r="H29" s="34">
        <f>H115-H121+H122</f>
        <v>5861376.7199999997</v>
      </c>
      <c r="I29" s="34">
        <f t="shared" ref="I29:M29" si="5">I115-I121+I122</f>
        <v>6618859.6499999994</v>
      </c>
      <c r="J29" s="34">
        <f t="shared" si="5"/>
        <v>7046473.5099999998</v>
      </c>
      <c r="K29" s="34">
        <f t="shared" si="5"/>
        <v>7957326.3381454917</v>
      </c>
      <c r="L29" s="34">
        <f t="shared" si="5"/>
        <v>8915023.2815476954</v>
      </c>
      <c r="M29" s="34">
        <f t="shared" si="5"/>
        <v>0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6">IF($E$27="Y",G27,IF($E$29="Y",G29,"Error: Please enter Y for one method"))</f>
        <v>6002783.96</v>
      </c>
      <c r="H31" s="34">
        <f>IF($E$27="Y",H27,IF($E$29="Y",H29,"Error: Please enter Y for one method"))</f>
        <v>5861376.7199999997</v>
      </c>
      <c r="I31" s="34">
        <f t="shared" si="6"/>
        <v>6618859.6499999994</v>
      </c>
      <c r="J31" s="34">
        <f t="shared" si="6"/>
        <v>7046473.5099999998</v>
      </c>
      <c r="K31" s="34">
        <f t="shared" si="6"/>
        <v>7957326.3381454917</v>
      </c>
      <c r="L31" s="34">
        <f t="shared" si="6"/>
        <v>8915023.2815476954</v>
      </c>
      <c r="M31" s="34">
        <f t="shared" si="6"/>
        <v>0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176</v>
      </c>
      <c r="G34" s="54"/>
      <c r="H34" s="231" t="s">
        <v>180</v>
      </c>
      <c r="I34" s="231"/>
      <c r="J34" s="231"/>
      <c r="K34" s="231"/>
      <c r="L34" s="231"/>
      <c r="M34" s="231"/>
      <c r="N34" s="98"/>
    </row>
    <row r="35" spans="3:27" x14ac:dyDescent="0.2">
      <c r="C35" s="97"/>
      <c r="D35" s="111" t="s">
        <v>190</v>
      </c>
      <c r="E35" t="s">
        <v>198</v>
      </c>
      <c r="G35" s="17">
        <f>G115</f>
        <v>6068153.1399999997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2">
      <c r="C36" s="97"/>
      <c r="D36" s="111" t="s">
        <v>191</v>
      </c>
      <c r="E36" t="s">
        <v>189</v>
      </c>
      <c r="G36" s="34">
        <f>G121</f>
        <v>99123.39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2">
      <c r="C37" s="97"/>
      <c r="D37" s="111" t="s">
        <v>192</v>
      </c>
      <c r="E37" t="s">
        <v>83</v>
      </c>
      <c r="G37" s="34">
        <f>G122</f>
        <v>33754.210000000006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30"/>
    </row>
    <row r="41" spans="3:27" x14ac:dyDescent="0.2">
      <c r="C41" s="97"/>
      <c r="D41" s="8" t="s">
        <v>175</v>
      </c>
      <c r="N41" s="98"/>
      <c r="O41" s="230"/>
    </row>
    <row r="42" spans="3:27" x14ac:dyDescent="0.2">
      <c r="C42" s="50"/>
      <c r="N42" s="98"/>
      <c r="O42" s="230"/>
    </row>
    <row r="43" spans="3:27" x14ac:dyDescent="0.2">
      <c r="C43" s="102"/>
      <c r="D43" s="8" t="s">
        <v>164</v>
      </c>
      <c r="E43" s="8"/>
      <c r="F43" s="2"/>
      <c r="N43" s="98"/>
      <c r="O43" s="230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275259.43</v>
      </c>
      <c r="H44" s="86">
        <v>68738.740000000005</v>
      </c>
      <c r="I44" s="86">
        <v>128632.72</v>
      </c>
      <c r="J44" s="86">
        <v>243931.22</v>
      </c>
      <c r="K44" s="86">
        <v>291275.73509124829</v>
      </c>
      <c r="L44" s="86">
        <v>260586.35</v>
      </c>
      <c r="M44" s="86"/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73208.929999999993</v>
      </c>
      <c r="H45" s="86">
        <v>109891.06</v>
      </c>
      <c r="I45" s="86">
        <v>108535.67</v>
      </c>
      <c r="J45" s="86">
        <v>88599.28</v>
      </c>
      <c r="K45" s="86">
        <v>94024.451703561543</v>
      </c>
      <c r="L45" s="86">
        <v>129388.49</v>
      </c>
      <c r="M45" s="86"/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37337.51</v>
      </c>
      <c r="H46" s="86">
        <v>30349.78</v>
      </c>
      <c r="I46" s="86">
        <v>32945.06</v>
      </c>
      <c r="J46" s="86">
        <v>32970.92</v>
      </c>
      <c r="K46" s="86">
        <v>33328.899372172986</v>
      </c>
      <c r="L46" s="86">
        <v>45701.317205145679</v>
      </c>
      <c r="M46" s="86"/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2055.56</v>
      </c>
      <c r="H47" s="86">
        <v>8029.84</v>
      </c>
      <c r="I47" s="86">
        <v>57108.69</v>
      </c>
      <c r="J47" s="86">
        <v>168854.69</v>
      </c>
      <c r="K47" s="86">
        <v>150478.8642353008</v>
      </c>
      <c r="L47" s="86">
        <v>157012.06813278579</v>
      </c>
      <c r="M47" s="86"/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88917.83</v>
      </c>
      <c r="H48" s="86">
        <v>86614.47</v>
      </c>
      <c r="I48" s="86">
        <v>92465.35</v>
      </c>
      <c r="J48" s="86">
        <v>59303.93</v>
      </c>
      <c r="K48" s="86">
        <v>64181.342654670007</v>
      </c>
      <c r="L48" s="86">
        <v>66758.213428312505</v>
      </c>
      <c r="M48" s="86"/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0</v>
      </c>
      <c r="H49" s="86">
        <v>23660.63</v>
      </c>
      <c r="I49" s="86">
        <v>0</v>
      </c>
      <c r="J49" s="86">
        <v>0</v>
      </c>
      <c r="K49" s="86">
        <v>0</v>
      </c>
      <c r="L49" s="86">
        <v>0</v>
      </c>
      <c r="M49" s="86"/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0</v>
      </c>
      <c r="H50" s="86">
        <v>34123.42</v>
      </c>
      <c r="I50" s="86">
        <v>0</v>
      </c>
      <c r="J50" s="86">
        <v>0</v>
      </c>
      <c r="K50" s="86">
        <v>0</v>
      </c>
      <c r="L50" s="86">
        <v>0</v>
      </c>
      <c r="M50" s="86"/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42352.11</v>
      </c>
      <c r="H51" s="86">
        <v>4828.22</v>
      </c>
      <c r="I51" s="86">
        <v>19565.009999999998</v>
      </c>
      <c r="J51" s="86">
        <v>17279.080000000002</v>
      </c>
      <c r="K51" s="86">
        <v>27440.755612770306</v>
      </c>
      <c r="L51" s="86">
        <v>27000.862081941981</v>
      </c>
      <c r="M51" s="86"/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40226.14</v>
      </c>
      <c r="H52" s="86">
        <v>3547.07</v>
      </c>
      <c r="I52" s="86">
        <v>45188.99</v>
      </c>
      <c r="J52" s="86">
        <v>35141.33</v>
      </c>
      <c r="K52" s="86">
        <v>47090.986879625016</v>
      </c>
      <c r="L52" s="86">
        <v>54122.999513656243</v>
      </c>
      <c r="M52" s="86"/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2768.78</v>
      </c>
      <c r="H53" s="86">
        <v>311.31</v>
      </c>
      <c r="I53" s="86">
        <v>2480.9</v>
      </c>
      <c r="J53" s="86">
        <v>4659.22</v>
      </c>
      <c r="K53" s="86">
        <v>6680.4481936660441</v>
      </c>
      <c r="L53" s="86">
        <v>6571.2904542891692</v>
      </c>
      <c r="M53" s="86"/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2379.11</v>
      </c>
      <c r="H54" s="86">
        <v>8514.7900000000009</v>
      </c>
      <c r="I54" s="86">
        <v>2574.88</v>
      </c>
      <c r="J54" s="86">
        <v>4037.01</v>
      </c>
      <c r="K54" s="86">
        <v>3367.5886041643353</v>
      </c>
      <c r="L54" s="86">
        <v>3313.6928108999937</v>
      </c>
      <c r="M54" s="86"/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306.08</v>
      </c>
      <c r="H55" s="86">
        <v>167207.17000000001</v>
      </c>
      <c r="I55" s="86">
        <v>457.25</v>
      </c>
      <c r="J55" s="86">
        <v>407.69</v>
      </c>
      <c r="K55" s="86">
        <v>456.14912175000001</v>
      </c>
      <c r="L55" s="86">
        <v>478.95657783749999</v>
      </c>
      <c r="M55" s="86"/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9820.17</v>
      </c>
      <c r="H56" s="86">
        <v>188675.53</v>
      </c>
      <c r="I56" s="86">
        <v>13071.54</v>
      </c>
      <c r="J56" s="86">
        <v>7346.89</v>
      </c>
      <c r="K56" s="86">
        <v>15605.22023085078</v>
      </c>
      <c r="L56" s="86">
        <v>16353.369664599746</v>
      </c>
      <c r="M56" s="86"/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282484.37</v>
      </c>
      <c r="H57" s="86">
        <v>6191.61</v>
      </c>
      <c r="I57" s="86">
        <v>263742.24</v>
      </c>
      <c r="J57" s="86">
        <v>233530.41</v>
      </c>
      <c r="K57" s="86">
        <v>286988.22637515265</v>
      </c>
      <c r="L57" s="86">
        <v>314841.44041975529</v>
      </c>
      <c r="M57" s="86"/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148766.35</v>
      </c>
      <c r="H58" s="86">
        <v>8031</v>
      </c>
      <c r="I58" s="86">
        <v>199902.17</v>
      </c>
      <c r="J58" s="86">
        <v>197019.08</v>
      </c>
      <c r="K58" s="86">
        <v>243006.34925797555</v>
      </c>
      <c r="L58" s="86">
        <v>250839.64618842836</v>
      </c>
      <c r="M58" s="86"/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4950.5</v>
      </c>
      <c r="H59" s="86">
        <v>0</v>
      </c>
      <c r="I59" s="86">
        <v>6928.02</v>
      </c>
      <c r="J59" s="86">
        <v>19514.04</v>
      </c>
      <c r="K59" s="86">
        <v>9141.6633337500007</v>
      </c>
      <c r="L59" s="86">
        <v>17598.746500437501</v>
      </c>
      <c r="M59" s="86"/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6601.25</v>
      </c>
      <c r="H60" s="86">
        <v>6321.69</v>
      </c>
      <c r="I60" s="86">
        <v>13719.66</v>
      </c>
      <c r="J60" s="86">
        <v>5301.92</v>
      </c>
      <c r="K60" s="86">
        <v>6396.4346467500009</v>
      </c>
      <c r="L60" s="86">
        <v>7416.256379087501</v>
      </c>
      <c r="M60" s="86"/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>
        <v>0</v>
      </c>
      <c r="K61" s="86">
        <v>0</v>
      </c>
      <c r="L61" s="86">
        <v>0</v>
      </c>
      <c r="M61" s="86"/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13543.09</v>
      </c>
      <c r="H62" s="86">
        <v>8029.84</v>
      </c>
      <c r="I62" s="86">
        <v>8762.92</v>
      </c>
      <c r="J62" s="86">
        <v>9317.7900000000009</v>
      </c>
      <c r="K62" s="86">
        <v>10202.150000000001</v>
      </c>
      <c r="L62" s="86">
        <v>10568.057500000001</v>
      </c>
      <c r="M62" s="86"/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86614.47</v>
      </c>
      <c r="I63" s="86">
        <v>0</v>
      </c>
      <c r="J63" s="86">
        <v>0</v>
      </c>
      <c r="K63" s="86">
        <v>0</v>
      </c>
      <c r="L63" s="86">
        <v>0</v>
      </c>
      <c r="M63" s="86"/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1030977.21</v>
      </c>
      <c r="H64" s="52">
        <f>SUM(H44:H63)-H47-H48</f>
        <v>755036.33</v>
      </c>
      <c r="I64" s="52">
        <f t="shared" ref="I64:M64" si="7">SUM(I44:I63)</f>
        <v>996081.07000000018</v>
      </c>
      <c r="J64" s="52">
        <f t="shared" si="7"/>
        <v>1127214.5</v>
      </c>
      <c r="K64" s="52">
        <f t="shared" si="7"/>
        <v>1289665.2653134083</v>
      </c>
      <c r="L64" s="52">
        <f t="shared" si="7"/>
        <v>1368551.7568571775</v>
      </c>
      <c r="M64" s="52">
        <f t="shared" si="7"/>
        <v>0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0</v>
      </c>
      <c r="H65" s="86">
        <v>0</v>
      </c>
      <c r="I65" s="86">
        <v>0</v>
      </c>
      <c r="J65" s="86">
        <v>0</v>
      </c>
      <c r="K65" s="86">
        <v>0</v>
      </c>
      <c r="L65" s="86">
        <v>0</v>
      </c>
      <c r="M65" s="86"/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3922.16</v>
      </c>
      <c r="H66" s="86">
        <v>13439.91</v>
      </c>
      <c r="I66" s="86">
        <v>16934.39</v>
      </c>
      <c r="J66" s="86">
        <v>24542.720000000001</v>
      </c>
      <c r="K66" s="86">
        <v>32547.557259970185</v>
      </c>
      <c r="L66" s="86">
        <v>16091.868417508951</v>
      </c>
      <c r="M66" s="86"/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8150</v>
      </c>
      <c r="H67" s="86">
        <v>28997.52</v>
      </c>
      <c r="I67" s="86">
        <v>26183.78</v>
      </c>
      <c r="J67" s="86">
        <v>77604.789999999994</v>
      </c>
      <c r="K67" s="86">
        <v>10000</v>
      </c>
      <c r="L67" s="86">
        <v>91100</v>
      </c>
      <c r="M67" s="86"/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930</v>
      </c>
      <c r="H68" s="86">
        <v>0</v>
      </c>
      <c r="I68" s="86">
        <v>127.46</v>
      </c>
      <c r="J68" s="86">
        <v>2950</v>
      </c>
      <c r="K68" s="86">
        <v>0</v>
      </c>
      <c r="L68" s="86">
        <v>2000</v>
      </c>
      <c r="M68" s="86"/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54334.13</v>
      </c>
      <c r="H69" s="86">
        <v>71949.09</v>
      </c>
      <c r="I69" s="86">
        <v>113834.78</v>
      </c>
      <c r="J69" s="86">
        <v>77874.63</v>
      </c>
      <c r="K69" s="86">
        <v>70618.633878736102</v>
      </c>
      <c r="L69" s="86">
        <v>70712.007130777958</v>
      </c>
      <c r="M69" s="86"/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109765.86</v>
      </c>
      <c r="H70" s="86">
        <v>86424.3</v>
      </c>
      <c r="I70" s="86">
        <v>111440.44</v>
      </c>
      <c r="J70" s="86">
        <v>104262.77</v>
      </c>
      <c r="K70" s="86">
        <v>124258.60737819479</v>
      </c>
      <c r="L70" s="86">
        <v>123647.53557808651</v>
      </c>
      <c r="M70" s="86"/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857905.26</v>
      </c>
      <c r="H71" s="86">
        <v>849990.64</v>
      </c>
      <c r="I71" s="86">
        <v>949266.45</v>
      </c>
      <c r="J71" s="86">
        <v>897069.4</v>
      </c>
      <c r="K71" s="86">
        <v>1063171.1299999999</v>
      </c>
      <c r="L71" s="86">
        <v>1133278.8500000001</v>
      </c>
      <c r="M71" s="86"/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177728.02</v>
      </c>
      <c r="H72" s="86">
        <v>169432.03</v>
      </c>
      <c r="I72" s="86">
        <v>192002.92</v>
      </c>
      <c r="J72" s="86">
        <v>181927.51</v>
      </c>
      <c r="K72" s="86">
        <v>177195.16962391476</v>
      </c>
      <c r="L72" s="86">
        <v>211178.53368454991</v>
      </c>
      <c r="M72" s="86"/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39214.46</v>
      </c>
      <c r="H73" s="86">
        <v>42289.87</v>
      </c>
      <c r="I73" s="86">
        <v>35270.239999999998</v>
      </c>
      <c r="J73" s="86">
        <v>34372.97</v>
      </c>
      <c r="K73" s="86">
        <v>33892.067390950921</v>
      </c>
      <c r="L73" s="86">
        <v>33839.914582199483</v>
      </c>
      <c r="M73" s="86"/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78332.039999999994</v>
      </c>
      <c r="H74" s="86">
        <v>99653.4</v>
      </c>
      <c r="I74" s="86">
        <v>86327.16</v>
      </c>
      <c r="J74" s="86">
        <v>78776.850000000006</v>
      </c>
      <c r="K74" s="86">
        <v>94943.365177799526</v>
      </c>
      <c r="L74" s="86">
        <v>107648.53839296383</v>
      </c>
      <c r="M74" s="86"/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77270</v>
      </c>
      <c r="H75" s="86">
        <v>140661</v>
      </c>
      <c r="I75" s="86">
        <v>165037.17000000001</v>
      </c>
      <c r="J75" s="86">
        <v>152499.74</v>
      </c>
      <c r="K75" s="86">
        <v>149688.30577196792</v>
      </c>
      <c r="L75" s="86">
        <v>148749.8391378427</v>
      </c>
      <c r="M75" s="86"/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22190.86</v>
      </c>
      <c r="H76" s="86">
        <v>41935.089999999997</v>
      </c>
      <c r="I76" s="86">
        <v>30428.03</v>
      </c>
      <c r="J76" s="86">
        <v>24553.34</v>
      </c>
      <c r="K76" s="86">
        <v>29645.211529066786</v>
      </c>
      <c r="L76" s="86">
        <v>29847.501424155224</v>
      </c>
      <c r="M76" s="86"/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108581.05</v>
      </c>
      <c r="H77" s="86">
        <v>144693.22</v>
      </c>
      <c r="I77" s="86">
        <v>180608.99</v>
      </c>
      <c r="J77" s="86">
        <v>161048.01999999999</v>
      </c>
      <c r="K77" s="86">
        <v>173556.91442638054</v>
      </c>
      <c r="L77" s="86">
        <v>178666.72477708795</v>
      </c>
      <c r="M77" s="86"/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1538323.84</v>
      </c>
      <c r="H78" s="52">
        <f>SUM(H65:H77)</f>
        <v>1689466.07</v>
      </c>
      <c r="I78" s="52">
        <f t="shared" ref="I78:M78" si="8">SUM(I65:I77)</f>
        <v>1907461.8099999996</v>
      </c>
      <c r="J78" s="52">
        <f t="shared" si="8"/>
        <v>1817482.7400000002</v>
      </c>
      <c r="K78" s="52">
        <f t="shared" si="8"/>
        <v>1959516.9624369813</v>
      </c>
      <c r="L78" s="52">
        <f t="shared" si="8"/>
        <v>2146761.3131251722</v>
      </c>
      <c r="M78" s="52">
        <f t="shared" si="8"/>
        <v>0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83485.39</v>
      </c>
      <c r="H79" s="86">
        <v>50147.53</v>
      </c>
      <c r="I79" s="86">
        <v>67148.350000000006</v>
      </c>
      <c r="J79" s="86">
        <v>77353.5</v>
      </c>
      <c r="K79" s="86">
        <v>81188.006671433017</v>
      </c>
      <c r="L79" s="86">
        <v>85593.981771337407</v>
      </c>
      <c r="M79" s="86"/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224734.6</v>
      </c>
      <c r="H80" s="86">
        <v>225984</v>
      </c>
      <c r="I80" s="86">
        <v>229304.76</v>
      </c>
      <c r="J80" s="86">
        <v>232638.48</v>
      </c>
      <c r="K80" s="86">
        <v>224240</v>
      </c>
      <c r="L80" s="86">
        <v>265211.15459861798</v>
      </c>
      <c r="M80" s="86"/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595825.31000000006</v>
      </c>
      <c r="H81" s="86">
        <v>639161</v>
      </c>
      <c r="I81" s="86">
        <v>671769.89</v>
      </c>
      <c r="J81" s="86">
        <v>708002.76</v>
      </c>
      <c r="K81" s="86">
        <v>841420</v>
      </c>
      <c r="L81" s="86">
        <v>938614.48</v>
      </c>
      <c r="M81" s="86"/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120191.45</v>
      </c>
      <c r="H82" s="86">
        <v>113433.47</v>
      </c>
      <c r="I82" s="86">
        <v>129295.42</v>
      </c>
      <c r="J82" s="86">
        <v>149070.53</v>
      </c>
      <c r="K82" s="86">
        <v>159861.71394223301</v>
      </c>
      <c r="L82" s="86">
        <v>171582.53807931204</v>
      </c>
      <c r="M82" s="86"/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0</v>
      </c>
      <c r="H83" s="86">
        <v>0</v>
      </c>
      <c r="I83" s="86">
        <v>0</v>
      </c>
      <c r="J83" s="86">
        <v>0</v>
      </c>
      <c r="K83" s="86">
        <v>0</v>
      </c>
      <c r="L83" s="86">
        <v>0</v>
      </c>
      <c r="M83" s="86"/>
      <c r="N83" s="98" t="s">
        <v>172</v>
      </c>
    </row>
    <row r="84" spans="3:14" x14ac:dyDescent="0.2">
      <c r="C84" s="102"/>
      <c r="D84">
        <v>5335</v>
      </c>
      <c r="E84" s="9">
        <v>5330</v>
      </c>
      <c r="F84" s="9" t="s">
        <v>49</v>
      </c>
      <c r="G84" s="38">
        <f>'Benchmarking Calculations'!G50</f>
        <v>0</v>
      </c>
      <c r="H84" s="86">
        <v>0</v>
      </c>
      <c r="I84" s="86">
        <v>0</v>
      </c>
      <c r="J84" s="86">
        <v>0</v>
      </c>
      <c r="K84" s="86">
        <v>0</v>
      </c>
      <c r="L84" s="86">
        <v>0</v>
      </c>
      <c r="M84" s="86"/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144977.76</v>
      </c>
      <c r="H85" s="86">
        <v>143787</v>
      </c>
      <c r="I85" s="86">
        <v>132097.53</v>
      </c>
      <c r="J85" s="86">
        <v>154687.5</v>
      </c>
      <c r="K85" s="86">
        <v>163680.48349769058</v>
      </c>
      <c r="L85" s="86">
        <v>174474.23532787181</v>
      </c>
      <c r="M85" s="86"/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1169214.51</v>
      </c>
      <c r="H86" s="52">
        <f>SUM(H79:H85)</f>
        <v>1172513</v>
      </c>
      <c r="I86" s="52">
        <f t="shared" ref="I86:M86" si="9">SUM(I79:I85)</f>
        <v>1229615.95</v>
      </c>
      <c r="J86" s="52">
        <f t="shared" si="9"/>
        <v>1321752.77</v>
      </c>
      <c r="K86" s="52">
        <f t="shared" si="9"/>
        <v>1470390.2041113565</v>
      </c>
      <c r="L86" s="52">
        <f t="shared" si="9"/>
        <v>1635476.3897771391</v>
      </c>
      <c r="M86" s="52">
        <f t="shared" si="9"/>
        <v>0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1015</v>
      </c>
      <c r="H87" s="86">
        <v>1015</v>
      </c>
      <c r="I87" s="86">
        <v>1115</v>
      </c>
      <c r="J87" s="86">
        <v>0</v>
      </c>
      <c r="K87" s="86">
        <v>1188.31125</v>
      </c>
      <c r="L87" s="86">
        <v>1247.7268125000001</v>
      </c>
      <c r="M87" s="86"/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0</v>
      </c>
      <c r="H88" s="86">
        <v>0</v>
      </c>
      <c r="I88" s="86">
        <v>0</v>
      </c>
      <c r="J88" s="86">
        <v>0</v>
      </c>
      <c r="K88" s="86">
        <v>0</v>
      </c>
      <c r="L88" s="86">
        <v>0</v>
      </c>
      <c r="M88" s="86"/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11252.63</v>
      </c>
      <c r="H89" s="86">
        <v>0</v>
      </c>
      <c r="I89" s="86">
        <v>0</v>
      </c>
      <c r="J89" s="86">
        <v>0</v>
      </c>
      <c r="K89" s="86">
        <v>8318.5403709354032</v>
      </c>
      <c r="L89" s="86">
        <v>18178.8570482287</v>
      </c>
      <c r="M89" s="86"/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/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12267.63</v>
      </c>
      <c r="H91" s="52">
        <f>SUM(H87:H90)</f>
        <v>1015</v>
      </c>
      <c r="I91" s="52">
        <f t="shared" ref="I91:M91" si="10">SUM(I87:I90)</f>
        <v>1115</v>
      </c>
      <c r="J91" s="52">
        <f t="shared" si="10"/>
        <v>0</v>
      </c>
      <c r="K91" s="52">
        <f t="shared" si="10"/>
        <v>9506.8516209354038</v>
      </c>
      <c r="L91" s="52">
        <f t="shared" si="10"/>
        <v>19426.583860728701</v>
      </c>
      <c r="M91" s="52">
        <f t="shared" si="10"/>
        <v>0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38">
        <f>'Benchmarking Calculations'!G58</f>
        <v>983543.17</v>
      </c>
      <c r="H92" s="86">
        <v>926808.45</v>
      </c>
      <c r="I92" s="86">
        <v>1063300.31</v>
      </c>
      <c r="J92" s="86">
        <v>1474378.23</v>
      </c>
      <c r="K92" s="86">
        <v>1783566.3227937047</v>
      </c>
      <c r="L92" s="86">
        <v>2032174.1622505509</v>
      </c>
      <c r="M92" s="86"/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38">
        <f>'Benchmarking Calculations'!G59</f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/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38">
        <f>'Benchmarking Calculations'!G60</f>
        <v>511466.89</v>
      </c>
      <c r="H94" s="86">
        <v>544382.71999999997</v>
      </c>
      <c r="I94" s="86">
        <v>578681.34</v>
      </c>
      <c r="J94" s="86">
        <v>509063.71</v>
      </c>
      <c r="K94" s="86">
        <v>437145.35875031876</v>
      </c>
      <c r="L94" s="86">
        <v>457693.67558701115</v>
      </c>
      <c r="M94" s="86"/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173796.77</v>
      </c>
      <c r="H95" s="86">
        <v>193536.79</v>
      </c>
      <c r="I95" s="86">
        <v>209717.69</v>
      </c>
      <c r="J95" s="86">
        <v>228594.98</v>
      </c>
      <c r="K95" s="86">
        <v>261137.61774128571</v>
      </c>
      <c r="L95" s="86">
        <v>292346.99334469996</v>
      </c>
      <c r="M95" s="86"/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/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103693.3</v>
      </c>
      <c r="H97" s="86">
        <v>148308.26999999999</v>
      </c>
      <c r="I97" s="86">
        <v>156165.32999999999</v>
      </c>
      <c r="J97" s="86">
        <v>197067.43</v>
      </c>
      <c r="K97" s="86">
        <v>182000</v>
      </c>
      <c r="L97" s="86">
        <v>221100</v>
      </c>
      <c r="M97" s="86"/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55757.06</v>
      </c>
      <c r="H98" s="86">
        <v>47938.879999999997</v>
      </c>
      <c r="I98" s="86">
        <v>54707.8</v>
      </c>
      <c r="J98" s="86">
        <v>61865.760000000002</v>
      </c>
      <c r="K98" s="86">
        <v>86875.755999999994</v>
      </c>
      <c r="L98" s="86">
        <v>104250.90719999999</v>
      </c>
      <c r="M98" s="86"/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138704.24</v>
      </c>
      <c r="H99" s="86">
        <v>131564.87</v>
      </c>
      <c r="I99" s="86">
        <v>130781.98</v>
      </c>
      <c r="J99" s="86">
        <v>130515.16</v>
      </c>
      <c r="K99" s="86">
        <v>151339.56900000002</v>
      </c>
      <c r="L99" s="86">
        <v>181604.4828</v>
      </c>
      <c r="M99" s="86"/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6"/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>
        <v>0</v>
      </c>
      <c r="K101" s="86">
        <v>0</v>
      </c>
      <c r="L101" s="86">
        <v>0</v>
      </c>
      <c r="M101" s="86"/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/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121424.7</v>
      </c>
      <c r="H103" s="86">
        <v>89514.14</v>
      </c>
      <c r="I103" s="86">
        <v>172018.69</v>
      </c>
      <c r="J103" s="86">
        <v>176965.65</v>
      </c>
      <c r="K103" s="86">
        <v>206307.64</v>
      </c>
      <c r="L103" s="86">
        <v>400624.17</v>
      </c>
      <c r="M103" s="86"/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98236.62</v>
      </c>
      <c r="H104" s="86">
        <v>115269.93</v>
      </c>
      <c r="I104" s="86">
        <v>103293.05</v>
      </c>
      <c r="J104" s="86">
        <v>150394.51999999999</v>
      </c>
      <c r="K104" s="86">
        <v>127332.8652097038</v>
      </c>
      <c r="L104" s="86">
        <v>145553.59672654845</v>
      </c>
      <c r="M104" s="86"/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>
        <v>0</v>
      </c>
      <c r="K105" s="86">
        <v>0</v>
      </c>
      <c r="L105" s="86">
        <v>0</v>
      </c>
      <c r="M105" s="86"/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/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120029.2</v>
      </c>
      <c r="H107" s="86">
        <v>123214.49</v>
      </c>
      <c r="I107" s="86">
        <v>143961.07999999999</v>
      </c>
      <c r="J107" s="86">
        <v>105099.5</v>
      </c>
      <c r="K107" s="86">
        <v>162735.27323397715</v>
      </c>
      <c r="L107" s="86">
        <v>166624.67894710918</v>
      </c>
      <c r="M107" s="86"/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10718</v>
      </c>
      <c r="H108" s="86">
        <v>10750</v>
      </c>
      <c r="I108" s="86">
        <v>10862.56</v>
      </c>
      <c r="J108" s="86">
        <v>10906.56</v>
      </c>
      <c r="K108" s="86">
        <v>11000</v>
      </c>
      <c r="L108" s="86">
        <v>11550</v>
      </c>
      <c r="M108" s="86"/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2317369.9500000002</v>
      </c>
      <c r="H109" s="52">
        <f>SUM(H92:H108)</f>
        <v>2331288.54</v>
      </c>
      <c r="I109" s="52">
        <f t="shared" ref="I109:M109" si="11">SUM(I92:I108)</f>
        <v>2623489.83</v>
      </c>
      <c r="J109" s="52">
        <f t="shared" si="11"/>
        <v>3044851.5</v>
      </c>
      <c r="K109" s="52">
        <f t="shared" si="11"/>
        <v>3409440.4027289907</v>
      </c>
      <c r="L109" s="52">
        <f t="shared" si="11"/>
        <v>4013522.6668559192</v>
      </c>
      <c r="M109" s="52">
        <f t="shared" si="11"/>
        <v>0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0</v>
      </c>
      <c r="H110" s="86">
        <f t="shared" ref="H110" si="12">G110</f>
        <v>0</v>
      </c>
      <c r="I110" s="86">
        <f t="shared" ref="I110:M110" si="13">H110</f>
        <v>0</v>
      </c>
      <c r="J110" s="86">
        <f t="shared" si="13"/>
        <v>0</v>
      </c>
      <c r="K110" s="86">
        <f t="shared" si="13"/>
        <v>0</v>
      </c>
      <c r="L110" s="86">
        <f t="shared" si="13"/>
        <v>0</v>
      </c>
      <c r="M110" s="86">
        <f t="shared" si="13"/>
        <v>0</v>
      </c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f t="shared" ref="H111:M113" si="14">G111</f>
        <v>0</v>
      </c>
      <c r="I111" s="86">
        <f t="shared" si="14"/>
        <v>0</v>
      </c>
      <c r="J111" s="86">
        <f t="shared" si="14"/>
        <v>0</v>
      </c>
      <c r="K111" s="86">
        <f t="shared" si="14"/>
        <v>0</v>
      </c>
      <c r="L111" s="86">
        <f t="shared" si="14"/>
        <v>0</v>
      </c>
      <c r="M111" s="86">
        <f t="shared" si="14"/>
        <v>0</v>
      </c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0</v>
      </c>
      <c r="H112" s="52">
        <f>H110+H111</f>
        <v>0</v>
      </c>
      <c r="I112" s="52">
        <f t="shared" ref="I112:M112" si="15">I110+I111</f>
        <v>0</v>
      </c>
      <c r="J112" s="52">
        <f t="shared" si="15"/>
        <v>0</v>
      </c>
      <c r="K112" s="52">
        <f t="shared" si="15"/>
        <v>0</v>
      </c>
      <c r="L112" s="52">
        <f t="shared" si="15"/>
        <v>0</v>
      </c>
      <c r="M112" s="52">
        <f t="shared" si="15"/>
        <v>0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0</v>
      </c>
      <c r="H113" s="86">
        <f t="shared" si="14"/>
        <v>0</v>
      </c>
      <c r="I113" s="86">
        <f t="shared" si="14"/>
        <v>0</v>
      </c>
      <c r="J113" s="86">
        <f t="shared" si="14"/>
        <v>0</v>
      </c>
      <c r="K113" s="86">
        <f t="shared" si="14"/>
        <v>0</v>
      </c>
      <c r="L113" s="86">
        <f t="shared" si="14"/>
        <v>0</v>
      </c>
      <c r="M113" s="86">
        <f t="shared" si="14"/>
        <v>0</v>
      </c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16">I113</f>
        <v>0</v>
      </c>
      <c r="J114" s="52">
        <f t="shared" si="16"/>
        <v>0</v>
      </c>
      <c r="K114" s="52">
        <f t="shared" si="16"/>
        <v>0</v>
      </c>
      <c r="L114" s="52">
        <f t="shared" si="16"/>
        <v>0</v>
      </c>
      <c r="M114" s="52">
        <f t="shared" si="16"/>
        <v>0</v>
      </c>
      <c r="N114" s="98" t="s">
        <v>29</v>
      </c>
    </row>
    <row r="115" spans="3:14" x14ac:dyDescent="0.2">
      <c r="C115" s="102"/>
      <c r="E115" s="112" t="s">
        <v>194</v>
      </c>
      <c r="F115" s="13" t="s">
        <v>80</v>
      </c>
      <c r="G115" s="38">
        <f>'Benchmarking Calculations'!G81</f>
        <v>6068153.1399999997</v>
      </c>
      <c r="H115" s="52">
        <f>H64+H78+H86+H91+H109+H112</f>
        <v>5949318.9399999995</v>
      </c>
      <c r="I115" s="52">
        <f t="shared" ref="I115:M115" si="17">I64+I78+I86+I91+I109+I112</f>
        <v>6757763.6600000001</v>
      </c>
      <c r="J115" s="52">
        <f t="shared" si="17"/>
        <v>7311301.5099999998</v>
      </c>
      <c r="K115" s="52">
        <f t="shared" si="17"/>
        <v>8138519.6862116726</v>
      </c>
      <c r="L115" s="52">
        <f t="shared" si="17"/>
        <v>9183738.7104761377</v>
      </c>
      <c r="M115" s="52">
        <f t="shared" si="17"/>
        <v>0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2055.56</v>
      </c>
      <c r="H118" s="38">
        <f t="shared" ref="H118" si="18">H47</f>
        <v>8029.84</v>
      </c>
      <c r="I118" s="38">
        <f t="shared" ref="I118:L118" si="19">I47</f>
        <v>57108.69</v>
      </c>
      <c r="J118" s="38">
        <f t="shared" si="19"/>
        <v>168854.69</v>
      </c>
      <c r="K118" s="38">
        <f t="shared" si="19"/>
        <v>150478.8642353008</v>
      </c>
      <c r="L118" s="38">
        <f t="shared" si="19"/>
        <v>157012.06813278579</v>
      </c>
      <c r="M118" s="38">
        <f t="shared" ref="M118" si="20">M47</f>
        <v>0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88917.83</v>
      </c>
      <c r="H119" s="38">
        <f t="shared" ref="H119" si="21">H48</f>
        <v>86614.47</v>
      </c>
      <c r="I119" s="38">
        <f t="shared" ref="I119:L119" si="22">I48</f>
        <v>92465.35</v>
      </c>
      <c r="J119" s="38">
        <f t="shared" si="22"/>
        <v>59303.93</v>
      </c>
      <c r="K119" s="38">
        <f t="shared" si="22"/>
        <v>64181.342654670007</v>
      </c>
      <c r="L119" s="38">
        <f t="shared" si="22"/>
        <v>66758.213428312505</v>
      </c>
      <c r="M119" s="38">
        <f t="shared" ref="M119" si="23">M48</f>
        <v>0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8150</v>
      </c>
      <c r="H120" s="38">
        <f t="shared" ref="H120" si="24">H67</f>
        <v>28997.52</v>
      </c>
      <c r="I120" s="38">
        <f t="shared" ref="I120:L120" si="25">I67</f>
        <v>26183.78</v>
      </c>
      <c r="J120" s="38">
        <f t="shared" si="25"/>
        <v>77604.789999999994</v>
      </c>
      <c r="K120" s="38">
        <f t="shared" si="25"/>
        <v>10000</v>
      </c>
      <c r="L120" s="38">
        <f t="shared" si="25"/>
        <v>91100</v>
      </c>
      <c r="M120" s="38">
        <f t="shared" ref="M120" si="26">M67</f>
        <v>0</v>
      </c>
      <c r="N120" s="98" t="s">
        <v>29</v>
      </c>
    </row>
    <row r="121" spans="3:14" x14ac:dyDescent="0.2">
      <c r="C121" s="102"/>
      <c r="E121" s="112" t="s">
        <v>195</v>
      </c>
      <c r="F121" s="13" t="s">
        <v>82</v>
      </c>
      <c r="G121" s="69">
        <f>'Benchmarking Calculations'!G87</f>
        <v>99123.39</v>
      </c>
      <c r="H121" s="69">
        <f>H47+H48+H67</f>
        <v>123641.83</v>
      </c>
      <c r="I121" s="69">
        <f t="shared" ref="I121:L121" si="27">I47+I48+I67</f>
        <v>175757.82</v>
      </c>
      <c r="J121" s="69">
        <f>J47+J48+J67</f>
        <v>305763.40999999997</v>
      </c>
      <c r="K121" s="69">
        <f t="shared" si="27"/>
        <v>224660.20688997081</v>
      </c>
      <c r="L121" s="69">
        <f t="shared" si="27"/>
        <v>314870.28156109829</v>
      </c>
      <c r="M121" s="69">
        <f t="shared" ref="M121" si="28">M47+M48+M67</f>
        <v>0</v>
      </c>
      <c r="N121" s="113" t="s">
        <v>29</v>
      </c>
    </row>
    <row r="122" spans="3:14" x14ac:dyDescent="0.2">
      <c r="C122" s="102"/>
      <c r="E122" s="112" t="s">
        <v>196</v>
      </c>
      <c r="F122" s="13" t="s">
        <v>83</v>
      </c>
      <c r="G122" s="69">
        <f>'Benchmarking Calculations'!G88</f>
        <v>33754.210000000006</v>
      </c>
      <c r="H122" s="114">
        <v>35699.61</v>
      </c>
      <c r="I122" s="114">
        <v>36853.80999999999</v>
      </c>
      <c r="J122" s="229">
        <v>40935.410000000003</v>
      </c>
      <c r="K122" s="229">
        <v>43466.858823790652</v>
      </c>
      <c r="L122" s="229">
        <v>46154.852632655857</v>
      </c>
      <c r="M122" s="114"/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7">
    <mergeCell ref="O40:O43"/>
    <mergeCell ref="H34:M34"/>
    <mergeCell ref="C2:N2"/>
    <mergeCell ref="C3:N3"/>
    <mergeCell ref="H8:M8"/>
    <mergeCell ref="H19:M19"/>
    <mergeCell ref="O20:O22"/>
  </mergeCells>
  <pageMargins left="0.7" right="0.7" top="0.75" bottom="0.75" header="0.3" footer="0.3"/>
  <pageSetup scale="41" fitToHeight="0" orientation="landscape" r:id="rId1"/>
  <ignoredErrors>
    <ignoredError sqref="I64:M64 H78:M78 H86:M86 H91:M91 H109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277"/>
  <sheetViews>
    <sheetView tabSelected="1" zoomScale="80" zoomScaleNormal="80" workbookViewId="0">
      <pane ySplit="5" topLeftCell="A6" activePane="bottomLeft" state="frozen"/>
      <selection activeCell="F20" sqref="F19:F20"/>
      <selection pane="bottomLeft" activeCell="F20" sqref="F19:F2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customWidth="1"/>
    <col min="14" max="14" width="9.85546875" style="153" hidden="1" customWidth="1"/>
    <col min="15" max="15" width="9.140625" style="72" hidden="1" customWidth="1"/>
    <col min="16" max="16" width="16.140625" style="72" hidden="1" customWidth="1"/>
    <col min="17" max="17" width="15.855468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855468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855468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85546875" style="72" hidden="1" customWidth="1"/>
    <col min="62" max="62" width="15.855468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855468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O1" s="82"/>
      <c r="P1" s="209" t="s">
        <v>262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8" t="s">
        <v>1</v>
      </c>
      <c r="C3" s="238"/>
      <c r="D3" s="141"/>
      <c r="E3" s="65" t="str">
        <f>'Model Inputs'!F5</f>
        <v>Festival Hydro Inc.</v>
      </c>
      <c r="F3" s="182"/>
      <c r="G3" s="143"/>
      <c r="N3" s="154"/>
      <c r="O3" s="120">
        <v>1</v>
      </c>
      <c r="P3" s="120" t="s">
        <v>260</v>
      </c>
      <c r="Q3" t="s">
        <v>251</v>
      </c>
      <c r="R3" s="142" t="s">
        <v>199</v>
      </c>
      <c r="S3" s="142" t="s">
        <v>200</v>
      </c>
      <c r="T3" s="142" t="s">
        <v>201</v>
      </c>
      <c r="U3" s="142" t="s">
        <v>202</v>
      </c>
      <c r="V3" s="142" t="s">
        <v>203</v>
      </c>
      <c r="W3" s="142" t="s">
        <v>204</v>
      </c>
      <c r="X3" s="142" t="s">
        <v>205</v>
      </c>
      <c r="Y3" s="142" t="s">
        <v>206</v>
      </c>
      <c r="Z3" s="142" t="s">
        <v>207</v>
      </c>
      <c r="AA3" s="142" t="s">
        <v>208</v>
      </c>
      <c r="AB3" s="142" t="s">
        <v>255</v>
      </c>
      <c r="AC3" s="142" t="s">
        <v>256</v>
      </c>
      <c r="AD3" s="142" t="s">
        <v>209</v>
      </c>
      <c r="AE3" s="142" t="s">
        <v>257</v>
      </c>
      <c r="AF3" s="142" t="s">
        <v>253</v>
      </c>
      <c r="AG3" s="142" t="s">
        <v>254</v>
      </c>
      <c r="AH3" s="142" t="s">
        <v>210</v>
      </c>
      <c r="AI3" s="142" t="s">
        <v>211</v>
      </c>
      <c r="AJ3" s="142" t="s">
        <v>212</v>
      </c>
      <c r="AK3" s="142" t="s">
        <v>213</v>
      </c>
      <c r="AL3" s="142" t="s">
        <v>214</v>
      </c>
      <c r="AM3" s="142" t="s">
        <v>258</v>
      </c>
      <c r="AN3" s="142" t="s">
        <v>215</v>
      </c>
      <c r="AO3" s="142" t="s">
        <v>216</v>
      </c>
      <c r="AP3" s="142" t="s">
        <v>217</v>
      </c>
      <c r="AQ3" s="142" t="s">
        <v>218</v>
      </c>
      <c r="AR3" s="142" t="s">
        <v>219</v>
      </c>
      <c r="AS3" s="142" t="s">
        <v>220</v>
      </c>
      <c r="AT3" s="142" t="s">
        <v>252</v>
      </c>
      <c r="AU3" s="142" t="s">
        <v>221</v>
      </c>
      <c r="AV3" s="142" t="s">
        <v>222</v>
      </c>
      <c r="AW3" s="142" t="s">
        <v>223</v>
      </c>
      <c r="AX3" s="142" t="s">
        <v>224</v>
      </c>
      <c r="AY3" s="142" t="s">
        <v>225</v>
      </c>
      <c r="AZ3" s="142" t="s">
        <v>226</v>
      </c>
      <c r="BA3" s="142" t="s">
        <v>227</v>
      </c>
      <c r="BB3" s="142" t="s">
        <v>228</v>
      </c>
      <c r="BC3" s="142" t="s">
        <v>229</v>
      </c>
      <c r="BD3" s="142" t="s">
        <v>230</v>
      </c>
      <c r="BE3" s="142" t="s">
        <v>231</v>
      </c>
      <c r="BF3" s="142" t="s">
        <v>232</v>
      </c>
      <c r="BG3" s="142" t="s">
        <v>233</v>
      </c>
      <c r="BH3" s="142" t="s">
        <v>234</v>
      </c>
      <c r="BI3" s="142" t="s">
        <v>235</v>
      </c>
      <c r="BJ3" s="142" t="s">
        <v>236</v>
      </c>
      <c r="BK3" s="142" t="s">
        <v>237</v>
      </c>
      <c r="BL3" s="142" t="s">
        <v>238</v>
      </c>
      <c r="BM3" s="142" t="s">
        <v>239</v>
      </c>
      <c r="BN3" s="142" t="s">
        <v>240</v>
      </c>
      <c r="BO3" s="142" t="s">
        <v>241</v>
      </c>
      <c r="BP3" s="142" t="s">
        <v>259</v>
      </c>
      <c r="BQ3" s="142" t="s">
        <v>242</v>
      </c>
      <c r="BR3" s="142" t="s">
        <v>243</v>
      </c>
      <c r="BS3" s="142" t="s">
        <v>244</v>
      </c>
      <c r="BT3" s="142" t="s">
        <v>245</v>
      </c>
      <c r="BU3" s="142" t="s">
        <v>246</v>
      </c>
      <c r="BV3" s="142" t="s">
        <v>247</v>
      </c>
      <c r="BW3" s="142" t="s">
        <v>248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39"/>
      <c r="G4" s="240"/>
      <c r="H4" s="241" t="s">
        <v>2</v>
      </c>
      <c r="I4" s="239"/>
      <c r="J4" s="239"/>
      <c r="K4" s="239"/>
      <c r="L4" s="239"/>
      <c r="M4" s="239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249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6" t="s">
        <v>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275259.43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73208.929999999993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37337.51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2055.56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88917.83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0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0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42352.11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40226.14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2768.78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2379.11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306.08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9820.17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282484.37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148766.35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4950.5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6601.25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13543.09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1030977.21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0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3922.16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8150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930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54334.13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109765.86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857905.26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177728.02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39214.46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78332.039999999994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77270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22190.86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108581.05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1538323.84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83485.39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224734.6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595825.31000000006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120191.45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144977.76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1169214.51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1015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11252.63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12267.63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983543.17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0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511466.89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173796.77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103693.3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55757.06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138704.24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121424.7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98236.62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120029.2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10718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2317369.9500000002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0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0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6068153.1399999997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2055.56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88917.83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8150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99123.39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33754.210000000006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6002783.96</v>
      </c>
      <c r="H89" s="121">
        <f>'Model Inputs'!H31</f>
        <v>5861376.7199999997</v>
      </c>
      <c r="I89" s="122">
        <f>'Model Inputs'!I31</f>
        <v>6618859.6499999994</v>
      </c>
      <c r="J89" s="122">
        <f>'Model Inputs'!J31</f>
        <v>7046473.5099999998</v>
      </c>
      <c r="K89" s="122">
        <f>'Model Inputs'!K31</f>
        <v>7957326.3381454917</v>
      </c>
      <c r="L89" s="122">
        <f>'Model Inputs'!L31</f>
        <v>8915023.2815476954</v>
      </c>
      <c r="M89" s="123">
        <f>'Model Inputs'!M31</f>
        <v>0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3224478.31</v>
      </c>
      <c r="H92" s="121">
        <f>'Model Inputs'!H9</f>
        <v>3865722.96</v>
      </c>
      <c r="I92" s="122">
        <f>'Model Inputs'!I9</f>
        <v>4175358.02</v>
      </c>
      <c r="J92" s="122">
        <f>'Model Inputs'!J9</f>
        <v>5337210.4700000007</v>
      </c>
      <c r="K92" s="122">
        <f>'Model Inputs'!K9</f>
        <v>7716940</v>
      </c>
      <c r="L92" s="122">
        <f>'Model Inputs'!L9</f>
        <v>7736538</v>
      </c>
      <c r="M92" s="123">
        <f>'Model Inputs'!M9</f>
        <v>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143417</v>
      </c>
      <c r="I93" s="122">
        <f>'Model Inputs'!I10</f>
        <v>86263.4</v>
      </c>
      <c r="J93" s="122">
        <f>'Model Inputs'!J10</f>
        <v>212042.5</v>
      </c>
      <c r="K93" s="122">
        <f>'Model Inputs'!K10</f>
        <v>150000</v>
      </c>
      <c r="L93" s="122">
        <f>'Model Inputs'!L10</f>
        <v>274600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21654</v>
      </c>
      <c r="H96" s="121">
        <f>'Model Inputs'!H13</f>
        <v>21908</v>
      </c>
      <c r="I96" s="122">
        <f>'Model Inputs'!I13</f>
        <v>22211</v>
      </c>
      <c r="J96" s="122">
        <f>'Model Inputs'!J13</f>
        <v>22397</v>
      </c>
      <c r="K96" s="122">
        <f>'Model Inputs'!K13</f>
        <v>22645.79624146282</v>
      </c>
      <c r="L96" s="122">
        <f>'Model Inputs'!L13</f>
        <v>22897.516110656543</v>
      </c>
      <c r="M96" s="123">
        <f>'Model Inputs'!M13</f>
        <v>0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590935763.94000006</v>
      </c>
      <c r="H97" s="121">
        <f>'Model Inputs'!H14</f>
        <v>597239897.88999999</v>
      </c>
      <c r="I97" s="122">
        <f>'Model Inputs'!I14</f>
        <v>611606380.99000001</v>
      </c>
      <c r="J97" s="122">
        <f>'Model Inputs'!J14</f>
        <v>600491417.97128236</v>
      </c>
      <c r="K97" s="122">
        <f>'Model Inputs'!K14</f>
        <v>603790040.53898442</v>
      </c>
      <c r="L97" s="122">
        <f>'Model Inputs'!L14</f>
        <v>602361929.99881101</v>
      </c>
      <c r="M97" s="123">
        <f>'Model Inputs'!M14</f>
        <v>0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116734</v>
      </c>
      <c r="H98" s="121">
        <f>'Model Inputs'!H15</f>
        <v>116734</v>
      </c>
      <c r="I98" s="122">
        <f>'Model Inputs'!I15</f>
        <v>116734</v>
      </c>
      <c r="J98" s="122">
        <f>'Model Inputs'!J15</f>
        <v>116734</v>
      </c>
      <c r="K98" s="122">
        <f>'Model Inputs'!K15</f>
        <v>116734</v>
      </c>
      <c r="L98" s="122">
        <f>'Model Inputs'!L15</f>
        <v>116734</v>
      </c>
      <c r="M98" s="123">
        <f>'Model Inputs'!M15</f>
        <v>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263</v>
      </c>
      <c r="H99" s="121">
        <f>'Model Inputs'!H16</f>
        <v>266</v>
      </c>
      <c r="I99" s="122">
        <f>'Model Inputs'!I16</f>
        <v>287</v>
      </c>
      <c r="J99" s="122">
        <f>'Model Inputs'!J16</f>
        <v>290</v>
      </c>
      <c r="K99" s="122">
        <f>'Model Inputs'!K16</f>
        <v>290</v>
      </c>
      <c r="L99" s="122">
        <f>'Model Inputs'!L16</f>
        <v>290</v>
      </c>
      <c r="M99" s="123">
        <f>'Model Inputs'!M16</f>
        <v>0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6" t="s">
        <v>93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6002783.96</v>
      </c>
      <c r="H107" s="15">
        <f t="shared" ref="H107:K107" si="5">H89</f>
        <v>5861376.7199999997</v>
      </c>
      <c r="I107" s="15">
        <f t="shared" si="5"/>
        <v>6618859.6499999994</v>
      </c>
      <c r="J107" s="15">
        <f t="shared" si="5"/>
        <v>7046473.5099999998</v>
      </c>
      <c r="K107" s="15">
        <f t="shared" si="5"/>
        <v>7957326.3381454917</v>
      </c>
      <c r="L107" s="15">
        <f t="shared" ref="L107" si="6">L89</f>
        <v>8915023.2815476954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5.0029999999999998E-2</v>
      </c>
      <c r="I110" s="125">
        <f>'Model Inputs'!I22</f>
        <v>5.4602999999999999E-2</v>
      </c>
      <c r="J110" s="125">
        <f>'Model Inputs'!J22</f>
        <v>6.6699999999999995E-2</v>
      </c>
      <c r="K110" s="125">
        <f>'Model Inputs'!K22</f>
        <v>6.5000000000000002E-2</v>
      </c>
      <c r="L110" s="125">
        <f>'Model Inputs'!L22</f>
        <v>6.5000000000000002E-2</v>
      </c>
      <c r="M110" s="126">
        <f>'Model Inputs'!M22</f>
        <v>6.5000000000000002E-2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183.59823495633077</v>
      </c>
      <c r="I112" s="128">
        <f>H112*EXP('Model Inputs'!I21)</f>
        <v>194.67610314145958</v>
      </c>
      <c r="J112" s="128">
        <f>I112*EXP('Model Inputs'!J21)</f>
        <v>202.21614862810989</v>
      </c>
      <c r="K112" s="128">
        <f>J112*EXP('Model Inputs'!K21)</f>
        <v>214.50588374253104</v>
      </c>
      <c r="L112" s="128">
        <f>K112*EXP('Model Inputs'!L21)</f>
        <v>227.54253046716391</v>
      </c>
      <c r="M112" s="129">
        <f>L112*EXP('Model Inputs'!M21)</f>
        <v>241.37148253493075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17.252290180152684</v>
      </c>
      <c r="I113" s="15">
        <f t="shared" si="8"/>
        <v>18.960647557513525</v>
      </c>
      <c r="J113" s="15">
        <f t="shared" si="8"/>
        <v>22.266617301565596</v>
      </c>
      <c r="K113" s="15">
        <f t="shared" si="8"/>
        <v>22.989869724609321</v>
      </c>
      <c r="L113" s="15">
        <f t="shared" si="8"/>
        <v>24.387084591707342</v>
      </c>
      <c r="M113" s="15">
        <f t="shared" si="8"/>
        <v>25.869215528718975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3224478.31</v>
      </c>
      <c r="H114" s="130">
        <f>H92</f>
        <v>3865722.96</v>
      </c>
      <c r="I114" s="131">
        <f t="shared" ref="I114:L114" si="9">I92</f>
        <v>4175358.02</v>
      </c>
      <c r="J114" s="131">
        <f t="shared" si="9"/>
        <v>5337210.4700000007</v>
      </c>
      <c r="K114" s="131">
        <f t="shared" si="9"/>
        <v>7716940</v>
      </c>
      <c r="L114" s="131">
        <f t="shared" si="9"/>
        <v>7736538</v>
      </c>
      <c r="M114" s="132">
        <f t="shared" ref="M114" si="10">M92</f>
        <v>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143417</v>
      </c>
      <c r="I115" s="134">
        <f t="shared" ref="I115:L115" si="11">I93</f>
        <v>86263.4</v>
      </c>
      <c r="J115" s="134">
        <f t="shared" si="11"/>
        <v>212042.5</v>
      </c>
      <c r="K115" s="134">
        <f t="shared" si="11"/>
        <v>150000</v>
      </c>
      <c r="L115" s="134">
        <f t="shared" si="11"/>
        <v>274600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18279.688570373532</v>
      </c>
      <c r="H116" s="6">
        <f t="shared" ref="H116:K116" si="13">(H114-H115)/H112</f>
        <v>20274.192509995308</v>
      </c>
      <c r="I116" s="6">
        <f t="shared" si="13"/>
        <v>21004.604848848332</v>
      </c>
      <c r="J116" s="6">
        <f t="shared" si="13"/>
        <v>25344.998432472152</v>
      </c>
      <c r="K116" s="6">
        <f t="shared" si="13"/>
        <v>35276.141931297847</v>
      </c>
      <c r="L116" s="6">
        <f t="shared" ref="L116:M116" si="14">(L114-L115)/L112</f>
        <v>32793.596804430432</v>
      </c>
      <c r="M116" s="6">
        <f t="shared" si="14"/>
        <v>0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20269.894387003675</v>
      </c>
      <c r="H117" s="17">
        <f t="shared" ref="H117:M117" si="15">H111*G118</f>
        <v>20178.54394002035</v>
      </c>
      <c r="I117" s="17">
        <f t="shared" si="15"/>
        <v>20182.934209382202</v>
      </c>
      <c r="J117" s="17">
        <f t="shared" si="15"/>
        <v>20220.648891733694</v>
      </c>
      <c r="K117" s="17">
        <f t="shared" si="15"/>
        <v>20455.856535653591</v>
      </c>
      <c r="L117" s="17">
        <f t="shared" si="15"/>
        <v>21136.107635313663</v>
      </c>
      <c r="M117" s="17">
        <f t="shared" si="15"/>
        <v>21671.186388176124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439619.69368236058</v>
      </c>
      <c r="H118" s="17">
        <f t="shared" ref="H118:M118" si="16">G118+H116-H117</f>
        <v>439715.34225233551</v>
      </c>
      <c r="I118" s="17">
        <f t="shared" si="16"/>
        <v>440537.0128918016</v>
      </c>
      <c r="J118" s="17">
        <f t="shared" si="16"/>
        <v>445661.3624325401</v>
      </c>
      <c r="K118" s="17">
        <f t="shared" si="16"/>
        <v>460481.64782818436</v>
      </c>
      <c r="L118" s="17">
        <f t="shared" si="16"/>
        <v>472139.13699730113</v>
      </c>
      <c r="M118" s="17">
        <f t="shared" si="16"/>
        <v>450467.95060912502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7611893.542831189</v>
      </c>
      <c r="H119" s="17">
        <f t="shared" ref="H119:K119" si="17">H113*H118</f>
        <v>7586096.6812024442</v>
      </c>
      <c r="I119" s="17">
        <f t="shared" si="17"/>
        <v>8352867.0374812419</v>
      </c>
      <c r="J119" s="17">
        <f t="shared" si="17"/>
        <v>9923371.0033796933</v>
      </c>
      <c r="K119" s="17">
        <f t="shared" si="17"/>
        <v>10586413.094143387</v>
      </c>
      <c r="L119" s="17">
        <f t="shared" ref="L119:M119" si="18">L113*L118</f>
        <v>11514097.073008884</v>
      </c>
      <c r="M119" s="17">
        <f t="shared" si="18"/>
        <v>11653252.503087789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13614677.502831189</v>
      </c>
      <c r="H121" s="17">
        <f t="shared" ref="H121:K121" si="19">H107+H119</f>
        <v>13447473.401202444</v>
      </c>
      <c r="I121" s="17">
        <f t="shared" si="19"/>
        <v>14971726.687481241</v>
      </c>
      <c r="J121" s="17">
        <f t="shared" si="19"/>
        <v>16969844.513379693</v>
      </c>
      <c r="K121" s="17">
        <f t="shared" si="19"/>
        <v>18543739.432288878</v>
      </c>
      <c r="L121" s="17">
        <f t="shared" ref="L121:M121" si="20">L107+L119</f>
        <v>20429120.354556579</v>
      </c>
      <c r="M121" s="17">
        <f t="shared" si="20"/>
        <v>11653252.503087789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6" t="s">
        <v>108</v>
      </c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21654</v>
      </c>
      <c r="H128" s="6">
        <f t="shared" ref="H128:K130" si="21">H96</f>
        <v>21908</v>
      </c>
      <c r="I128" s="6">
        <f t="shared" si="21"/>
        <v>22211</v>
      </c>
      <c r="J128" s="6">
        <f t="shared" si="21"/>
        <v>22397</v>
      </c>
      <c r="K128" s="6">
        <f t="shared" si="21"/>
        <v>22645.79624146282</v>
      </c>
      <c r="L128" s="6">
        <f t="shared" ref="L128:M128" si="22">L96</f>
        <v>22897.516110656543</v>
      </c>
      <c r="M128" s="6">
        <f t="shared" si="22"/>
        <v>0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590935763.94000006</v>
      </c>
      <c r="H129" s="24">
        <f t="shared" si="21"/>
        <v>597239897.88999999</v>
      </c>
      <c r="I129" s="24">
        <f t="shared" si="21"/>
        <v>611606380.99000001</v>
      </c>
      <c r="J129" s="24">
        <f t="shared" si="21"/>
        <v>600491417.97128236</v>
      </c>
      <c r="K129" s="24">
        <f t="shared" si="21"/>
        <v>603790040.53898442</v>
      </c>
      <c r="L129" s="24">
        <f t="shared" ref="L129:M129" si="23">L97</f>
        <v>602361929.99881101</v>
      </c>
      <c r="M129" s="24">
        <f t="shared" si="23"/>
        <v>0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116734</v>
      </c>
      <c r="H130" s="6">
        <f t="shared" si="21"/>
        <v>116734</v>
      </c>
      <c r="I130" s="6">
        <f t="shared" si="21"/>
        <v>116734</v>
      </c>
      <c r="J130" s="6">
        <f t="shared" si="21"/>
        <v>116734</v>
      </c>
      <c r="K130" s="6">
        <f t="shared" si="21"/>
        <v>116734</v>
      </c>
      <c r="L130" s="6">
        <f t="shared" ref="L130:M130" si="24">L98</f>
        <v>116734</v>
      </c>
      <c r="M130" s="6">
        <f t="shared" si="24"/>
        <v>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116734</v>
      </c>
      <c r="H131" s="6">
        <f t="shared" ref="H131:M131" si="25">MAX(G131,H130)</f>
        <v>116734</v>
      </c>
      <c r="I131" s="6">
        <f t="shared" si="25"/>
        <v>116734</v>
      </c>
      <c r="J131" s="6">
        <f t="shared" si="25"/>
        <v>116734</v>
      </c>
      <c r="K131" s="6">
        <f t="shared" si="25"/>
        <v>116734</v>
      </c>
      <c r="L131" s="6">
        <f t="shared" si="25"/>
        <v>116734</v>
      </c>
      <c r="M131" s="6">
        <f t="shared" si="25"/>
        <v>116734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118.57602063213346</v>
      </c>
      <c r="I134" s="137">
        <f>H134*EXP('Model Inputs'!I21)</f>
        <v>125.73060753103434</v>
      </c>
      <c r="J134" s="137">
        <f>I134*EXP('Model Inputs'!J21)</f>
        <v>130.60030897127382</v>
      </c>
      <c r="K134" s="137">
        <f>J134*EXP('Model Inputs'!K21)</f>
        <v>138.53757418974212</v>
      </c>
      <c r="L134" s="137">
        <f>K134*EXP('Model Inputs'!L21)</f>
        <v>146.95722861268132</v>
      </c>
      <c r="M134" s="138">
        <f>L134*EXP('Model Inputs'!M21)</f>
        <v>155.88858956012359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250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1161.2205278084277</v>
      </c>
      <c r="I135" s="128">
        <f>H135*EXP('Model Inputs'!I20)</f>
        <v>1197.1289526036007</v>
      </c>
      <c r="J135" s="128">
        <f>I135*EXP('Model Inputs'!J20)</f>
        <v>1239.7703372909391</v>
      </c>
      <c r="K135" s="128">
        <f>J135*EXP('Model Inputs'!K20)</f>
        <v>1268.6155028729861</v>
      </c>
      <c r="L135" s="128">
        <f>K135*EXP('Model Inputs'!L20)</f>
        <v>1298.1317956407938</v>
      </c>
      <c r="M135" s="129">
        <f>L135*EXP('Model Inputs'!M20)</f>
        <v>1328.334830401571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3.3377777545102204E-2</v>
      </c>
      <c r="I136" s="25">
        <f t="shared" ref="I136:M136" si="27">LN(I134/H134)*0.3+LN(I135/H135)*0.7</f>
        <v>3.8894354667321288E-2</v>
      </c>
      <c r="J136" s="25">
        <f t="shared" si="27"/>
        <v>3.5899999999999994E-2</v>
      </c>
      <c r="K136" s="25">
        <f t="shared" si="27"/>
        <v>3.3800000000000052E-2</v>
      </c>
      <c r="L136" s="25">
        <f t="shared" si="27"/>
        <v>3.3800000000000052E-2</v>
      </c>
      <c r="M136" s="25">
        <f t="shared" si="27"/>
        <v>3.3800000000000052E-2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137.67888687841679</v>
      </c>
      <c r="H137" s="15">
        <f t="shared" ref="H137:M137" si="28">G137*EXP(H136)</f>
        <v>142.35185495297961</v>
      </c>
      <c r="I137" s="15">
        <f t="shared" si="28"/>
        <v>147.99762098912657</v>
      </c>
      <c r="J137" s="15">
        <f t="shared" si="28"/>
        <v>153.40725757230683</v>
      </c>
      <c r="K137" s="15">
        <f t="shared" si="28"/>
        <v>158.68104786127935</v>
      </c>
      <c r="L137" s="15">
        <f t="shared" si="28"/>
        <v>164.1361389860285</v>
      </c>
      <c r="M137" s="15">
        <f t="shared" si="28"/>
        <v>169.77876365419951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17.252290180152684</v>
      </c>
      <c r="I139" s="15">
        <f t="shared" si="29"/>
        <v>18.960647557513525</v>
      </c>
      <c r="J139" s="15">
        <f t="shared" si="29"/>
        <v>22.266617301565596</v>
      </c>
      <c r="K139" s="15">
        <f t="shared" si="29"/>
        <v>22.989869724609321</v>
      </c>
      <c r="L139" s="15">
        <f t="shared" ref="L139:M139" si="30">L113</f>
        <v>24.387084591707342</v>
      </c>
      <c r="M139" s="15">
        <f t="shared" si="30"/>
        <v>25.869215528718975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263</v>
      </c>
      <c r="H142" s="26">
        <f>'Model Inputs'!H16</f>
        <v>266</v>
      </c>
      <c r="I142" s="26">
        <f>'Model Inputs'!I16</f>
        <v>287</v>
      </c>
      <c r="J142" s="26">
        <f>'Model Inputs'!J16</f>
        <v>290</v>
      </c>
      <c r="K142" s="26">
        <f>'Model Inputs'!K16</f>
        <v>290</v>
      </c>
      <c r="L142" s="26">
        <f>'Model Inputs'!L16</f>
        <v>290</v>
      </c>
      <c r="M142" s="26">
        <f>'Model Inputs'!M16</f>
        <v>0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268.93157894736834</v>
      </c>
      <c r="H143" s="22">
        <f>(G143*14+H142)/15</f>
        <v>268.73614035087712</v>
      </c>
      <c r="I143" s="22">
        <f>(H143*15+I142)/16</f>
        <v>269.87763157894733</v>
      </c>
      <c r="J143" s="22">
        <f>(I143*16+J142)/17</f>
        <v>271.06130030959747</v>
      </c>
      <c r="K143" s="22">
        <f>(J143*17+K142)/18</f>
        <v>272.1134502923976</v>
      </c>
      <c r="L143" s="22">
        <f>(K143*17+L142)/18</f>
        <v>273.10714749837553</v>
      </c>
      <c r="M143" s="22">
        <f>(L143*17+M142)/18</f>
        <v>257.93452819291019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19579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0.1059808979008121</v>
      </c>
      <c r="H145" s="19">
        <f>'Model Inputs'!H17</f>
        <v>0.10173497611264773</v>
      </c>
      <c r="I145" s="19">
        <f>'Model Inputs'!I17</f>
        <v>0.10739392730717455</v>
      </c>
      <c r="J145" s="19">
        <f>'Model Inputs'!J17</f>
        <v>0.1095</v>
      </c>
      <c r="K145" s="19">
        <f>'Model Inputs'!K17</f>
        <v>0.11649604510180499</v>
      </c>
      <c r="L145" s="19">
        <f>'Model Inputs'!L17</f>
        <v>0.11868004774806014</v>
      </c>
      <c r="M145" s="19">
        <f>'Model Inputs'!M17</f>
        <v>0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0.12576164816267699</v>
      </c>
      <c r="H152" s="27">
        <f t="shared" ref="H152:K152" si="33">H113/H137</f>
        <v>0.12119469876842354</v>
      </c>
      <c r="I152" s="27">
        <f t="shared" si="33"/>
        <v>0.12811454286083807</v>
      </c>
      <c r="J152" s="27">
        <f t="shared" si="33"/>
        <v>0.14514709182562938</v>
      </c>
      <c r="K152" s="27">
        <f t="shared" si="33"/>
        <v>0.14488100522695885</v>
      </c>
      <c r="L152" s="27">
        <f t="shared" ref="L152:M152" si="34">L113/L137</f>
        <v>0.14857839804421868</v>
      </c>
      <c r="M152" s="27">
        <f t="shared" si="34"/>
        <v>0.15237014908065091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21654</v>
      </c>
      <c r="H153" s="17">
        <f t="shared" ref="H153:K153" si="35">H96</f>
        <v>21908</v>
      </c>
      <c r="I153" s="17">
        <f t="shared" si="35"/>
        <v>22211</v>
      </c>
      <c r="J153" s="17">
        <f t="shared" si="35"/>
        <v>22397</v>
      </c>
      <c r="K153" s="17">
        <f t="shared" si="35"/>
        <v>22645.79624146282</v>
      </c>
      <c r="L153" s="17">
        <f t="shared" ref="L153:M153" si="36">L96</f>
        <v>22897.516110656543</v>
      </c>
      <c r="M153" s="17">
        <f t="shared" si="36"/>
        <v>0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116734</v>
      </c>
      <c r="H154" s="17">
        <f t="shared" ref="H154:K154" si="37">H131</f>
        <v>116734</v>
      </c>
      <c r="I154" s="17">
        <f t="shared" si="37"/>
        <v>116734</v>
      </c>
      <c r="J154" s="17">
        <f t="shared" si="37"/>
        <v>116734</v>
      </c>
      <c r="K154" s="17">
        <f t="shared" si="37"/>
        <v>116734</v>
      </c>
      <c r="L154" s="17">
        <f t="shared" ref="L154:M154" si="38">L131</f>
        <v>116734</v>
      </c>
      <c r="M154" s="17">
        <f t="shared" si="38"/>
        <v>116734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590935763.94000006</v>
      </c>
      <c r="H155" s="24">
        <f t="shared" ref="H155:K155" si="39">H97</f>
        <v>597239897.88999999</v>
      </c>
      <c r="I155" s="24">
        <f t="shared" si="39"/>
        <v>611606380.99000001</v>
      </c>
      <c r="J155" s="24">
        <f t="shared" si="39"/>
        <v>600491417.97128236</v>
      </c>
      <c r="K155" s="24">
        <f t="shared" si="39"/>
        <v>603790040.53898442</v>
      </c>
      <c r="L155" s="24">
        <f t="shared" ref="L155:M155" si="40">L97</f>
        <v>602361929.99881101</v>
      </c>
      <c r="M155" s="24">
        <f t="shared" si="40"/>
        <v>0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268.93157894736834</v>
      </c>
      <c r="H156" s="28">
        <f t="shared" ref="H156:K156" si="41">H143</f>
        <v>268.73614035087712</v>
      </c>
      <c r="I156" s="28">
        <f t="shared" si="41"/>
        <v>269.87763157894733</v>
      </c>
      <c r="J156" s="28">
        <f t="shared" si="41"/>
        <v>271.06130030959747</v>
      </c>
      <c r="K156" s="28">
        <f t="shared" si="41"/>
        <v>272.1134502923976</v>
      </c>
      <c r="L156" s="28">
        <f t="shared" ref="L156:M156" si="42">L143</f>
        <v>273.10714749837553</v>
      </c>
      <c r="M156" s="28">
        <f t="shared" si="42"/>
        <v>257.93452819291019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0.1059808979008121</v>
      </c>
      <c r="H157" s="20">
        <f t="shared" ref="H157:L157" si="43">H145</f>
        <v>0.10173497611264773</v>
      </c>
      <c r="I157" s="20">
        <f t="shared" si="43"/>
        <v>0.10739392730717455</v>
      </c>
      <c r="J157" s="20">
        <f t="shared" si="43"/>
        <v>0.1095</v>
      </c>
      <c r="K157" s="20">
        <f t="shared" si="43"/>
        <v>0.11649604510180499</v>
      </c>
      <c r="L157" s="20">
        <f t="shared" si="43"/>
        <v>0.11868004774806014</v>
      </c>
      <c r="M157" s="20">
        <f t="shared" ref="M157" si="44">M145</f>
        <v>0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12.815711468242117</v>
      </c>
      <c r="H162" s="32">
        <f t="shared" ref="H162:M179" si="47">G162</f>
        <v>12.815711468242117</v>
      </c>
      <c r="I162" s="32">
        <f t="shared" si="47"/>
        <v>12.815711468242117</v>
      </c>
      <c r="J162" s="32">
        <f t="shared" si="47"/>
        <v>12.815711468242117</v>
      </c>
      <c r="K162" s="32">
        <f t="shared" si="47"/>
        <v>12.815711468242117</v>
      </c>
      <c r="L162" s="32">
        <f t="shared" si="47"/>
        <v>12.815711468242117</v>
      </c>
      <c r="M162" s="32">
        <f t="shared" si="47"/>
        <v>12.815711468242117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0.62209521131343637</v>
      </c>
      <c r="H163" s="32">
        <f t="shared" si="47"/>
        <v>0.62209521131343637</v>
      </c>
      <c r="I163" s="32">
        <f t="shared" si="47"/>
        <v>0.62209521131343637</v>
      </c>
      <c r="J163" s="32">
        <f t="shared" si="47"/>
        <v>0.62209521131343637</v>
      </c>
      <c r="K163" s="32">
        <f t="shared" si="47"/>
        <v>0.62209521131343637</v>
      </c>
      <c r="L163" s="32">
        <f t="shared" si="47"/>
        <v>0.62209521131343637</v>
      </c>
      <c r="M163" s="32">
        <f t="shared" si="47"/>
        <v>0.62209521131343637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0.45201542149564689</v>
      </c>
      <c r="H164" s="32">
        <f t="shared" si="47"/>
        <v>0.45201542149564689</v>
      </c>
      <c r="I164" s="32">
        <f t="shared" si="47"/>
        <v>0.45201542149564689</v>
      </c>
      <c r="J164" s="32">
        <f t="shared" si="47"/>
        <v>0.45201542149564689</v>
      </c>
      <c r="K164" s="32">
        <f t="shared" si="47"/>
        <v>0.45201542149564689</v>
      </c>
      <c r="L164" s="32">
        <f t="shared" si="47"/>
        <v>0.45201542149564689</v>
      </c>
      <c r="M164" s="32">
        <f t="shared" si="47"/>
        <v>0.45201542149564689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0.15455513331555285</v>
      </c>
      <c r="H165" s="32">
        <f t="shared" si="47"/>
        <v>0.15455513331555285</v>
      </c>
      <c r="I165" s="32">
        <f t="shared" si="47"/>
        <v>0.15455513331555285</v>
      </c>
      <c r="J165" s="32">
        <f t="shared" si="47"/>
        <v>0.15455513331555285</v>
      </c>
      <c r="K165" s="32">
        <f t="shared" si="47"/>
        <v>0.15455513331555285</v>
      </c>
      <c r="L165" s="32">
        <f t="shared" si="47"/>
        <v>0.15455513331555285</v>
      </c>
      <c r="M165" s="32">
        <f t="shared" si="47"/>
        <v>0.15455513331555285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9.2676138236125125E-2</v>
      </c>
      <c r="H166" s="32">
        <f t="shared" si="47"/>
        <v>9.2676138236125125E-2</v>
      </c>
      <c r="I166" s="32">
        <f t="shared" si="47"/>
        <v>9.2676138236125125E-2</v>
      </c>
      <c r="J166" s="32">
        <f t="shared" si="47"/>
        <v>9.2676138236125125E-2</v>
      </c>
      <c r="K166" s="32">
        <f t="shared" si="47"/>
        <v>9.2676138236125125E-2</v>
      </c>
      <c r="L166" s="32">
        <f t="shared" si="47"/>
        <v>9.2676138236125125E-2</v>
      </c>
      <c r="M166" s="32">
        <f t="shared" si="47"/>
        <v>9.2676138236125125E-2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0.11428480170755995</v>
      </c>
      <c r="H167" s="32">
        <f t="shared" si="47"/>
        <v>0.11428480170755995</v>
      </c>
      <c r="I167" s="32">
        <f t="shared" si="47"/>
        <v>0.11428480170755995</v>
      </c>
      <c r="J167" s="32">
        <f t="shared" si="47"/>
        <v>0.11428480170755995</v>
      </c>
      <c r="K167" s="32">
        <f t="shared" si="47"/>
        <v>0.11428480170755995</v>
      </c>
      <c r="L167" s="32">
        <f t="shared" si="47"/>
        <v>0.11428480170755995</v>
      </c>
      <c r="M167" s="32">
        <f t="shared" si="47"/>
        <v>0.11428480170755995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-0.35842476957809133</v>
      </c>
      <c r="H168" s="32">
        <f t="shared" si="47"/>
        <v>-0.35842476957809133</v>
      </c>
      <c r="I168" s="32">
        <f t="shared" si="47"/>
        <v>-0.35842476957809133</v>
      </c>
      <c r="J168" s="32">
        <f t="shared" si="47"/>
        <v>-0.35842476957809133</v>
      </c>
      <c r="K168" s="32">
        <f t="shared" si="47"/>
        <v>-0.35842476957809133</v>
      </c>
      <c r="L168" s="32">
        <f t="shared" si="47"/>
        <v>-0.35842476957809133</v>
      </c>
      <c r="M168" s="32">
        <f t="shared" si="47"/>
        <v>-0.35842476957809133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0.21778015067159809</v>
      </c>
      <c r="H169" s="32">
        <f t="shared" si="47"/>
        <v>0.21778015067159809</v>
      </c>
      <c r="I169" s="32">
        <f t="shared" si="47"/>
        <v>0.21778015067159809</v>
      </c>
      <c r="J169" s="32">
        <f t="shared" si="47"/>
        <v>0.21778015067159809</v>
      </c>
      <c r="K169" s="32">
        <f t="shared" si="47"/>
        <v>0.21778015067159809</v>
      </c>
      <c r="L169" s="32">
        <f t="shared" si="47"/>
        <v>0.21778015067159809</v>
      </c>
      <c r="M169" s="32">
        <f t="shared" si="47"/>
        <v>0.21778015067159809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0.13416837582546362</v>
      </c>
      <c r="H170" s="32">
        <f t="shared" si="47"/>
        <v>0.13416837582546362</v>
      </c>
      <c r="I170" s="32">
        <f t="shared" si="47"/>
        <v>0.13416837582546362</v>
      </c>
      <c r="J170" s="32">
        <f t="shared" si="47"/>
        <v>0.13416837582546362</v>
      </c>
      <c r="K170" s="32">
        <f t="shared" si="47"/>
        <v>0.13416837582546362</v>
      </c>
      <c r="L170" s="32">
        <f t="shared" si="47"/>
        <v>0.13416837582546362</v>
      </c>
      <c r="M170" s="32">
        <f t="shared" si="47"/>
        <v>0.13416837582546362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5.8419685387726017E-2</v>
      </c>
      <c r="H171" s="32">
        <f t="shared" si="47"/>
        <v>5.8419685387726017E-2</v>
      </c>
      <c r="I171" s="32">
        <f t="shared" si="47"/>
        <v>5.8419685387726017E-2</v>
      </c>
      <c r="J171" s="32">
        <f t="shared" si="47"/>
        <v>5.8419685387726017E-2</v>
      </c>
      <c r="K171" s="32">
        <f t="shared" si="47"/>
        <v>5.8419685387726017E-2</v>
      </c>
      <c r="L171" s="32">
        <f t="shared" si="47"/>
        <v>5.8419685387726017E-2</v>
      </c>
      <c r="M171" s="32">
        <f t="shared" si="47"/>
        <v>5.8419685387726017E-2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8.0165151496298659E-3</v>
      </c>
      <c r="H172" s="32">
        <f t="shared" si="47"/>
        <v>8.0165151496298659E-3</v>
      </c>
      <c r="I172" s="32">
        <f t="shared" si="47"/>
        <v>8.0165151496298659E-3</v>
      </c>
      <c r="J172" s="32">
        <f t="shared" si="47"/>
        <v>8.0165151496298659E-3</v>
      </c>
      <c r="K172" s="32">
        <f t="shared" si="47"/>
        <v>8.0165151496298659E-3</v>
      </c>
      <c r="L172" s="32">
        <f t="shared" si="47"/>
        <v>8.0165151496298659E-3</v>
      </c>
      <c r="M172" s="32">
        <f t="shared" si="47"/>
        <v>8.0165151496298659E-3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-2.3827479727646372E-3</v>
      </c>
      <c r="H173" s="32">
        <f t="shared" si="47"/>
        <v>-2.3827479727646372E-3</v>
      </c>
      <c r="I173" s="32">
        <f t="shared" si="47"/>
        <v>-2.3827479727646372E-3</v>
      </c>
      <c r="J173" s="32">
        <f t="shared" si="47"/>
        <v>-2.3827479727646372E-3</v>
      </c>
      <c r="K173" s="32">
        <f t="shared" si="47"/>
        <v>-2.3827479727646372E-3</v>
      </c>
      <c r="L173" s="32">
        <f t="shared" si="47"/>
        <v>-2.3827479727646372E-3</v>
      </c>
      <c r="M173" s="32">
        <f t="shared" si="47"/>
        <v>-2.3827479727646372E-3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0.10564678612297607</v>
      </c>
      <c r="H174" s="32">
        <f t="shared" si="47"/>
        <v>0.10564678612297607</v>
      </c>
      <c r="I174" s="32">
        <f t="shared" si="47"/>
        <v>0.10564678612297607</v>
      </c>
      <c r="J174" s="32">
        <f t="shared" si="47"/>
        <v>0.10564678612297607</v>
      </c>
      <c r="K174" s="32">
        <f t="shared" si="47"/>
        <v>0.10564678612297607</v>
      </c>
      <c r="L174" s="32">
        <f t="shared" si="47"/>
        <v>0.10564678612297607</v>
      </c>
      <c r="M174" s="32">
        <f t="shared" si="47"/>
        <v>0.10564678612297607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8.8855714342797237E-2</v>
      </c>
      <c r="H175" s="32">
        <f t="shared" si="47"/>
        <v>8.8855714342797237E-2</v>
      </c>
      <c r="I175" s="32">
        <f t="shared" si="47"/>
        <v>8.8855714342797237E-2</v>
      </c>
      <c r="J175" s="32">
        <f t="shared" si="47"/>
        <v>8.8855714342797237E-2</v>
      </c>
      <c r="K175" s="32">
        <f t="shared" si="47"/>
        <v>8.8855714342797237E-2</v>
      </c>
      <c r="L175" s="32">
        <f t="shared" si="47"/>
        <v>8.8855714342797237E-2</v>
      </c>
      <c r="M175" s="32">
        <f t="shared" si="47"/>
        <v>8.8855714342797237E-2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-0.19063932476945222</v>
      </c>
      <c r="H176" s="32">
        <f t="shared" si="47"/>
        <v>-0.19063932476945222</v>
      </c>
      <c r="I176" s="32">
        <f t="shared" si="47"/>
        <v>-0.19063932476945222</v>
      </c>
      <c r="J176" s="32">
        <f t="shared" si="47"/>
        <v>-0.19063932476945222</v>
      </c>
      <c r="K176" s="32">
        <f t="shared" si="47"/>
        <v>-0.19063932476945222</v>
      </c>
      <c r="L176" s="32">
        <f t="shared" si="47"/>
        <v>-0.19063932476945222</v>
      </c>
      <c r="M176" s="32">
        <f t="shared" si="47"/>
        <v>-0.19063932476945222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0.29843590380536777</v>
      </c>
      <c r="H177" s="32">
        <f t="shared" si="47"/>
        <v>0.29843590380536777</v>
      </c>
      <c r="I177" s="32">
        <f t="shared" si="47"/>
        <v>0.29843590380536777</v>
      </c>
      <c r="J177" s="32">
        <f t="shared" si="47"/>
        <v>0.29843590380536777</v>
      </c>
      <c r="K177" s="32">
        <f t="shared" si="47"/>
        <v>0.29843590380536777</v>
      </c>
      <c r="L177" s="32">
        <f t="shared" si="47"/>
        <v>0.29843590380536777</v>
      </c>
      <c r="M177" s="32">
        <f t="shared" si="47"/>
        <v>0.29843590380536777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1.749210972384746E-2</v>
      </c>
      <c r="H178" s="32">
        <f t="shared" si="47"/>
        <v>1.749210972384746E-2</v>
      </c>
      <c r="I178" s="32">
        <f t="shared" si="47"/>
        <v>1.749210972384746E-2</v>
      </c>
      <c r="J178" s="32">
        <f t="shared" si="47"/>
        <v>1.749210972384746E-2</v>
      </c>
      <c r="K178" s="32">
        <f t="shared" si="47"/>
        <v>1.749210972384746E-2</v>
      </c>
      <c r="L178" s="32">
        <f t="shared" si="47"/>
        <v>1.749210972384746E-2</v>
      </c>
      <c r="M178" s="32">
        <f t="shared" si="47"/>
        <v>1.749210972384746E-2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1.6939413316907893E-2</v>
      </c>
      <c r="H179" s="32">
        <f t="shared" si="47"/>
        <v>1.6939413316907893E-2</v>
      </c>
      <c r="I179" s="32">
        <f t="shared" si="47"/>
        <v>1.6939413316907893E-2</v>
      </c>
      <c r="J179" s="32">
        <f t="shared" si="47"/>
        <v>1.6939413316907893E-2</v>
      </c>
      <c r="K179" s="32">
        <f t="shared" si="47"/>
        <v>1.6939413316907893E-2</v>
      </c>
      <c r="L179" s="32">
        <f t="shared" si="47"/>
        <v>1.6939413316907893E-2</v>
      </c>
      <c r="M179" s="32">
        <f t="shared" si="47"/>
        <v>1.6939413316907893E-2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-0.26791404840781013</v>
      </c>
      <c r="H206" s="31">
        <f t="shared" ref="H206:K209" si="51">LN(H152/H184)</f>
        <v>-0.3049041494779261</v>
      </c>
      <c r="I206" s="31">
        <f t="shared" si="51"/>
        <v>-0.24937775275612861</v>
      </c>
      <c r="J206" s="31">
        <f t="shared" si="51"/>
        <v>-0.12455482800059378</v>
      </c>
      <c r="K206" s="31">
        <f t="shared" si="51"/>
        <v>-0.12638973072919962</v>
      </c>
      <c r="L206" s="31">
        <f t="shared" ref="L206:M206" si="52">LN(L152/L184)</f>
        <v>-0.10118973072919961</v>
      </c>
      <c r="M206" s="31">
        <f t="shared" si="52"/>
        <v>-7.5989730729199775E-2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-1.074625525780402</v>
      </c>
      <c r="H207" s="31">
        <f t="shared" si="51"/>
        <v>-1.0629638537476336</v>
      </c>
      <c r="I207" s="31">
        <f t="shared" si="51"/>
        <v>-1.0492280590127367</v>
      </c>
      <c r="J207" s="31">
        <f t="shared" si="51"/>
        <v>-1.0408886993487749</v>
      </c>
      <c r="K207" s="31">
        <f t="shared" si="51"/>
        <v>-1.0298414823686168</v>
      </c>
      <c r="L207" s="31">
        <f t="shared" ref="L207:M207" si="53">LN(L153/L185)</f>
        <v>-1.0187872827754187</v>
      </c>
      <c r="M207" s="31" t="e">
        <f t="shared" si="53"/>
        <v>#NUM!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-1.0840204603001919</v>
      </c>
      <c r="H208" s="31">
        <f t="shared" si="51"/>
        <v>-1.0840204603001919</v>
      </c>
      <c r="I208" s="31">
        <f t="shared" si="51"/>
        <v>-1.0840204603001919</v>
      </c>
      <c r="J208" s="31">
        <f t="shared" si="51"/>
        <v>-1.0840204603001919</v>
      </c>
      <c r="K208" s="31">
        <f t="shared" si="51"/>
        <v>-1.0840204603001919</v>
      </c>
      <c r="L208" s="31">
        <f t="shared" ref="L208:M208" si="54">LN(L154/L186)</f>
        <v>-1.0840204603001919</v>
      </c>
      <c r="M208" s="31">
        <f t="shared" si="54"/>
        <v>-1.0840204603001919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-1.014829175867813</v>
      </c>
      <c r="H209" s="31">
        <f t="shared" si="51"/>
        <v>-1.0042176252211685</v>
      </c>
      <c r="I209" s="31">
        <f t="shared" si="51"/>
        <v>-0.98044758963596024</v>
      </c>
      <c r="J209" s="31">
        <f t="shared" si="51"/>
        <v>-0.99878814696354468</v>
      </c>
      <c r="K209" s="31">
        <f t="shared" si="51"/>
        <v>-0.99330997440878888</v>
      </c>
      <c r="L209" s="31">
        <f t="shared" ref="L209:M209" si="55">LN(L155/L187)</f>
        <v>-0.99567801963429581</v>
      </c>
      <c r="M209" s="31" t="e">
        <f t="shared" si="55"/>
        <v>#NUM!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3.5888968667131219E-2</v>
      </c>
      <c r="H210" s="31">
        <f t="shared" ref="H210:K213" si="56">H206*H206/2</f>
        <v>4.648327018442875E-2</v>
      </c>
      <c r="I210" s="31">
        <f t="shared" si="56"/>
        <v>3.1094631784848406E-2</v>
      </c>
      <c r="J210" s="31">
        <f t="shared" si="56"/>
        <v>7.7569525891287502E-3</v>
      </c>
      <c r="K210" s="31">
        <f t="shared" si="56"/>
        <v>7.987182016899793E-3</v>
      </c>
      <c r="L210" s="31">
        <f t="shared" ref="L210:M210" si="57">L206*L206/2</f>
        <v>5.1196808025239619E-3</v>
      </c>
      <c r="M210" s="31">
        <f t="shared" si="57"/>
        <v>2.8872195881481442E-3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0.57741001032940276</v>
      </c>
      <c r="H211" s="31">
        <f t="shared" si="56"/>
        <v>0.56494607718701029</v>
      </c>
      <c r="I211" s="31">
        <f t="shared" si="56"/>
        <v>0.55043975990981753</v>
      </c>
      <c r="J211" s="31">
        <f t="shared" si="56"/>
        <v>0.54172464221599215</v>
      </c>
      <c r="K211" s="31">
        <f t="shared" si="56"/>
        <v>0.53028673940359505</v>
      </c>
      <c r="L211" s="31">
        <f t="shared" ref="L211:M211" si="58">L207*L207/2</f>
        <v>0.51896376377246056</v>
      </c>
      <c r="M211" s="31" t="e">
        <f t="shared" si="58"/>
        <v>#NUM!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0.58755017917471997</v>
      </c>
      <c r="H212" s="31">
        <f t="shared" si="56"/>
        <v>0.58755017917471997</v>
      </c>
      <c r="I212" s="31">
        <f t="shared" si="56"/>
        <v>0.58755017917471997</v>
      </c>
      <c r="J212" s="31">
        <f t="shared" si="56"/>
        <v>0.58755017917471997</v>
      </c>
      <c r="K212" s="31">
        <f t="shared" si="56"/>
        <v>0.58755017917471997</v>
      </c>
      <c r="L212" s="31">
        <f t="shared" ref="L212:M212" si="59">L208*L208/2</f>
        <v>0.58755017917471997</v>
      </c>
      <c r="M212" s="31">
        <f t="shared" si="59"/>
        <v>0.58755017917471997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0.51493912809627218</v>
      </c>
      <c r="H213" s="31">
        <f t="shared" si="56"/>
        <v>0.50422651940242169</v>
      </c>
      <c r="I213" s="31">
        <f t="shared" si="56"/>
        <v>0.48063873801148216</v>
      </c>
      <c r="J213" s="31">
        <f t="shared" si="56"/>
        <v>0.49878888125743565</v>
      </c>
      <c r="K213" s="31">
        <f t="shared" si="56"/>
        <v>0.49333235262999442</v>
      </c>
      <c r="L213" s="31">
        <f t="shared" ref="L213:M213" si="60">L209*L209/2</f>
        <v>0.4956873593914366</v>
      </c>
      <c r="M213" s="31" t="e">
        <f t="shared" si="60"/>
        <v>#NUM!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0.28790727513419906</v>
      </c>
      <c r="H214" s="31">
        <f t="shared" ref="H214:K214" si="61">H206*H207</f>
        <v>0.32410208975270083</v>
      </c>
      <c r="I214" s="31">
        <f t="shared" si="61"/>
        <v>0.261654135485271</v>
      </c>
      <c r="J214" s="31">
        <f t="shared" si="61"/>
        <v>0.12964771291514843</v>
      </c>
      <c r="K214" s="31">
        <f t="shared" si="61"/>
        <v>0.13016138765032925</v>
      </c>
      <c r="L214" s="31">
        <f t="shared" ref="L214:M214" si="62">L206*L207</f>
        <v>0.10309081081437756</v>
      </c>
      <c r="M214" s="31" t="e">
        <f t="shared" si="62"/>
        <v>#NUM!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0.29042431007592223</v>
      </c>
      <c r="H215" s="31">
        <f t="shared" ref="H215:K215" si="63">H206*H208</f>
        <v>0.33052233646449997</v>
      </c>
      <c r="I215" s="31">
        <f t="shared" si="63"/>
        <v>0.27033058633132601</v>
      </c>
      <c r="J215" s="31">
        <f t="shared" si="63"/>
        <v>0.13501998198181492</v>
      </c>
      <c r="K215" s="31">
        <f t="shared" si="63"/>
        <v>0.13700905408228428</v>
      </c>
      <c r="L215" s="31">
        <f t="shared" ref="L215:M215" si="64">L206*L208</f>
        <v>0.10969173848271943</v>
      </c>
      <c r="M215" s="31">
        <f t="shared" si="64"/>
        <v>8.2374422883154774E-2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0.27188699294910729</v>
      </c>
      <c r="H216" s="31">
        <f t="shared" ref="H216:K216" si="65">H206*H209</f>
        <v>0.30619012090880315</v>
      </c>
      <c r="I216" s="31">
        <f t="shared" si="65"/>
        <v>0.24450181659857873</v>
      </c>
      <c r="J216" s="31">
        <f t="shared" si="65"/>
        <v>0.12440388585407609</v>
      </c>
      <c r="K216" s="31">
        <f t="shared" si="65"/>
        <v>0.12554418019615499</v>
      </c>
      <c r="L216" s="31">
        <f t="shared" ref="L216:M216" si="66">L206*L209</f>
        <v>0.10075239069977711</v>
      </c>
      <c r="M216" s="31" t="e">
        <f t="shared" si="66"/>
        <v>#NUM!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1.1649160571068071</v>
      </c>
      <c r="H217" s="31">
        <f t="shared" ref="H217:K217" si="67">H207*H208</f>
        <v>1.1522745660219758</v>
      </c>
      <c r="I217" s="31">
        <f t="shared" si="67"/>
        <v>1.1373846834908639</v>
      </c>
      <c r="J217" s="31">
        <f t="shared" si="67"/>
        <v>1.128344646989327</v>
      </c>
      <c r="K217" s="31">
        <f t="shared" si="67"/>
        <v>1.11636923775346</v>
      </c>
      <c r="L217" s="31">
        <f t="shared" ref="L217:M217" si="68">L207*L208</f>
        <v>1.1043862592221911</v>
      </c>
      <c r="M217" s="31" t="e">
        <f t="shared" si="68"/>
        <v>#NUM!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1.0905613366942406</v>
      </c>
      <c r="H218" s="31">
        <f t="shared" ref="H218:K218" si="69">H207*H209</f>
        <v>1.0674470369063902</v>
      </c>
      <c r="I218" s="31">
        <f t="shared" si="69"/>
        <v>1.0287131214374547</v>
      </c>
      <c r="J218" s="31">
        <f t="shared" si="69"/>
        <v>1.0396272952178571</v>
      </c>
      <c r="K218" s="31">
        <f t="shared" si="69"/>
        <v>1.02295181649668</v>
      </c>
      <c r="L218" s="31">
        <f t="shared" ref="L218:M218" si="70">L207*L209</f>
        <v>1.0143841041424342</v>
      </c>
      <c r="M218" s="31" t="e">
        <f t="shared" si="70"/>
        <v>#NUM!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1.1000955903502911</v>
      </c>
      <c r="H219" s="31">
        <f t="shared" ref="H219:K219" si="71">H208*H209</f>
        <v>1.0885924523338169</v>
      </c>
      <c r="I219" s="31">
        <f t="shared" si="71"/>
        <v>1.0628252474173874</v>
      </c>
      <c r="J219" s="31">
        <f t="shared" si="71"/>
        <v>1.0827067868137974</v>
      </c>
      <c r="K219" s="31">
        <f t="shared" si="71"/>
        <v>1.0767683356793871</v>
      </c>
      <c r="L219" s="31">
        <f t="shared" ref="L219:M219" si="72">L208*L209</f>
        <v>1.0793353451547529</v>
      </c>
      <c r="M219" s="31" t="e">
        <f t="shared" si="72"/>
        <v>#NUM!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-2.3149583131425207</v>
      </c>
      <c r="H220" s="31">
        <f t="shared" ref="H220:K220" si="73">LN(H156/H198)</f>
        <v>-2.315685299710931</v>
      </c>
      <c r="I220" s="31">
        <f t="shared" si="73"/>
        <v>-2.3114466671450278</v>
      </c>
      <c r="J220" s="31">
        <f t="shared" si="73"/>
        <v>-2.3070703113308855</v>
      </c>
      <c r="K220" s="31">
        <f t="shared" si="73"/>
        <v>-2.3031962310369605</v>
      </c>
      <c r="L220" s="31">
        <f t="shared" ref="L220:M220" si="74">LN(L156/L198)</f>
        <v>-2.2995511071723471</v>
      </c>
      <c r="M220" s="31">
        <f t="shared" si="74"/>
        <v>-2.3567095210122959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0.82411273639822791</v>
      </c>
      <c r="H221" s="20">
        <f t="shared" ref="H221:K221" si="75">H157/H199</f>
        <v>0.79109623726786726</v>
      </c>
      <c r="I221" s="20">
        <f t="shared" si="75"/>
        <v>0.83510052338393903</v>
      </c>
      <c r="J221" s="20">
        <f t="shared" si="75"/>
        <v>0.8514774494556766</v>
      </c>
      <c r="K221" s="20">
        <f t="shared" si="75"/>
        <v>0.90587904433751942</v>
      </c>
      <c r="L221" s="20">
        <f t="shared" ref="L221:M221" si="76">L157/L199</f>
        <v>0.92286195760544432</v>
      </c>
      <c r="M221" s="20">
        <f t="shared" si="76"/>
        <v>0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12.815711468242117</v>
      </c>
      <c r="H226" s="228">
        <f t="shared" ref="H226:K241" si="80">H162*H205</f>
        <v>12.815711468242117</v>
      </c>
      <c r="I226" s="33">
        <f t="shared" si="80"/>
        <v>12.815711468242117</v>
      </c>
      <c r="J226" s="33">
        <f t="shared" si="80"/>
        <v>12.815711468242117</v>
      </c>
      <c r="K226" s="33">
        <f t="shared" si="80"/>
        <v>12.815711468242117</v>
      </c>
      <c r="L226" s="33">
        <f t="shared" ref="L226:M226" si="81">L162*L205</f>
        <v>12.815711468242117</v>
      </c>
      <c r="M226" s="33">
        <f t="shared" si="81"/>
        <v>12.815711468242117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-0.16666804655809486</v>
      </c>
      <c r="H227" s="228">
        <f t="shared" si="80"/>
        <v>-0.18967941129981403</v>
      </c>
      <c r="I227" s="33">
        <f t="shared" si="80"/>
        <v>-0.15513670579769373</v>
      </c>
      <c r="J227" s="33">
        <f t="shared" si="80"/>
        <v>-7.7484962045138106E-2</v>
      </c>
      <c r="K227" s="33">
        <f t="shared" si="80"/>
        <v>-7.8626446245829762E-2</v>
      </c>
      <c r="L227" s="33">
        <f t="shared" ref="L227:M227" si="82">L163*L206</f>
        <v>-6.2949646920731156E-2</v>
      </c>
      <c r="M227" s="33">
        <f t="shared" si="82"/>
        <v>-4.7272847595632661E-2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-0.48574730998560955</v>
      </c>
      <c r="H228" s="228">
        <f t="shared" si="80"/>
        <v>-0.48047605438637375</v>
      </c>
      <c r="I228" s="33">
        <f t="shared" si="80"/>
        <v>-0.47426726333970165</v>
      </c>
      <c r="J228" s="33">
        <f t="shared" si="80"/>
        <v>-0.47049774416619217</v>
      </c>
      <c r="K228" s="33">
        <f t="shared" si="80"/>
        <v>-0.46550423172655214</v>
      </c>
      <c r="L228" s="33">
        <f t="shared" ref="L228:M228" si="83">L164*L207</f>
        <v>-0.46050756303813567</v>
      </c>
      <c r="M228" s="33" t="e">
        <f t="shared" si="83"/>
        <v>#NUM!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-0.16754092675848312</v>
      </c>
      <c r="H229" s="228">
        <f t="shared" si="80"/>
        <v>-0.16754092675848312</v>
      </c>
      <c r="I229" s="33">
        <f t="shared" si="80"/>
        <v>-0.16754092675848312</v>
      </c>
      <c r="J229" s="33">
        <f t="shared" si="80"/>
        <v>-0.16754092675848312</v>
      </c>
      <c r="K229" s="33">
        <f t="shared" si="80"/>
        <v>-0.16754092675848312</v>
      </c>
      <c r="L229" s="33">
        <f t="shared" ref="L229:M229" si="84">L165*L208</f>
        <v>-0.16754092675848312</v>
      </c>
      <c r="M229" s="33">
        <f t="shared" si="84"/>
        <v>-0.16754092675848312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-9.4050448988778373E-2</v>
      </c>
      <c r="H230" s="228">
        <f t="shared" si="80"/>
        <v>-9.3067011454150306E-2</v>
      </c>
      <c r="I230" s="33">
        <f t="shared" si="80"/>
        <v>-9.0864096350377926E-2</v>
      </c>
      <c r="J230" s="33">
        <f t="shared" si="80"/>
        <v>-9.2563828376596727E-2</v>
      </c>
      <c r="K230" s="33">
        <f t="shared" si="80"/>
        <v>-9.2056132499630822E-2</v>
      </c>
      <c r="L230" s="33">
        <f t="shared" ref="L230:M230" si="85">L166*L209</f>
        <v>-9.2275593786299306E-2</v>
      </c>
      <c r="M230" s="33" t="e">
        <f t="shared" si="85"/>
        <v>#NUM!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4.1015636676119231E-3</v>
      </c>
      <c r="H231" s="228">
        <f t="shared" si="80"/>
        <v>5.3123313157463735E-3</v>
      </c>
      <c r="I231" s="33">
        <f t="shared" si="80"/>
        <v>3.5536438277009911E-3</v>
      </c>
      <c r="J231" s="33">
        <f t="shared" si="80"/>
        <v>8.8650178850352293E-4</v>
      </c>
      <c r="K231" s="33">
        <f t="shared" si="80"/>
        <v>9.1281351300358151E-4</v>
      </c>
      <c r="L231" s="33">
        <f t="shared" ref="L231:M231" si="86">L167*L210</f>
        <v>5.8510170532245233E-4</v>
      </c>
      <c r="M231" s="33">
        <f t="shared" si="86"/>
        <v>3.2996531811769358E-4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-0.2069580499043995</v>
      </c>
      <c r="H232" s="228">
        <f t="shared" si="80"/>
        <v>-0.20249066753980077</v>
      </c>
      <c r="I232" s="33">
        <f t="shared" si="80"/>
        <v>-0.19729124411229626</v>
      </c>
      <c r="J232" s="33">
        <f t="shared" si="80"/>
        <v>-0.19416753006104095</v>
      </c>
      <c r="K232" s="33">
        <f t="shared" si="80"/>
        <v>-0.19006790238105092</v>
      </c>
      <c r="L232" s="33">
        <f t="shared" ref="L232:M232" si="87">L168*L211</f>
        <v>-0.18600946744952321</v>
      </c>
      <c r="M232" s="33" t="e">
        <f t="shared" si="87"/>
        <v>#NUM!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0.12795676654779498</v>
      </c>
      <c r="H233" s="228">
        <f t="shared" si="80"/>
        <v>0.12795676654779498</v>
      </c>
      <c r="I233" s="33">
        <f t="shared" si="80"/>
        <v>0.12795676654779498</v>
      </c>
      <c r="J233" s="33">
        <f t="shared" si="80"/>
        <v>0.12795676654779498</v>
      </c>
      <c r="K233" s="33">
        <f t="shared" si="80"/>
        <v>0.12795676654779498</v>
      </c>
      <c r="L233" s="33">
        <f t="shared" ref="L233:M233" si="88">L169*L212</f>
        <v>0.12795676654779498</v>
      </c>
      <c r="M233" s="33">
        <f t="shared" si="88"/>
        <v>0.12795676654779498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6.9088546465657194E-2</v>
      </c>
      <c r="H234" s="228">
        <f t="shared" si="80"/>
        <v>6.7651253156349539E-2</v>
      </c>
      <c r="I234" s="33">
        <f t="shared" si="80"/>
        <v>6.4486518837801085E-2</v>
      </c>
      <c r="J234" s="33">
        <f t="shared" si="80"/>
        <v>6.6921694078110175E-2</v>
      </c>
      <c r="K234" s="33">
        <f t="shared" si="80"/>
        <v>6.6189600494521231E-2</v>
      </c>
      <c r="L234" s="33">
        <f t="shared" ref="L234:M234" si="89">L170*L213</f>
        <v>6.6505567926761919E-2</v>
      </c>
      <c r="M234" s="33" t="e">
        <f t="shared" si="89"/>
        <v>#NUM!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1.6819452434177384E-2</v>
      </c>
      <c r="H235" s="228">
        <f t="shared" si="80"/>
        <v>1.8933942116857321E-2</v>
      </c>
      <c r="I235" s="33">
        <f t="shared" si="80"/>
        <v>1.528575227544697E-2</v>
      </c>
      <c r="J235" s="33">
        <f t="shared" si="80"/>
        <v>7.5739785997411945E-3</v>
      </c>
      <c r="K235" s="33">
        <f t="shared" si="80"/>
        <v>7.6039873161620813E-3</v>
      </c>
      <c r="L235" s="33">
        <f t="shared" ref="L235:M235" si="90">L171*L214</f>
        <v>6.0225327341415199E-3</v>
      </c>
      <c r="M235" s="33" t="e">
        <f t="shared" si="90"/>
        <v>#NUM!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2.3281908815444325E-3</v>
      </c>
      <c r="H236" s="228">
        <f t="shared" si="80"/>
        <v>2.6496373175587239E-3</v>
      </c>
      <c r="I236" s="33">
        <f t="shared" si="80"/>
        <v>2.1671092407333993E-3</v>
      </c>
      <c r="J236" s="33">
        <f t="shared" si="80"/>
        <v>1.0823897310599708E-3</v>
      </c>
      <c r="K236" s="33">
        <f t="shared" si="80"/>
        <v>1.0983351576870895E-3</v>
      </c>
      <c r="L236" s="33">
        <f t="shared" ref="L236:M236" si="91">L172*L215</f>
        <v>8.7934548333595765E-4</v>
      </c>
      <c r="M236" s="33">
        <f t="shared" si="91"/>
        <v>6.6035580898482732E-4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-6.4783818127055865E-4</v>
      </c>
      <c r="H237" s="228">
        <f t="shared" si="80"/>
        <v>-7.2957388987600986E-4</v>
      </c>
      <c r="I237" s="33">
        <f t="shared" si="80"/>
        <v>-5.8258620783753457E-4</v>
      </c>
      <c r="J237" s="33">
        <f t="shared" si="80"/>
        <v>-2.9642310682284314E-4</v>
      </c>
      <c r="K237" s="33">
        <f t="shared" si="80"/>
        <v>-2.9914014085478659E-4</v>
      </c>
      <c r="L237" s="33">
        <f t="shared" ref="L237:M237" si="92">L173*L216</f>
        <v>-2.400675546910846E-4</v>
      </c>
      <c r="M237" s="33" t="e">
        <f t="shared" si="92"/>
        <v>#NUM!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0.12306963753638342</v>
      </c>
      <c r="H238" s="228">
        <f t="shared" si="80"/>
        <v>0.12173410463146873</v>
      </c>
      <c r="I238" s="33">
        <f t="shared" si="80"/>
        <v>0.12016103639630812</v>
      </c>
      <c r="J238" s="33">
        <f t="shared" si="80"/>
        <v>0.11920598559348636</v>
      </c>
      <c r="K238" s="33">
        <f t="shared" si="80"/>
        <v>0.1179408220952096</v>
      </c>
      <c r="L238" s="33">
        <f t="shared" ref="L238:M238" si="93">L174*L217</f>
        <v>0.11667485892520044</v>
      </c>
      <c r="M238" s="33" t="e">
        <f t="shared" si="93"/>
        <v>#NUM!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9.6902606606602562E-2</v>
      </c>
      <c r="H239" s="228">
        <f t="shared" si="80"/>
        <v>9.4848768987419549E-2</v>
      </c>
      <c r="I239" s="33">
        <f t="shared" si="80"/>
        <v>9.1407039259133765E-2</v>
      </c>
      <c r="J239" s="33">
        <f t="shared" si="80"/>
        <v>9.2376825966852844E-2</v>
      </c>
      <c r="K239" s="33">
        <f t="shared" si="80"/>
        <v>9.089511439307453E-2</v>
      </c>
      <c r="L239" s="33">
        <f t="shared" ref="L239:M239" si="94">L175*L218</f>
        <v>9.0133824191554412E-2</v>
      </c>
      <c r="M239" s="33" t="e">
        <f t="shared" si="94"/>
        <v>#NUM!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-0.20972148052623144</v>
      </c>
      <c r="H240" s="228">
        <f t="shared" si="80"/>
        <v>-0.20752853006204094</v>
      </c>
      <c r="I240" s="33">
        <f t="shared" si="80"/>
        <v>-0.20261628751557673</v>
      </c>
      <c r="J240" s="33">
        <f t="shared" si="80"/>
        <v>-0.20640649076148559</v>
      </c>
      <c r="K240" s="33">
        <f t="shared" si="80"/>
        <v>-0.20527438844704524</v>
      </c>
      <c r="L240" s="33">
        <f t="shared" ref="L240:M240" si="95">L176*L219</f>
        <v>-0.20576376140010574</v>
      </c>
      <c r="M240" s="33" t="e">
        <f t="shared" si="95"/>
        <v>#NUM!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-0.69086667645443778</v>
      </c>
      <c r="H241" s="228">
        <f t="shared" si="80"/>
        <v>-0.69108363534803563</v>
      </c>
      <c r="I241" s="33">
        <f t="shared" si="80"/>
        <v>-0.68981867520733142</v>
      </c>
      <c r="J241" s="33">
        <f t="shared" si="80"/>
        <v>-0.68851261350456405</v>
      </c>
      <c r="K241" s="33">
        <f t="shared" si="80"/>
        <v>-0.68735644885063196</v>
      </c>
      <c r="L241" s="33">
        <f t="shared" ref="L241:M241" si="96">L177*L220</f>
        <v>-0.68626861301561359</v>
      </c>
      <c r="M241" s="33">
        <f t="shared" si="96"/>
        <v>-0.70332673591001993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1.4415470409897982E-2</v>
      </c>
      <c r="H242" s="228">
        <f t="shared" ref="H242:K243" si="97">H178*H221</f>
        <v>1.3837942184412397E-2</v>
      </c>
      <c r="I242" s="33">
        <f t="shared" si="97"/>
        <v>1.4607669985474303E-2</v>
      </c>
      <c r="J242" s="33">
        <f t="shared" si="97"/>
        <v>1.4894136973260474E-2</v>
      </c>
      <c r="K242" s="33">
        <f t="shared" si="97"/>
        <v>1.5845735640085967E-2</v>
      </c>
      <c r="L242" s="33">
        <f t="shared" ref="L242:M242" si="98">L178*L221</f>
        <v>1.6142802622399095E-2</v>
      </c>
      <c r="M242" s="33">
        <f t="shared" si="98"/>
        <v>0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0.2371517864367105</v>
      </c>
      <c r="H243" s="228">
        <f t="shared" si="97"/>
        <v>0.25409119975361838</v>
      </c>
      <c r="I243" s="33">
        <f t="shared" si="97"/>
        <v>0.27103061307052628</v>
      </c>
      <c r="J243" s="33">
        <f t="shared" si="97"/>
        <v>0.28797002638743419</v>
      </c>
      <c r="K243" s="33">
        <f t="shared" si="97"/>
        <v>0.30490943970434209</v>
      </c>
      <c r="L243" s="33">
        <f t="shared" ref="L243:M243" si="99">L179*L222</f>
        <v>0.32184885302124994</v>
      </c>
      <c r="M243" s="33">
        <f t="shared" si="99"/>
        <v>0.33878826633815784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11.485344711871191</v>
      </c>
      <c r="H245" s="227">
        <f t="shared" ref="H245:K245" si="100">SUM(H226:H243)</f>
        <v>11.490131603514769</v>
      </c>
      <c r="I245" s="27">
        <f t="shared" si="100"/>
        <v>11.54824983239374</v>
      </c>
      <c r="J245" s="27">
        <f t="shared" si="100"/>
        <v>11.637109255128037</v>
      </c>
      <c r="K245" s="27">
        <f t="shared" si="100"/>
        <v>11.662338466053921</v>
      </c>
      <c r="L245" s="27">
        <f t="shared" ref="L245:M245" si="101">SUM(L226:L243)</f>
        <v>11.700905481476296</v>
      </c>
      <c r="M245" s="27" t="e">
        <f t="shared" si="101"/>
        <v>#NUM!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97279.612307986579</v>
      </c>
      <c r="H246" s="6">
        <f t="shared" ref="H246:K246" si="102">EXP(H245)</f>
        <v>97746.39560041987</v>
      </c>
      <c r="I246" s="6">
        <f t="shared" si="102"/>
        <v>103595.56845831581</v>
      </c>
      <c r="J246" s="6">
        <f t="shared" si="102"/>
        <v>113222.39434950001</v>
      </c>
      <c r="K246" s="6">
        <f t="shared" si="102"/>
        <v>116115.24474130053</v>
      </c>
      <c r="L246" s="6">
        <f t="shared" ref="L246:M246" si="103">EXP(L245)</f>
        <v>120680.93988403406</v>
      </c>
      <c r="M246" s="6" t="e">
        <f t="shared" si="103"/>
        <v>#NUM!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137.67888687841679</v>
      </c>
      <c r="H247" s="15">
        <f t="shared" ref="H247:K247" si="104">H137</f>
        <v>142.35185495297961</v>
      </c>
      <c r="I247" s="15">
        <f t="shared" si="104"/>
        <v>147.99762098912657</v>
      </c>
      <c r="J247" s="15">
        <f t="shared" si="104"/>
        <v>153.40725757230683</v>
      </c>
      <c r="K247" s="15">
        <f t="shared" si="104"/>
        <v>158.68104786127935</v>
      </c>
      <c r="L247" s="15">
        <f t="shared" ref="L247:M247" si="105">L137</f>
        <v>164.1361389860285</v>
      </c>
      <c r="M247" s="15">
        <f t="shared" si="105"/>
        <v>169.77876365419951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13393348.738527525</v>
      </c>
      <c r="H248" s="6">
        <f t="shared" ref="H248:K248" si="106">H246*H247</f>
        <v>13914380.728687534</v>
      </c>
      <c r="I248" s="6">
        <f t="shared" si="106"/>
        <v>15331897.67684694</v>
      </c>
      <c r="J248" s="6">
        <f t="shared" si="106"/>
        <v>17369137.012927048</v>
      </c>
      <c r="K248" s="6">
        <f t="shared" si="106"/>
        <v>18425288.708218474</v>
      </c>
      <c r="L248" s="6">
        <f t="shared" ref="L248:M248" si="107">L246*L247</f>
        <v>19808103.521770366</v>
      </c>
      <c r="M248" s="6" t="e">
        <f t="shared" si="107"/>
        <v>#NUM!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6" t="s">
        <v>151</v>
      </c>
      <c r="B253" s="236"/>
      <c r="C253" s="236"/>
      <c r="D253" s="236"/>
      <c r="E253" s="236"/>
      <c r="F253" s="236"/>
      <c r="G253" s="236"/>
      <c r="H253" s="236"/>
      <c r="I253" s="236"/>
      <c r="J253" s="236"/>
      <c r="K253" s="236"/>
      <c r="L253" s="236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13614677.502831189</v>
      </c>
      <c r="H256" s="39">
        <f t="shared" ref="H256:K256" si="109">H121</f>
        <v>13447473.401202444</v>
      </c>
      <c r="I256" s="39">
        <f t="shared" si="109"/>
        <v>14971726.687481241</v>
      </c>
      <c r="J256" s="39">
        <f t="shared" si="109"/>
        <v>16969844.513379693</v>
      </c>
      <c r="K256" s="39">
        <f t="shared" si="109"/>
        <v>18543739.432288878</v>
      </c>
      <c r="L256" s="39">
        <f t="shared" ref="L256:M256" si="110">L121</f>
        <v>20429120.354556579</v>
      </c>
      <c r="M256" s="39">
        <f t="shared" si="110"/>
        <v>11653252.503087789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13393348.738527525</v>
      </c>
      <c r="H257" s="39">
        <f t="shared" ref="H257:K257" si="112">H248</f>
        <v>13914380.728687534</v>
      </c>
      <c r="I257" s="39">
        <f t="shared" si="112"/>
        <v>15331897.67684694</v>
      </c>
      <c r="J257" s="39">
        <f t="shared" si="112"/>
        <v>17369137.012927048</v>
      </c>
      <c r="K257" s="39">
        <f t="shared" si="112"/>
        <v>18425288.708218474</v>
      </c>
      <c r="L257" s="39">
        <f t="shared" ref="L257:M257" si="113">L248</f>
        <v>19808103.521770366</v>
      </c>
      <c r="M257" s="39" t="e">
        <f t="shared" si="113"/>
        <v>#NUM!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221328.76430366375</v>
      </c>
      <c r="H258" s="17">
        <f t="shared" ref="H258:K258" si="115">H256-H257</f>
        <v>-466907.32748509012</v>
      </c>
      <c r="I258" s="17">
        <f t="shared" si="115"/>
        <v>-360170.98936569877</v>
      </c>
      <c r="J258" s="17">
        <f t="shared" si="115"/>
        <v>-399292.49954735488</v>
      </c>
      <c r="K258" s="17">
        <f t="shared" si="115"/>
        <v>118450.72407040372</v>
      </c>
      <c r="L258" s="17">
        <f t="shared" ref="L258:M258" si="116">L256-L257</f>
        <v>621016.83278621361</v>
      </c>
      <c r="M258" s="17" t="e">
        <f t="shared" si="116"/>
        <v>#NUM!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1.6525274494420192E-2</v>
      </c>
      <c r="H259" s="40">
        <f t="shared" ref="H259:K259" si="117">H258/H257</f>
        <v>-3.3555738957355016E-2</v>
      </c>
      <c r="I259" s="40">
        <f t="shared" si="117"/>
        <v>-2.3491611864172656E-2</v>
      </c>
      <c r="J259" s="40">
        <f t="shared" si="117"/>
        <v>-2.2988620519843898E-2</v>
      </c>
      <c r="K259" s="40">
        <f t="shared" si="117"/>
        <v>6.4287038290786504E-3</v>
      </c>
      <c r="L259" s="40">
        <f t="shared" ref="L259:M259" si="118">L258/L257</f>
        <v>3.1351655250775351E-2</v>
      </c>
      <c r="M259" s="40" t="e">
        <f t="shared" si="118"/>
        <v>#NUM!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1.6390218011704445E-2</v>
      </c>
      <c r="H261" s="41">
        <f t="shared" si="119"/>
        <v>-3.4131652930415333E-2</v>
      </c>
      <c r="I261" s="41">
        <f t="shared" si="119"/>
        <v>-2.3771938701450064E-2</v>
      </c>
      <c r="J261" s="41">
        <f t="shared" si="119"/>
        <v>-2.3256979637526105E-2</v>
      </c>
      <c r="K261" s="41">
        <f t="shared" si="119"/>
        <v>6.4081278501194128E-3</v>
      </c>
      <c r="L261" s="41">
        <f t="shared" ref="L261:M261" si="120">LN(L256/L257)</f>
        <v>3.0870228597209087E-2</v>
      </c>
      <c r="M261" s="41" t="e">
        <f t="shared" si="120"/>
        <v>#NUM!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-6.0492296088306988E-2</v>
      </c>
      <c r="R275" s="226">
        <f t="shared" ref="R275:BW275" si="121">R261-$G$261</f>
        <v>0.60278177940850708</v>
      </c>
      <c r="S275" s="226">
        <f t="shared" si="121"/>
        <v>1.1657467038503483E-2</v>
      </c>
      <c r="T275" s="226">
        <f t="shared" si="121"/>
        <v>-6.1831859866327082E-2</v>
      </c>
      <c r="U275" s="226">
        <f t="shared" si="121"/>
        <v>-6.4370122231928881E-2</v>
      </c>
      <c r="V275" s="226">
        <f t="shared" si="121"/>
        <v>-0.14651166883517308</v>
      </c>
      <c r="W275" s="226">
        <f t="shared" si="121"/>
        <v>9.3491730515556926E-2</v>
      </c>
      <c r="X275" s="226">
        <f t="shared" si="121"/>
        <v>-0.12824181680950864</v>
      </c>
      <c r="Y275" s="226">
        <f t="shared" si="121"/>
        <v>0.17214197460393532</v>
      </c>
      <c r="Z275" s="226">
        <f t="shared" si="121"/>
        <v>-0.56387752269327029</v>
      </c>
      <c r="AA275" s="226">
        <f t="shared" si="121"/>
        <v>-0.60651130631141037</v>
      </c>
      <c r="AB275" s="226">
        <f t="shared" si="121"/>
        <v>-5.891135432010651E-2</v>
      </c>
      <c r="AC275" s="226">
        <f t="shared" si="121"/>
        <v>-0.16002037781466524</v>
      </c>
      <c r="AD275" s="226">
        <f t="shared" si="121"/>
        <v>-0.27037323808317282</v>
      </c>
      <c r="AE275" s="226">
        <f t="shared" si="121"/>
        <v>-0.16955843930921591</v>
      </c>
      <c r="AF275" s="226">
        <f t="shared" si="121"/>
        <v>-0.11419845013689096</v>
      </c>
      <c r="AG275" s="226">
        <f t="shared" si="121"/>
        <v>-3.1577932089450589E-2</v>
      </c>
      <c r="AH275" s="226">
        <f t="shared" si="121"/>
        <v>-0.27188758285934084</v>
      </c>
      <c r="AI275" s="226">
        <f t="shared" si="121"/>
        <v>-0.2540507019262348</v>
      </c>
      <c r="AJ275" s="226">
        <f t="shared" si="121"/>
        <v>0</v>
      </c>
      <c r="AK275" s="226">
        <f t="shared" si="121"/>
        <v>-0.12993535003139448</v>
      </c>
      <c r="AL275" s="226">
        <f t="shared" si="121"/>
        <v>1.3851921762014174E-2</v>
      </c>
      <c r="AM275" s="226">
        <f t="shared" si="121"/>
        <v>-0.36178245830231615</v>
      </c>
      <c r="AN275" s="226">
        <f t="shared" si="121"/>
        <v>-0.35440748471076278</v>
      </c>
      <c r="AO275" s="226">
        <f t="shared" si="121"/>
        <v>-0.33277326117836686</v>
      </c>
      <c r="AP275" s="226">
        <f t="shared" si="121"/>
        <v>-0.19592880407452817</v>
      </c>
      <c r="AQ275" s="226">
        <f t="shared" si="121"/>
        <v>-0.68003656775374011</v>
      </c>
      <c r="AR275" s="226">
        <f t="shared" si="121"/>
        <v>0.14482611278108176</v>
      </c>
      <c r="AS275" s="226">
        <f t="shared" si="121"/>
        <v>0.18179040644701736</v>
      </c>
      <c r="AT275" s="226">
        <f t="shared" si="121"/>
        <v>-8.4591698957997521E-2</v>
      </c>
      <c r="AU275" s="226">
        <f t="shared" si="121"/>
        <v>-8.449415016272098E-2</v>
      </c>
      <c r="AV275" s="226">
        <f t="shared" si="121"/>
        <v>-0.23707491980502376</v>
      </c>
      <c r="AW275" s="226">
        <f t="shared" si="121"/>
        <v>-0.28818839984998407</v>
      </c>
      <c r="AX275" s="226">
        <f t="shared" si="121"/>
        <v>-0.1849672604232773</v>
      </c>
      <c r="AY275" s="226">
        <f t="shared" si="121"/>
        <v>-7.9462531196969916E-2</v>
      </c>
      <c r="AZ275" s="226">
        <f t="shared" si="121"/>
        <v>-0.25323995096607094</v>
      </c>
      <c r="BA275" s="226">
        <f t="shared" si="121"/>
        <v>-0.17509653392647639</v>
      </c>
      <c r="BB275" s="226">
        <f t="shared" si="121"/>
        <v>-4.4802020096000802E-2</v>
      </c>
      <c r="BC275" s="226">
        <f t="shared" si="121"/>
        <v>-0.14324701242553076</v>
      </c>
      <c r="BD275" s="226">
        <f t="shared" si="121"/>
        <v>-2.1480731581165202E-3</v>
      </c>
      <c r="BE275" s="226">
        <f t="shared" si="121"/>
        <v>-0.43722443420366636</v>
      </c>
      <c r="BF275" s="226">
        <f t="shared" si="121"/>
        <v>-5.4646076770435023E-2</v>
      </c>
      <c r="BG275" s="226">
        <f t="shared" si="121"/>
        <v>-0.30401293276369284</v>
      </c>
      <c r="BH275" s="226">
        <f t="shared" si="121"/>
        <v>-3.4942238660003747E-2</v>
      </c>
      <c r="BI275" s="226">
        <f t="shared" si="121"/>
        <v>-0.18256115041960386</v>
      </c>
      <c r="BJ275" s="226">
        <f t="shared" si="121"/>
        <v>-0.25919261383737852</v>
      </c>
      <c r="BK275" s="226">
        <f t="shared" si="121"/>
        <v>-2.2374435854850862E-2</v>
      </c>
      <c r="BL275" s="226">
        <f t="shared" si="121"/>
        <v>-5.3861183760711209E-3</v>
      </c>
      <c r="BM275" s="226">
        <f t="shared" si="121"/>
        <v>-4.121466312555469E-2</v>
      </c>
      <c r="BN275" s="226">
        <f t="shared" si="121"/>
        <v>-0.17030134161827945</v>
      </c>
      <c r="BO275" s="226">
        <f t="shared" si="121"/>
        <v>-0.27488912304686536</v>
      </c>
      <c r="BP275" s="226">
        <f t="shared" si="121"/>
        <v>-1.1588407612645287E-2</v>
      </c>
      <c r="BQ275" s="226">
        <f t="shared" si="121"/>
        <v>-7.1558154293891979E-2</v>
      </c>
      <c r="BR275" s="226">
        <f t="shared" si="121"/>
        <v>0.51224246354463177</v>
      </c>
      <c r="BS275" s="226">
        <f t="shared" si="121"/>
        <v>-0.48274369472135353</v>
      </c>
      <c r="BT275" s="226">
        <f t="shared" si="121"/>
        <v>1.8300659136987616E-2</v>
      </c>
      <c r="BU275" s="226">
        <f t="shared" si="121"/>
        <v>-0.31970390981115326</v>
      </c>
      <c r="BV275" s="226">
        <f t="shared" si="121"/>
        <v>1.2475507796865008E-2</v>
      </c>
      <c r="BW275" s="226">
        <f t="shared" si="121"/>
        <v>-0.12699337371474803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scale="1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topLeftCell="A13" workbookViewId="0">
      <selection activeCell="F20" sqref="F19:F2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7" t="s">
        <v>168</v>
      </c>
      <c r="D2" s="237"/>
      <c r="E2" s="237"/>
      <c r="F2" s="237"/>
      <c r="G2" s="237"/>
      <c r="H2" s="237"/>
      <c r="I2" s="237"/>
      <c r="J2" s="237"/>
      <c r="K2" s="237"/>
    </row>
    <row r="3" spans="3:17" ht="23.25" customHeight="1" x14ac:dyDescent="0.25">
      <c r="C3" s="233" t="str">
        <f>'Model Inputs'!F5</f>
        <v>Festival Hydro Inc.</v>
      </c>
      <c r="D3" s="233"/>
      <c r="E3" s="233"/>
      <c r="F3" s="233"/>
      <c r="G3" s="233"/>
      <c r="H3" s="233"/>
      <c r="I3" s="233"/>
      <c r="J3" s="233"/>
      <c r="K3" s="233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182</v>
      </c>
      <c r="I7" s="2" t="s">
        <v>182</v>
      </c>
      <c r="J7" s="2" t="s">
        <v>183</v>
      </c>
      <c r="K7" s="2" t="s">
        <v>184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13614677.502831189</v>
      </c>
      <c r="G10" s="54">
        <f>'Benchmarking Calculations'!H121</f>
        <v>13447473.401202444</v>
      </c>
      <c r="H10" s="54">
        <f>'Benchmarking Calculations'!I121</f>
        <v>14971726.687481241</v>
      </c>
      <c r="I10" s="53">
        <f>IF(ISNUMBER(I12),'Benchmarking Calculations'!J121,"na")</f>
        <v>16969844.513379693</v>
      </c>
      <c r="J10" s="53">
        <f>IF(ISNUMBER(J12),'Benchmarking Calculations'!K121,"na")</f>
        <v>18543739.432288878</v>
      </c>
      <c r="K10" s="53">
        <f>IF(ISNUMBER(K12),'Benchmarking Calculations'!L121,"na")</f>
        <v>20429120.354556579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13393348.738527525</v>
      </c>
      <c r="G12" s="54">
        <f>'Benchmarking Calculations'!H257</f>
        <v>13914380.728687534</v>
      </c>
      <c r="H12" s="54">
        <f>'Benchmarking Calculations'!I257</f>
        <v>15331897.67684694</v>
      </c>
      <c r="I12" s="53">
        <f>IF(ISNUMBER('Benchmarking Calculations'!J257),'Benchmarking Calculations'!J257,"na")</f>
        <v>17369137.012927048</v>
      </c>
      <c r="J12" s="53">
        <f>IF(ISNUMBER('Benchmarking Calculations'!K257),'Benchmarking Calculations'!K257,"na")</f>
        <v>18425288.708218474</v>
      </c>
      <c r="K12" s="53">
        <f>IF(ISNUMBER('Benchmarking Calculations'!L257),'Benchmarking Calculations'!L257,"na")</f>
        <v>19808103.521770366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221328.76430366375</v>
      </c>
      <c r="G14" s="54">
        <f t="shared" si="1"/>
        <v>-466907.32748509012</v>
      </c>
      <c r="H14" s="54">
        <f t="shared" si="1"/>
        <v>-360170.98936569877</v>
      </c>
      <c r="I14" s="53">
        <f>IF(ISNUMBER(I12),I10-I12,"na")</f>
        <v>-399292.49954735488</v>
      </c>
      <c r="J14" s="53">
        <f t="shared" ref="J14:K14" si="2">IF(ISNUMBER(J12),J10-J12,"na")</f>
        <v>118450.72407040372</v>
      </c>
      <c r="K14" s="53">
        <f t="shared" si="2"/>
        <v>621016.83278621361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9">
        <f>LN(F10/F12)</f>
        <v>1.6390218011704445E-2</v>
      </c>
      <c r="G16" s="139">
        <f t="shared" ref="G16:H16" si="3">LN(G10/G12)</f>
        <v>-3.4131652930415333E-2</v>
      </c>
      <c r="H16" s="139">
        <f t="shared" si="3"/>
        <v>-2.3771938701450064E-2</v>
      </c>
      <c r="I16" s="91">
        <f>IF(ISNUMBER(I14),LN(I10/I12),"na")</f>
        <v>-2.3256979637526105E-2</v>
      </c>
      <c r="J16" s="91">
        <f t="shared" ref="J16:K16" si="4">IF(ISNUMBER(J14),LN(J10/J12),"na")</f>
        <v>6.4081278501194128E-3</v>
      </c>
      <c r="K16" s="91">
        <f t="shared" si="4"/>
        <v>3.0870228597209087E-2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178</v>
      </c>
      <c r="F18" s="109"/>
      <c r="G18" s="109"/>
      <c r="H18" s="109">
        <f>AVERAGE(F16:H16)</f>
        <v>-1.3837791206720318E-2</v>
      </c>
      <c r="I18" s="43">
        <f>IF(ISNUMBER(I16),AVERAGE(G16:I16),"na")</f>
        <v>-2.7053523756463832E-2</v>
      </c>
      <c r="J18" s="43">
        <f t="shared" ref="J18:K18" si="5">IF(ISNUMBER(J16),AVERAGE(H16:J16),"na")</f>
        <v>-1.3540263496285586E-2</v>
      </c>
      <c r="K18" s="43">
        <f t="shared" si="5"/>
        <v>4.673792269934131E-3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179</v>
      </c>
      <c r="F22" s="92">
        <f>IF(F16&lt;-0.25,1,IF(F16&lt;-0.1,2,IF(F16&lt;0.1,3,IF(F16&lt;0.25,4,5))))</f>
        <v>3</v>
      </c>
      <c r="G22" s="92">
        <f t="shared" ref="G22" si="6">IF(G16&lt;-0.25,1,IF(G16&lt;-0.1,2,IF(G16&lt;0.1,3,IF(G16&lt;0.25,4,5))))</f>
        <v>3</v>
      </c>
      <c r="H22" s="92">
        <f>IF($H$16&lt;-0.25,1,IF($H$16&lt;-0.1,2,IF($H$16&lt;0.1,3,IF($H$16&lt;0.25,4,5))))</f>
        <v>3</v>
      </c>
      <c r="I22" s="92">
        <f>IF(ISNUMBER(I16),IF(I16&lt;-0.25,1,IF(I16&lt;-0.1,2,IF(I16&lt;0.1,3,IF(I16&lt;0.25,4,5)))),"na")</f>
        <v>3</v>
      </c>
      <c r="J22" s="92">
        <f t="shared" ref="J22:K22" si="7">IF(ISNUMBER(J16),IF(J16&lt;-0.25,1,IF(J16&lt;-0.1,2,IF(J16&lt;0.1,3,IF(J16&lt;0.25,4,5)))),"na")</f>
        <v>3</v>
      </c>
      <c r="K22" s="92">
        <f t="shared" si="7"/>
        <v>3</v>
      </c>
    </row>
    <row r="24" spans="4:11" ht="15" x14ac:dyDescent="0.25">
      <c r="E24" t="s">
        <v>155</v>
      </c>
      <c r="H24" s="92">
        <f>IF(H$18&lt;-0.25,1,IF(H$18&lt;-0.1,2,IF(H$18&lt;0.1,3,IF(H$18&lt;0.25,4,5))))</f>
        <v>3</v>
      </c>
      <c r="I24" s="92">
        <f t="shared" ref="I24:K24" si="8">IF(I$18&lt;-0.25,1,IF(I$18&lt;-0.1,2,IF(I$18&lt;0.1,3,IF(I$18&lt;0.25,4,5))))</f>
        <v>3</v>
      </c>
      <c r="J24" s="92">
        <f t="shared" si="8"/>
        <v>3</v>
      </c>
      <c r="K24" s="92">
        <f t="shared" si="8"/>
        <v>3</v>
      </c>
    </row>
    <row r="27" spans="4:11" x14ac:dyDescent="0.2">
      <c r="D27" s="8"/>
      <c r="G27" s="54"/>
      <c r="H27" s="54"/>
    </row>
    <row r="29" spans="4:11" x14ac:dyDescent="0.2">
      <c r="F29" s="85"/>
      <c r="G29" s="17"/>
      <c r="H29" s="17"/>
    </row>
  </sheetData>
  <mergeCells count="2">
    <mergeCell ref="C2:K2"/>
    <mergeCell ref="C3:K3"/>
  </mergeCells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Megan Gooding</cp:lastModifiedBy>
  <cp:lastPrinted>2024-04-26T14:23:10Z</cp:lastPrinted>
  <dcterms:created xsi:type="dcterms:W3CDTF">2016-07-20T15:58:10Z</dcterms:created>
  <dcterms:modified xsi:type="dcterms:W3CDTF">2024-04-26T14:23:45Z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