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leury\Desktop\"/>
    </mc:Choice>
  </mc:AlternateContent>
  <xr:revisionPtr revIDLastSave="0" documentId="8_{EA38B1E5-3E61-4717-A3D4-CBDCB5599FAE}" xr6:coauthVersionLast="47" xr6:coauthVersionMax="47" xr10:uidLastSave="{00000000-0000-0000-0000-000000000000}"/>
  <bookViews>
    <workbookView xWindow="28680" yWindow="-120" windowWidth="29040" windowHeight="15840" tabRatio="864" xr2:uid="{48A1C576-A552-4DD7-91B1-5E920B0D5B96}"/>
  </bookViews>
  <sheets>
    <sheet name="Tables" sheetId="6" r:id="rId1"/>
    <sheet name="Assumptions and Summary" sheetId="2" r:id="rId2"/>
    <sheet name="5yr Deferral BCA" sheetId="3" r:id="rId3"/>
    <sheet name="Avoidance BCA" sheetId="4" r:id="rId4"/>
    <sheet name="Assumptions" sheetId="5" r:id="rId5"/>
  </sheets>
  <definedNames>
    <definedName name="WACC">'Assumptions and Summary'!$C$14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9" i="2"/>
  <c r="D19" i="2" s="1"/>
  <c r="C28" i="6" l="1"/>
  <c r="C13" i="3"/>
  <c r="C13" i="4"/>
  <c r="C12" i="3"/>
  <c r="C12" i="4"/>
  <c r="C10" i="3" l="1"/>
  <c r="C6" i="3"/>
  <c r="C7" i="3"/>
  <c r="C8" i="3"/>
  <c r="C3" i="6"/>
  <c r="I61" i="2"/>
  <c r="J61" i="2" s="1"/>
  <c r="E20" i="4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F20" i="4" s="1"/>
  <c r="AG20" i="4" s="1"/>
  <c r="AH20" i="4" s="1"/>
  <c r="AI20" i="4" s="1"/>
  <c r="AJ20" i="4" s="1"/>
  <c r="AK20" i="4" s="1"/>
  <c r="AL20" i="4" s="1"/>
  <c r="AM20" i="4" s="1"/>
  <c r="AN20" i="4" s="1"/>
  <c r="AO20" i="4" s="1"/>
  <c r="AP20" i="4" s="1"/>
  <c r="AQ20" i="4" s="1"/>
  <c r="AR20" i="4" s="1"/>
  <c r="AS20" i="4" s="1"/>
  <c r="AT20" i="4" s="1"/>
  <c r="AU20" i="4" s="1"/>
  <c r="AV20" i="4" s="1"/>
  <c r="AW20" i="4" s="1"/>
  <c r="AX20" i="4" s="1"/>
  <c r="AY20" i="4" s="1"/>
  <c r="AZ20" i="4" s="1"/>
  <c r="C6" i="4"/>
  <c r="C7" i="4"/>
  <c r="C8" i="4"/>
  <c r="C10" i="4"/>
  <c r="C17" i="4"/>
  <c r="C16" i="4"/>
  <c r="E20" i="3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AH20" i="3" s="1"/>
  <c r="AI20" i="3" s="1"/>
  <c r="AJ20" i="3" s="1"/>
  <c r="AK20" i="3" s="1"/>
  <c r="AL20" i="3" s="1"/>
  <c r="AM20" i="3" s="1"/>
  <c r="AN20" i="3" s="1"/>
  <c r="AO20" i="3" s="1"/>
  <c r="AP20" i="3" s="1"/>
  <c r="AQ20" i="3" s="1"/>
  <c r="AR20" i="3" s="1"/>
  <c r="AS20" i="3" s="1"/>
  <c r="AT20" i="3" s="1"/>
  <c r="AU20" i="3" s="1"/>
  <c r="AV20" i="3" s="1"/>
  <c r="AW20" i="3" s="1"/>
  <c r="AX20" i="3" s="1"/>
  <c r="AY20" i="3" s="1"/>
  <c r="AZ20" i="3" s="1"/>
  <c r="BA20" i="3" s="1"/>
  <c r="BB20" i="3" s="1"/>
  <c r="BC20" i="3" s="1"/>
  <c r="BD20" i="3" s="1"/>
  <c r="BE20" i="3" s="1"/>
  <c r="C8" i="2"/>
  <c r="C9" i="3" s="1"/>
  <c r="C17" i="3"/>
  <c r="D23" i="3" s="1"/>
  <c r="C16" i="3"/>
  <c r="C10" i="2"/>
  <c r="C11" i="3" s="1"/>
  <c r="H22" i="2"/>
  <c r="C18" i="3" l="1"/>
  <c r="D28" i="6"/>
  <c r="D3" i="6"/>
  <c r="C11" i="4"/>
  <c r="K61" i="2"/>
  <c r="L61" i="2" s="1"/>
  <c r="C14" i="2"/>
  <c r="C9" i="4"/>
  <c r="C18" i="4"/>
  <c r="D23" i="4" s="1"/>
  <c r="O61" i="2" l="1"/>
  <c r="M61" i="2"/>
  <c r="D24" i="2" l="1"/>
  <c r="D25" i="2" s="1"/>
  <c r="E24" i="2"/>
  <c r="E25" i="2" s="1"/>
  <c r="F24" i="2"/>
  <c r="F25" i="2" s="1"/>
  <c r="G24" i="2"/>
  <c r="G25" i="2" s="1"/>
  <c r="C24" i="2"/>
  <c r="C25" i="2" l="1"/>
  <c r="H24" i="2"/>
  <c r="C5" i="6" s="1"/>
  <c r="G47" i="3"/>
  <c r="F33" i="2"/>
  <c r="H45" i="4"/>
  <c r="F47" i="3"/>
  <c r="E47" i="3"/>
  <c r="G45" i="4"/>
  <c r="D47" i="3"/>
  <c r="H47" i="3"/>
  <c r="G33" i="2"/>
  <c r="D26" i="4"/>
  <c r="D37" i="4" s="1"/>
  <c r="D26" i="3"/>
  <c r="D37" i="3" s="1"/>
  <c r="J45" i="4"/>
  <c r="J47" i="3"/>
  <c r="K47" i="3" l="1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AH47" i="3" s="1"/>
  <c r="AI47" i="3" s="1"/>
  <c r="AJ47" i="3" s="1"/>
  <c r="AK47" i="3" s="1"/>
  <c r="AL47" i="3" s="1"/>
  <c r="AM47" i="3" s="1"/>
  <c r="AN47" i="3" s="1"/>
  <c r="AO47" i="3" s="1"/>
  <c r="AP47" i="3" s="1"/>
  <c r="AQ47" i="3" s="1"/>
  <c r="AR47" i="3" s="1"/>
  <c r="AS47" i="3" s="1"/>
  <c r="AT47" i="3" s="1"/>
  <c r="AU47" i="3" s="1"/>
  <c r="AV47" i="3" s="1"/>
  <c r="AW47" i="3" s="1"/>
  <c r="AX47" i="3" s="1"/>
  <c r="AY47" i="3" s="1"/>
  <c r="AZ47" i="3" s="1"/>
  <c r="K45" i="4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W45" i="4" s="1"/>
  <c r="X45" i="4" s="1"/>
  <c r="Y45" i="4" s="1"/>
  <c r="Z45" i="4" s="1"/>
  <c r="AA45" i="4" s="1"/>
  <c r="AB45" i="4" s="1"/>
  <c r="AC45" i="4" s="1"/>
  <c r="AD45" i="4" s="1"/>
  <c r="AE45" i="4" s="1"/>
  <c r="AF45" i="4" s="1"/>
  <c r="AG45" i="4" s="1"/>
  <c r="AH45" i="4" s="1"/>
  <c r="AI45" i="4" s="1"/>
  <c r="AJ45" i="4" s="1"/>
  <c r="AK45" i="4" s="1"/>
  <c r="AL45" i="4" s="1"/>
  <c r="AM45" i="4" s="1"/>
  <c r="AN45" i="4" s="1"/>
  <c r="AO45" i="4" s="1"/>
  <c r="AP45" i="4" s="1"/>
  <c r="AQ45" i="4" s="1"/>
  <c r="AR45" i="4" s="1"/>
  <c r="AS45" i="4" s="1"/>
  <c r="AT45" i="4" s="1"/>
  <c r="AU45" i="4" s="1"/>
  <c r="AV45" i="4" s="1"/>
  <c r="AW45" i="4" s="1"/>
  <c r="AX45" i="4" s="1"/>
  <c r="AY45" i="4" s="1"/>
  <c r="AZ45" i="4" s="1"/>
  <c r="H25" i="2"/>
  <c r="D49" i="2"/>
  <c r="C33" i="2"/>
  <c r="E45" i="4"/>
  <c r="D33" i="2"/>
  <c r="F45" i="4"/>
  <c r="E33" i="2"/>
  <c r="D45" i="4"/>
  <c r="D27" i="4"/>
  <c r="D36" i="4"/>
  <c r="D27" i="3"/>
  <c r="D36" i="3"/>
  <c r="BA47" i="3" l="1"/>
  <c r="BB47" i="3" s="1"/>
  <c r="D38" i="3"/>
  <c r="E36" i="3" s="1"/>
  <c r="E37" i="3" s="1"/>
  <c r="H26" i="2"/>
  <c r="D5" i="6"/>
  <c r="C50" i="4"/>
  <c r="D7" i="6" s="1"/>
  <c r="D18" i="6" s="1"/>
  <c r="D32" i="4"/>
  <c r="D24" i="4"/>
  <c r="E27" i="4" s="1"/>
  <c r="D24" i="3"/>
  <c r="E27" i="3" s="1"/>
  <c r="E32" i="3" s="1"/>
  <c r="D32" i="3"/>
  <c r="H33" i="2"/>
  <c r="D28" i="4"/>
  <c r="D38" i="4"/>
  <c r="E36" i="4" s="1"/>
  <c r="E37" i="4" s="1"/>
  <c r="D28" i="3"/>
  <c r="E26" i="3" s="1"/>
  <c r="BC47" i="3" l="1"/>
  <c r="BD47" i="3" s="1"/>
  <c r="BE47" i="3" s="1"/>
  <c r="C57" i="3"/>
  <c r="C7" i="6" s="1"/>
  <c r="E38" i="3"/>
  <c r="F36" i="3" s="1"/>
  <c r="E26" i="4"/>
  <c r="E28" i="4" s="1"/>
  <c r="E32" i="4"/>
  <c r="E24" i="4"/>
  <c r="F27" i="4" s="1"/>
  <c r="E38" i="4"/>
  <c r="F36" i="4" s="1"/>
  <c r="E24" i="3"/>
  <c r="F27" i="3" s="1"/>
  <c r="E28" i="3"/>
  <c r="F26" i="3" s="1"/>
  <c r="D30" i="4"/>
  <c r="D30" i="3"/>
  <c r="F37" i="3" l="1"/>
  <c r="F38" i="3" s="1"/>
  <c r="G36" i="3" s="1"/>
  <c r="F37" i="4"/>
  <c r="D39" i="2"/>
  <c r="F26" i="4"/>
  <c r="D34" i="4"/>
  <c r="D33" i="4"/>
  <c r="E30" i="4"/>
  <c r="D34" i="3"/>
  <c r="D33" i="3"/>
  <c r="F32" i="3"/>
  <c r="F28" i="3"/>
  <c r="G26" i="3" s="1"/>
  <c r="F24" i="3"/>
  <c r="G27" i="3" s="1"/>
  <c r="E30" i="3"/>
  <c r="G37" i="3" l="1"/>
  <c r="G38" i="3" s="1"/>
  <c r="F38" i="4"/>
  <c r="G36" i="4" s="1"/>
  <c r="D53" i="3"/>
  <c r="I51" i="3"/>
  <c r="D40" i="3"/>
  <c r="D41" i="3" s="1"/>
  <c r="G28" i="3"/>
  <c r="H26" i="3" s="1"/>
  <c r="E33" i="4"/>
  <c r="E34" i="4"/>
  <c r="E40" i="4" s="1"/>
  <c r="E41" i="4" s="1"/>
  <c r="E34" i="3"/>
  <c r="E33" i="3"/>
  <c r="F30" i="3"/>
  <c r="G24" i="3"/>
  <c r="H27" i="3" s="1"/>
  <c r="H32" i="3" s="1"/>
  <c r="G32" i="3"/>
  <c r="D40" i="4"/>
  <c r="G37" i="4" l="1"/>
  <c r="G38" i="4" s="1"/>
  <c r="F32" i="4"/>
  <c r="F24" i="4"/>
  <c r="G27" i="4" s="1"/>
  <c r="F28" i="4"/>
  <c r="H36" i="3"/>
  <c r="E53" i="3"/>
  <c r="J51" i="3"/>
  <c r="D41" i="4"/>
  <c r="D43" i="4" s="1"/>
  <c r="G30" i="3"/>
  <c r="G34" i="3" s="1"/>
  <c r="E43" i="4"/>
  <c r="E47" i="4" s="1"/>
  <c r="H28" i="3"/>
  <c r="I26" i="3" s="1"/>
  <c r="D43" i="3"/>
  <c r="F34" i="3"/>
  <c r="F33" i="3"/>
  <c r="E40" i="3"/>
  <c r="E41" i="3" s="1"/>
  <c r="H24" i="3"/>
  <c r="I27" i="3" s="1"/>
  <c r="I32" i="3" s="1"/>
  <c r="H37" i="3" l="1"/>
  <c r="H36" i="4"/>
  <c r="G26" i="4"/>
  <c r="F30" i="4"/>
  <c r="K51" i="3"/>
  <c r="F53" i="3"/>
  <c r="L51" i="3"/>
  <c r="G53" i="3"/>
  <c r="D47" i="4"/>
  <c r="G33" i="3"/>
  <c r="C32" i="2"/>
  <c r="C34" i="2" s="1"/>
  <c r="I45" i="3"/>
  <c r="H30" i="3"/>
  <c r="H34" i="3" s="1"/>
  <c r="F40" i="3"/>
  <c r="F41" i="3" s="1"/>
  <c r="E43" i="3"/>
  <c r="I28" i="3"/>
  <c r="J26" i="3" s="1"/>
  <c r="I24" i="3"/>
  <c r="J27" i="3" s="1"/>
  <c r="J32" i="3" s="1"/>
  <c r="G40" i="3"/>
  <c r="G41" i="3" s="1"/>
  <c r="H38" i="3" l="1"/>
  <c r="I36" i="3" s="1"/>
  <c r="H37" i="4"/>
  <c r="F34" i="4"/>
  <c r="F40" i="4" s="1"/>
  <c r="F41" i="4" s="1"/>
  <c r="F33" i="4"/>
  <c r="G28" i="4"/>
  <c r="H26" i="4" s="1"/>
  <c r="H53" i="3"/>
  <c r="M51" i="3"/>
  <c r="H33" i="3"/>
  <c r="D49" i="3"/>
  <c r="J45" i="3"/>
  <c r="D32" i="2"/>
  <c r="D34" i="2" s="1"/>
  <c r="I30" i="3"/>
  <c r="I34" i="3" s="1"/>
  <c r="E49" i="3"/>
  <c r="F43" i="3"/>
  <c r="G43" i="3"/>
  <c r="J28" i="3"/>
  <c r="K26" i="3" s="1"/>
  <c r="J24" i="3"/>
  <c r="K27" i="3" s="1"/>
  <c r="K24" i="3" s="1"/>
  <c r="L27" i="3" s="1"/>
  <c r="L32" i="3" s="1"/>
  <c r="H40" i="3"/>
  <c r="H41" i="3" s="1"/>
  <c r="I37" i="3" l="1"/>
  <c r="I38" i="3" s="1"/>
  <c r="J36" i="3" s="1"/>
  <c r="H38" i="4"/>
  <c r="I36" i="4" s="1"/>
  <c r="G30" i="4"/>
  <c r="G24" i="4"/>
  <c r="G32" i="4"/>
  <c r="F43" i="4"/>
  <c r="F47" i="4" s="1"/>
  <c r="I53" i="3"/>
  <c r="N51" i="3"/>
  <c r="L45" i="3"/>
  <c r="K45" i="3"/>
  <c r="I33" i="3"/>
  <c r="J30" i="3"/>
  <c r="J33" i="3" s="1"/>
  <c r="E32" i="2"/>
  <c r="E34" i="2" s="1"/>
  <c r="F32" i="2"/>
  <c r="F34" i="2" s="1"/>
  <c r="K28" i="3"/>
  <c r="L26" i="3" s="1"/>
  <c r="L28" i="3" s="1"/>
  <c r="M26" i="3" s="1"/>
  <c r="G49" i="3"/>
  <c r="F49" i="3"/>
  <c r="H43" i="3"/>
  <c r="K32" i="3"/>
  <c r="L24" i="3"/>
  <c r="M27" i="3" s="1"/>
  <c r="M24" i="3" s="1"/>
  <c r="N27" i="3" s="1"/>
  <c r="N24" i="3" s="1"/>
  <c r="O27" i="3" s="1"/>
  <c r="O24" i="3" s="1"/>
  <c r="P27" i="3" s="1"/>
  <c r="P24" i="3" s="1"/>
  <c r="Q27" i="3" s="1"/>
  <c r="Q24" i="3" s="1"/>
  <c r="R27" i="3" s="1"/>
  <c r="R24" i="3" s="1"/>
  <c r="S27" i="3" s="1"/>
  <c r="S24" i="3" s="1"/>
  <c r="T27" i="3" s="1"/>
  <c r="T24" i="3" s="1"/>
  <c r="U27" i="3" s="1"/>
  <c r="U24" i="3" s="1"/>
  <c r="V27" i="3" s="1"/>
  <c r="V24" i="3" s="1"/>
  <c r="W27" i="3" s="1"/>
  <c r="W24" i="3" s="1"/>
  <c r="X27" i="3" s="1"/>
  <c r="X24" i="3" s="1"/>
  <c r="Y27" i="3" s="1"/>
  <c r="Y24" i="3" s="1"/>
  <c r="Z27" i="3" s="1"/>
  <c r="Z24" i="3" s="1"/>
  <c r="AA27" i="3" s="1"/>
  <c r="AA24" i="3" s="1"/>
  <c r="AB27" i="3" s="1"/>
  <c r="AB24" i="3" s="1"/>
  <c r="AC27" i="3" s="1"/>
  <c r="AC24" i="3" s="1"/>
  <c r="AD27" i="3" s="1"/>
  <c r="AD24" i="3" s="1"/>
  <c r="AE27" i="3" s="1"/>
  <c r="AE24" i="3" s="1"/>
  <c r="AF27" i="3" s="1"/>
  <c r="AF24" i="3" s="1"/>
  <c r="AG27" i="3" s="1"/>
  <c r="AG24" i="3" s="1"/>
  <c r="AH27" i="3" s="1"/>
  <c r="AH24" i="3" s="1"/>
  <c r="AI27" i="3" s="1"/>
  <c r="AI24" i="3" s="1"/>
  <c r="AJ27" i="3" s="1"/>
  <c r="AJ24" i="3" s="1"/>
  <c r="AK27" i="3" s="1"/>
  <c r="AK24" i="3" s="1"/>
  <c r="AL27" i="3" s="1"/>
  <c r="AL24" i="3" s="1"/>
  <c r="AM27" i="3" s="1"/>
  <c r="AM24" i="3" s="1"/>
  <c r="AN27" i="3" s="1"/>
  <c r="AN24" i="3" s="1"/>
  <c r="AO27" i="3" s="1"/>
  <c r="AO24" i="3" s="1"/>
  <c r="AP27" i="3" s="1"/>
  <c r="AP24" i="3" s="1"/>
  <c r="AQ27" i="3" s="1"/>
  <c r="AQ24" i="3" s="1"/>
  <c r="AR27" i="3" s="1"/>
  <c r="AR24" i="3" s="1"/>
  <c r="AS27" i="3" s="1"/>
  <c r="AS24" i="3" s="1"/>
  <c r="AT27" i="3" s="1"/>
  <c r="AT24" i="3" s="1"/>
  <c r="AU27" i="3" s="1"/>
  <c r="AU24" i="3" s="1"/>
  <c r="AV27" i="3" s="1"/>
  <c r="AV24" i="3" s="1"/>
  <c r="AW27" i="3" s="1"/>
  <c r="AW24" i="3" s="1"/>
  <c r="AX27" i="3" s="1"/>
  <c r="AX24" i="3" s="1"/>
  <c r="AY27" i="3" s="1"/>
  <c r="AY24" i="3" s="1"/>
  <c r="AZ27" i="3" s="1"/>
  <c r="J37" i="3" l="1"/>
  <c r="J38" i="3" s="1"/>
  <c r="K36" i="3" s="1"/>
  <c r="I40" i="3"/>
  <c r="I41" i="3" s="1"/>
  <c r="I37" i="4"/>
  <c r="I38" i="4" s="1"/>
  <c r="J36" i="4" s="1"/>
  <c r="H27" i="4"/>
  <c r="H32" i="4" s="1"/>
  <c r="G33" i="4"/>
  <c r="G34" i="4"/>
  <c r="G40" i="4" s="1"/>
  <c r="G41" i="4" s="1"/>
  <c r="C64" i="3"/>
  <c r="K30" i="3"/>
  <c r="K33" i="3" s="1"/>
  <c r="J34" i="3"/>
  <c r="M45" i="3"/>
  <c r="G32" i="2"/>
  <c r="H32" i="2" s="1"/>
  <c r="H49" i="3"/>
  <c r="I43" i="3"/>
  <c r="M32" i="3"/>
  <c r="AZ24" i="3"/>
  <c r="BA27" i="3" s="1"/>
  <c r="AH32" i="3"/>
  <c r="N32" i="3"/>
  <c r="L30" i="3"/>
  <c r="M28" i="3"/>
  <c r="N26" i="3" s="1"/>
  <c r="K37" i="3" l="1"/>
  <c r="K38" i="3" s="1"/>
  <c r="L36" i="3" s="1"/>
  <c r="J37" i="4"/>
  <c r="J38" i="4" s="1"/>
  <c r="K36" i="4" s="1"/>
  <c r="H28" i="4"/>
  <c r="G43" i="4"/>
  <c r="G47" i="4" s="1"/>
  <c r="H24" i="4"/>
  <c r="I27" i="4" s="1"/>
  <c r="I26" i="4"/>
  <c r="H30" i="4"/>
  <c r="J53" i="3"/>
  <c r="O51" i="3"/>
  <c r="K34" i="3"/>
  <c r="N45" i="3"/>
  <c r="J40" i="3"/>
  <c r="G34" i="2"/>
  <c r="H34" i="2" s="1"/>
  <c r="BA28" i="3"/>
  <c r="BA30" i="3" s="1"/>
  <c r="BA32" i="3"/>
  <c r="L34" i="3"/>
  <c r="L33" i="3"/>
  <c r="BA24" i="3"/>
  <c r="BB27" i="3" s="1"/>
  <c r="AI32" i="3"/>
  <c r="O32" i="3"/>
  <c r="N28" i="3"/>
  <c r="M30" i="3"/>
  <c r="L37" i="3" l="1"/>
  <c r="L38" i="3" s="1"/>
  <c r="M36" i="3" s="1"/>
  <c r="K37" i="4"/>
  <c r="H33" i="4"/>
  <c r="H34" i="4"/>
  <c r="H40" i="4" s="1"/>
  <c r="H41" i="4" s="1"/>
  <c r="L53" i="3"/>
  <c r="Q51" i="3"/>
  <c r="K53" i="3"/>
  <c r="P51" i="3"/>
  <c r="J41" i="3"/>
  <c r="J43" i="3" s="1"/>
  <c r="K40" i="3"/>
  <c r="BA34" i="3"/>
  <c r="BA33" i="3"/>
  <c r="BB28" i="3"/>
  <c r="BB30" i="3" s="1"/>
  <c r="BB32" i="3"/>
  <c r="M34" i="3"/>
  <c r="M33" i="3"/>
  <c r="BB24" i="3"/>
  <c r="BC27" i="3" s="1"/>
  <c r="AJ32" i="3"/>
  <c r="P32" i="3"/>
  <c r="N30" i="3"/>
  <c r="O26" i="3"/>
  <c r="M37" i="3" l="1"/>
  <c r="M38" i="3" s="1"/>
  <c r="N36" i="3" s="1"/>
  <c r="L40" i="3"/>
  <c r="L41" i="3" s="1"/>
  <c r="L43" i="3" s="1"/>
  <c r="K38" i="4"/>
  <c r="L36" i="4" s="1"/>
  <c r="H43" i="4"/>
  <c r="H47" i="4" s="1"/>
  <c r="I24" i="4"/>
  <c r="J27" i="4" s="1"/>
  <c r="I32" i="4"/>
  <c r="I28" i="4"/>
  <c r="M53" i="3"/>
  <c r="R51" i="3"/>
  <c r="O45" i="3"/>
  <c r="J49" i="3"/>
  <c r="K41" i="3"/>
  <c r="K43" i="3" s="1"/>
  <c r="BB33" i="3"/>
  <c r="BB34" i="3"/>
  <c r="BC28" i="3"/>
  <c r="BC30" i="3" s="1"/>
  <c r="BC32" i="3"/>
  <c r="N34" i="3"/>
  <c r="N33" i="3"/>
  <c r="BC24" i="3"/>
  <c r="BD27" i="3" s="1"/>
  <c r="BD32" i="3" s="1"/>
  <c r="AK32" i="3"/>
  <c r="O28" i="3"/>
  <c r="P26" i="3" s="1"/>
  <c r="Q32" i="3"/>
  <c r="N37" i="3" l="1"/>
  <c r="N38" i="3" s="1"/>
  <c r="M40" i="3"/>
  <c r="M41" i="3" s="1"/>
  <c r="M43" i="3" s="1"/>
  <c r="R45" i="3" s="1"/>
  <c r="L37" i="4"/>
  <c r="C58" i="4"/>
  <c r="J26" i="4"/>
  <c r="I30" i="4"/>
  <c r="S51" i="3"/>
  <c r="N53" i="3"/>
  <c r="P45" i="3"/>
  <c r="K49" i="3"/>
  <c r="Q45" i="3"/>
  <c r="BC33" i="3"/>
  <c r="BC34" i="3"/>
  <c r="BD24" i="3"/>
  <c r="BE27" i="3" s="1"/>
  <c r="BE24" i="3" s="1"/>
  <c r="BD28" i="3"/>
  <c r="BD30" i="3" s="1"/>
  <c r="L49" i="3"/>
  <c r="N40" i="3"/>
  <c r="N41" i="3" s="1"/>
  <c r="AL32" i="3"/>
  <c r="O30" i="3"/>
  <c r="R32" i="3"/>
  <c r="P28" i="3"/>
  <c r="Q26" i="3" s="1"/>
  <c r="O36" i="3" l="1"/>
  <c r="L38" i="4"/>
  <c r="M36" i="4" s="1"/>
  <c r="I34" i="4"/>
  <c r="I40" i="4" s="1"/>
  <c r="I41" i="4" s="1"/>
  <c r="I33" i="4"/>
  <c r="BD33" i="3"/>
  <c r="BD34" i="3"/>
  <c r="BE28" i="3"/>
  <c r="BE30" i="3" s="1"/>
  <c r="BE32" i="3"/>
  <c r="M49" i="3"/>
  <c r="N43" i="3"/>
  <c r="S45" i="3" s="1"/>
  <c r="O34" i="3"/>
  <c r="O33" i="3"/>
  <c r="AM32" i="3"/>
  <c r="P30" i="3"/>
  <c r="Q28" i="3"/>
  <c r="R26" i="3" s="1"/>
  <c r="S32" i="3"/>
  <c r="O37" i="3" l="1"/>
  <c r="O40" i="3" s="1"/>
  <c r="O41" i="3" s="1"/>
  <c r="M37" i="4"/>
  <c r="M38" i="4" s="1"/>
  <c r="N36" i="4" s="1"/>
  <c r="I43" i="4"/>
  <c r="I47" i="4" s="1"/>
  <c r="J32" i="4"/>
  <c r="J24" i="4"/>
  <c r="K27" i="4" s="1"/>
  <c r="J28" i="4"/>
  <c r="T51" i="3"/>
  <c r="O53" i="3"/>
  <c r="I49" i="3"/>
  <c r="BE33" i="3"/>
  <c r="BE34" i="3"/>
  <c r="N49" i="3"/>
  <c r="P34" i="3"/>
  <c r="P33" i="3"/>
  <c r="AN32" i="3"/>
  <c r="T32" i="3"/>
  <c r="R28" i="3"/>
  <c r="S26" i="3" s="1"/>
  <c r="Q30" i="3"/>
  <c r="O38" i="3" l="1"/>
  <c r="P36" i="3" s="1"/>
  <c r="P37" i="3"/>
  <c r="P38" i="3" s="1"/>
  <c r="Q36" i="3" s="1"/>
  <c r="N37" i="4"/>
  <c r="N38" i="4" s="1"/>
  <c r="O36" i="4" s="1"/>
  <c r="K26" i="4"/>
  <c r="J30" i="4"/>
  <c r="U51" i="3"/>
  <c r="P53" i="3"/>
  <c r="O43" i="3"/>
  <c r="T45" i="3" s="1"/>
  <c r="Q34" i="3"/>
  <c r="Q33" i="3"/>
  <c r="AO32" i="3"/>
  <c r="R30" i="3"/>
  <c r="S28" i="3"/>
  <c r="T26" i="3" s="1"/>
  <c r="U32" i="3"/>
  <c r="Q37" i="3" l="1"/>
  <c r="Q38" i="3" s="1"/>
  <c r="R36" i="3" s="1"/>
  <c r="P40" i="3"/>
  <c r="P41" i="3" s="1"/>
  <c r="P43" i="3" s="1"/>
  <c r="U45" i="3" s="1"/>
  <c r="O37" i="4"/>
  <c r="J34" i="4"/>
  <c r="J40" i="4" s="1"/>
  <c r="J41" i="4" s="1"/>
  <c r="J33" i="4"/>
  <c r="Q53" i="3"/>
  <c r="V51" i="3"/>
  <c r="O49" i="3"/>
  <c r="R33" i="3"/>
  <c r="R34" i="3"/>
  <c r="AP32" i="3"/>
  <c r="T28" i="3"/>
  <c r="U26" i="3" s="1"/>
  <c r="S30" i="3"/>
  <c r="V32" i="3"/>
  <c r="R37" i="3" l="1"/>
  <c r="R38" i="3"/>
  <c r="S36" i="3" s="1"/>
  <c r="Q40" i="3"/>
  <c r="Q41" i="3" s="1"/>
  <c r="O38" i="4"/>
  <c r="P36" i="4" s="1"/>
  <c r="K32" i="4"/>
  <c r="K24" i="4"/>
  <c r="L27" i="4" s="1"/>
  <c r="K28" i="4"/>
  <c r="J43" i="4"/>
  <c r="R53" i="3"/>
  <c r="W51" i="3"/>
  <c r="P49" i="3"/>
  <c r="Q43" i="3"/>
  <c r="V45" i="3" s="1"/>
  <c r="S34" i="3"/>
  <c r="S33" i="3"/>
  <c r="R40" i="3"/>
  <c r="R41" i="3" s="1"/>
  <c r="AQ32" i="3"/>
  <c r="W32" i="3"/>
  <c r="U28" i="3"/>
  <c r="V26" i="3" s="1"/>
  <c r="T30" i="3"/>
  <c r="S37" i="3" l="1"/>
  <c r="S38" i="3"/>
  <c r="T36" i="3" s="1"/>
  <c r="P37" i="4"/>
  <c r="P38" i="4" s="1"/>
  <c r="Q36" i="4" s="1"/>
  <c r="J47" i="4"/>
  <c r="L26" i="4"/>
  <c r="K30" i="4"/>
  <c r="X51" i="3"/>
  <c r="S53" i="3"/>
  <c r="Q49" i="3"/>
  <c r="R43" i="3"/>
  <c r="W45" i="3" s="1"/>
  <c r="T34" i="3"/>
  <c r="T33" i="3"/>
  <c r="S40" i="3"/>
  <c r="S41" i="3" s="1"/>
  <c r="AR32" i="3"/>
  <c r="U30" i="3"/>
  <c r="V28" i="3"/>
  <c r="W26" i="3" s="1"/>
  <c r="X32" i="3"/>
  <c r="T37" i="3" l="1"/>
  <c r="Q37" i="4"/>
  <c r="K33" i="4"/>
  <c r="K34" i="4"/>
  <c r="K40" i="4" s="1"/>
  <c r="K41" i="4" s="1"/>
  <c r="L28" i="4"/>
  <c r="M26" i="4" s="1"/>
  <c r="Y51" i="3"/>
  <c r="T53" i="3"/>
  <c r="R49" i="3"/>
  <c r="S43" i="3"/>
  <c r="X45" i="3" s="1"/>
  <c r="U34" i="3"/>
  <c r="U33" i="3"/>
  <c r="T40" i="3"/>
  <c r="T41" i="3" s="1"/>
  <c r="AS32" i="3"/>
  <c r="V30" i="3"/>
  <c r="W28" i="3"/>
  <c r="X26" i="3" s="1"/>
  <c r="Y32" i="3"/>
  <c r="T38" i="3" l="1"/>
  <c r="U36" i="3" s="1"/>
  <c r="Q38" i="4"/>
  <c r="R36" i="4" s="1"/>
  <c r="L30" i="4"/>
  <c r="L34" i="4" s="1"/>
  <c r="L32" i="4"/>
  <c r="L24" i="4"/>
  <c r="M27" i="4" s="1"/>
  <c r="M28" i="4" s="1"/>
  <c r="K43" i="4"/>
  <c r="U53" i="3"/>
  <c r="Z51" i="3"/>
  <c r="S49" i="3"/>
  <c r="T43" i="3"/>
  <c r="Y45" i="3" s="1"/>
  <c r="V34" i="3"/>
  <c r="V33" i="3"/>
  <c r="AT32" i="3"/>
  <c r="W30" i="3"/>
  <c r="Z32" i="3"/>
  <c r="X28" i="3"/>
  <c r="Y26" i="3" s="1"/>
  <c r="U37" i="3" l="1"/>
  <c r="U40" i="3" s="1"/>
  <c r="U41" i="3" s="1"/>
  <c r="R37" i="4"/>
  <c r="L33" i="4"/>
  <c r="M24" i="4"/>
  <c r="N27" i="4" s="1"/>
  <c r="N26" i="4"/>
  <c r="M30" i="4"/>
  <c r="K47" i="4"/>
  <c r="M32" i="4"/>
  <c r="L40" i="4"/>
  <c r="L41" i="4" s="1"/>
  <c r="AA51" i="3"/>
  <c r="V53" i="3"/>
  <c r="T49" i="3"/>
  <c r="U43" i="3"/>
  <c r="Z45" i="3" s="1"/>
  <c r="W34" i="3"/>
  <c r="W33" i="3"/>
  <c r="AU32" i="3"/>
  <c r="X30" i="3"/>
  <c r="Y28" i="3"/>
  <c r="Z26" i="3" s="1"/>
  <c r="AA32" i="3"/>
  <c r="L43" i="4" l="1"/>
  <c r="L47" i="4" s="1"/>
  <c r="U38" i="3"/>
  <c r="V36" i="3" s="1"/>
  <c r="R38" i="4"/>
  <c r="S36" i="4" s="1"/>
  <c r="M34" i="4"/>
  <c r="M40" i="4" s="1"/>
  <c r="M41" i="4" s="1"/>
  <c r="M33" i="4"/>
  <c r="N28" i="4"/>
  <c r="O26" i="4" s="1"/>
  <c r="W53" i="3"/>
  <c r="AB51" i="3"/>
  <c r="U49" i="3"/>
  <c r="X34" i="3"/>
  <c r="X33" i="3"/>
  <c r="AV32" i="3"/>
  <c r="Y30" i="3"/>
  <c r="Z28" i="3"/>
  <c r="AA26" i="3" s="1"/>
  <c r="AB32" i="3"/>
  <c r="V37" i="3" l="1"/>
  <c r="V40" i="3" s="1"/>
  <c r="V41" i="3" s="1"/>
  <c r="V43" i="3" s="1"/>
  <c r="AA45" i="3" s="1"/>
  <c r="V38" i="3"/>
  <c r="W36" i="3" s="1"/>
  <c r="S37" i="4"/>
  <c r="M43" i="4"/>
  <c r="M47" i="4" s="1"/>
  <c r="N30" i="4"/>
  <c r="N33" i="4" s="1"/>
  <c r="C59" i="4"/>
  <c r="N32" i="4"/>
  <c r="N24" i="4"/>
  <c r="O27" i="4" s="1"/>
  <c r="O28" i="4" s="1"/>
  <c r="X53" i="3"/>
  <c r="AC51" i="3"/>
  <c r="V49" i="3"/>
  <c r="Y34" i="3"/>
  <c r="Y33" i="3"/>
  <c r="AW32" i="3"/>
  <c r="AC32" i="3"/>
  <c r="AA28" i="3"/>
  <c r="AB26" i="3" s="1"/>
  <c r="Z30" i="3"/>
  <c r="N34" i="4" l="1"/>
  <c r="W37" i="3"/>
  <c r="W40" i="3" s="1"/>
  <c r="W41" i="3" s="1"/>
  <c r="W43" i="3" s="1"/>
  <c r="AB45" i="3" s="1"/>
  <c r="S38" i="4"/>
  <c r="T36" i="4" s="1"/>
  <c r="P26" i="4"/>
  <c r="O30" i="4"/>
  <c r="O32" i="4"/>
  <c r="O24" i="4"/>
  <c r="P27" i="4" s="1"/>
  <c r="N40" i="4"/>
  <c r="N41" i="4" s="1"/>
  <c r="N43" i="4" s="1"/>
  <c r="N47" i="4" s="1"/>
  <c r="Y53" i="3"/>
  <c r="AD51" i="3"/>
  <c r="Z34" i="3"/>
  <c r="Z33" i="3"/>
  <c r="AX32" i="3"/>
  <c r="AB28" i="3"/>
  <c r="AC26" i="3" s="1"/>
  <c r="AC28" i="3" s="1"/>
  <c r="AA30" i="3"/>
  <c r="AD32" i="3"/>
  <c r="W49" i="3" l="1"/>
  <c r="W38" i="3"/>
  <c r="X36" i="3" s="1"/>
  <c r="T37" i="4"/>
  <c r="O34" i="4"/>
  <c r="O40" i="4" s="1"/>
  <c r="O41" i="4" s="1"/>
  <c r="O33" i="4"/>
  <c r="P28" i="4"/>
  <c r="Q26" i="4" s="1"/>
  <c r="Z53" i="3"/>
  <c r="AE51" i="3"/>
  <c r="AA34" i="3"/>
  <c r="AA33" i="3"/>
  <c r="AZ32" i="3"/>
  <c r="AY32" i="3"/>
  <c r="AB30" i="3"/>
  <c r="AE32" i="3"/>
  <c r="AC30" i="3"/>
  <c r="AD26" i="3"/>
  <c r="P30" i="4" l="1"/>
  <c r="X37" i="3"/>
  <c r="X40" i="3" s="1"/>
  <c r="X41" i="3" s="1"/>
  <c r="X43" i="3" s="1"/>
  <c r="X38" i="3"/>
  <c r="Y36" i="3" s="1"/>
  <c r="T38" i="4"/>
  <c r="U36" i="4" s="1"/>
  <c r="O43" i="4"/>
  <c r="O47" i="4" s="1"/>
  <c r="P32" i="4"/>
  <c r="P24" i="4"/>
  <c r="Q27" i="4" s="1"/>
  <c r="Q28" i="4" s="1"/>
  <c r="P33" i="4"/>
  <c r="P34" i="4"/>
  <c r="AA53" i="3"/>
  <c r="AF51" i="3"/>
  <c r="AC34" i="3"/>
  <c r="AC33" i="3"/>
  <c r="AB33" i="3"/>
  <c r="AB34" i="3"/>
  <c r="AD28" i="3"/>
  <c r="AE26" i="3" s="1"/>
  <c r="AF32" i="3"/>
  <c r="AG32" i="3"/>
  <c r="Y37" i="3" l="1"/>
  <c r="Y40" i="3" s="1"/>
  <c r="Y41" i="3" s="1"/>
  <c r="Y43" i="3" s="1"/>
  <c r="Y38" i="3"/>
  <c r="Z36" i="3" s="1"/>
  <c r="AC45" i="3"/>
  <c r="X49" i="3"/>
  <c r="U37" i="4"/>
  <c r="U38" i="4" s="1"/>
  <c r="V36" i="4" s="1"/>
  <c r="R26" i="4"/>
  <c r="Q30" i="4"/>
  <c r="Q33" i="4" s="1"/>
  <c r="P40" i="4"/>
  <c r="P41" i="4" s="1"/>
  <c r="P43" i="4" s="1"/>
  <c r="P47" i="4" s="1"/>
  <c r="Q32" i="4"/>
  <c r="Q24" i="4"/>
  <c r="R27" i="4" s="1"/>
  <c r="AB53" i="3"/>
  <c r="AG51" i="3"/>
  <c r="AC53" i="3"/>
  <c r="AH51" i="3"/>
  <c r="AD30" i="3"/>
  <c r="AE28" i="3"/>
  <c r="AF26" i="3" s="1"/>
  <c r="Q34" i="4" l="1"/>
  <c r="Q40" i="4" s="1"/>
  <c r="Q41" i="4" s="1"/>
  <c r="Q43" i="4" s="1"/>
  <c r="Q47" i="4" s="1"/>
  <c r="R28" i="4"/>
  <c r="Z37" i="3"/>
  <c r="Z40" i="3" s="1"/>
  <c r="Z41" i="3" s="1"/>
  <c r="Z43" i="3" s="1"/>
  <c r="Z38" i="3"/>
  <c r="AA36" i="3" s="1"/>
  <c r="AD45" i="3"/>
  <c r="Y49" i="3"/>
  <c r="V37" i="4"/>
  <c r="V38" i="4" s="1"/>
  <c r="W36" i="4" s="1"/>
  <c r="S26" i="4"/>
  <c r="R30" i="4"/>
  <c r="R32" i="4"/>
  <c r="R24" i="4"/>
  <c r="S27" i="4" s="1"/>
  <c r="AD34" i="3"/>
  <c r="AD33" i="3"/>
  <c r="AE30" i="3"/>
  <c r="AF28" i="3"/>
  <c r="AG26" i="3" s="1"/>
  <c r="AA37" i="3" l="1"/>
  <c r="AA40" i="3" s="1"/>
  <c r="AA41" i="3" s="1"/>
  <c r="AA43" i="3" s="1"/>
  <c r="AA38" i="3"/>
  <c r="AB36" i="3" s="1"/>
  <c r="AE45" i="3"/>
  <c r="Z49" i="3"/>
  <c r="W37" i="4"/>
  <c r="W38" i="4" s="1"/>
  <c r="X36" i="4" s="1"/>
  <c r="R34" i="4"/>
  <c r="R40" i="4" s="1"/>
  <c r="R41" i="4" s="1"/>
  <c r="R33" i="4"/>
  <c r="S28" i="4"/>
  <c r="T26" i="4" s="1"/>
  <c r="AI51" i="3"/>
  <c r="AD53" i="3"/>
  <c r="AE34" i="3"/>
  <c r="AE33" i="3"/>
  <c r="AG28" i="3"/>
  <c r="AF30" i="3"/>
  <c r="S30" i="4" l="1"/>
  <c r="AB37" i="3"/>
  <c r="AB40" i="3" s="1"/>
  <c r="AB41" i="3" s="1"/>
  <c r="AB43" i="3" s="1"/>
  <c r="AF45" i="3"/>
  <c r="AA49" i="3"/>
  <c r="X37" i="4"/>
  <c r="X38" i="4" s="1"/>
  <c r="Y36" i="4" s="1"/>
  <c r="R43" i="4"/>
  <c r="R47" i="4" s="1"/>
  <c r="S32" i="4"/>
  <c r="S24" i="4"/>
  <c r="T27" i="4" s="1"/>
  <c r="S33" i="4"/>
  <c r="S34" i="4"/>
  <c r="AJ51" i="3"/>
  <c r="AE53" i="3"/>
  <c r="AF34" i="3"/>
  <c r="AF33" i="3"/>
  <c r="AG30" i="3"/>
  <c r="AH26" i="3"/>
  <c r="S40" i="4" l="1"/>
  <c r="S41" i="4" s="1"/>
  <c r="AB38" i="3"/>
  <c r="AC36" i="3" s="1"/>
  <c r="AC37" i="3" s="1"/>
  <c r="AG45" i="3"/>
  <c r="AB49" i="3"/>
  <c r="Y37" i="4"/>
  <c r="T32" i="4"/>
  <c r="T24" i="4"/>
  <c r="U27" i="4" s="1"/>
  <c r="T28" i="4"/>
  <c r="S43" i="4"/>
  <c r="S47" i="4" s="1"/>
  <c r="AK51" i="3"/>
  <c r="AF53" i="3"/>
  <c r="AG34" i="3"/>
  <c r="AG33" i="3"/>
  <c r="AH28" i="3"/>
  <c r="AC40" i="3" l="1"/>
  <c r="AC41" i="3" s="1"/>
  <c r="AC43" i="3" s="1"/>
  <c r="AC38" i="3"/>
  <c r="AD36" i="3" s="1"/>
  <c r="AD37" i="3"/>
  <c r="Y38" i="4"/>
  <c r="Z36" i="4" s="1"/>
  <c r="U26" i="4"/>
  <c r="T30" i="4"/>
  <c r="AG53" i="3"/>
  <c r="AL51" i="3"/>
  <c r="AH30" i="3"/>
  <c r="AI26" i="3"/>
  <c r="AD40" i="3" l="1"/>
  <c r="AD41" i="3" s="1"/>
  <c r="AD43" i="3" s="1"/>
  <c r="AH45" i="3"/>
  <c r="AC49" i="3"/>
  <c r="AD38" i="3"/>
  <c r="AE36" i="3" s="1"/>
  <c r="Z37" i="4"/>
  <c r="T34" i="4"/>
  <c r="T40" i="4" s="1"/>
  <c r="T41" i="4" s="1"/>
  <c r="T33" i="4"/>
  <c r="U28" i="4"/>
  <c r="AH33" i="3"/>
  <c r="AH34" i="3"/>
  <c r="AI28" i="3"/>
  <c r="AJ26" i="3" s="1"/>
  <c r="AD49" i="3" l="1"/>
  <c r="AI45" i="3"/>
  <c r="AE37" i="3"/>
  <c r="Z38" i="4"/>
  <c r="AA36" i="4" s="1"/>
  <c r="V26" i="4"/>
  <c r="U30" i="4"/>
  <c r="U32" i="4"/>
  <c r="U24" i="4"/>
  <c r="V27" i="4" s="1"/>
  <c r="T43" i="4"/>
  <c r="T47" i="4" s="1"/>
  <c r="AH53" i="3"/>
  <c r="AM51" i="3"/>
  <c r="AI30" i="3"/>
  <c r="AJ28" i="3"/>
  <c r="AK26" i="3" s="1"/>
  <c r="AE40" i="3" l="1"/>
  <c r="AE41" i="3" s="1"/>
  <c r="AE43" i="3" s="1"/>
  <c r="AE38" i="3"/>
  <c r="AF36" i="3" s="1"/>
  <c r="AA37" i="4"/>
  <c r="U33" i="4"/>
  <c r="U34" i="4"/>
  <c r="U40" i="4" s="1"/>
  <c r="U41" i="4" s="1"/>
  <c r="V28" i="4"/>
  <c r="AI33" i="3"/>
  <c r="AI34" i="3"/>
  <c r="AJ30" i="3"/>
  <c r="AK28" i="3"/>
  <c r="AL26" i="3" s="1"/>
  <c r="AE49" i="3" l="1"/>
  <c r="AJ45" i="3"/>
  <c r="AF37" i="3"/>
  <c r="AA38" i="4"/>
  <c r="AB36" i="4" s="1"/>
  <c r="U43" i="4"/>
  <c r="U47" i="4" s="1"/>
  <c r="W26" i="4"/>
  <c r="V30" i="4"/>
  <c r="V32" i="4"/>
  <c r="V24" i="4"/>
  <c r="W27" i="4" s="1"/>
  <c r="AI53" i="3"/>
  <c r="AN51" i="3"/>
  <c r="AJ34" i="3"/>
  <c r="AJ33" i="3"/>
  <c r="AK30" i="3"/>
  <c r="AL28" i="3"/>
  <c r="AM26" i="3" s="1"/>
  <c r="AF40" i="3" l="1"/>
  <c r="AF41" i="3" s="1"/>
  <c r="AF43" i="3" s="1"/>
  <c r="AF38" i="3"/>
  <c r="AG36" i="3" s="1"/>
  <c r="AB37" i="4"/>
  <c r="V34" i="4"/>
  <c r="V40" i="4" s="1"/>
  <c r="V41" i="4" s="1"/>
  <c r="V33" i="4"/>
  <c r="W28" i="4"/>
  <c r="X26" i="4" s="1"/>
  <c r="W30" i="4"/>
  <c r="AO51" i="3"/>
  <c r="AJ53" i="3"/>
  <c r="AK33" i="3"/>
  <c r="AK34" i="3"/>
  <c r="AL30" i="3"/>
  <c r="AM28" i="3"/>
  <c r="AN26" i="3" s="1"/>
  <c r="AF49" i="3" l="1"/>
  <c r="AK45" i="3"/>
  <c r="AG37" i="3"/>
  <c r="AB38" i="4"/>
  <c r="AC36" i="4" s="1"/>
  <c r="V43" i="4"/>
  <c r="V47" i="4" s="1"/>
  <c r="W32" i="4"/>
  <c r="W24" i="4"/>
  <c r="X27" i="4" s="1"/>
  <c r="X28" i="4" s="1"/>
  <c r="W33" i="4"/>
  <c r="W34" i="4"/>
  <c r="AK53" i="3"/>
  <c r="AP51" i="3"/>
  <c r="AL34" i="3"/>
  <c r="AL33" i="3"/>
  <c r="AM30" i="3"/>
  <c r="AN28" i="3"/>
  <c r="AO26" i="3" s="1"/>
  <c r="AG40" i="3" l="1"/>
  <c r="AG41" i="3" s="1"/>
  <c r="AG43" i="3" s="1"/>
  <c r="AG38" i="3"/>
  <c r="AH36" i="3" s="1"/>
  <c r="AC37" i="4"/>
  <c r="AC38" i="4" s="1"/>
  <c r="AD36" i="4" s="1"/>
  <c r="Y26" i="4"/>
  <c r="X30" i="4"/>
  <c r="X33" i="4" s="1"/>
  <c r="X32" i="4"/>
  <c r="X24" i="4"/>
  <c r="Y27" i="4" s="1"/>
  <c r="X34" i="4"/>
  <c r="W40" i="4"/>
  <c r="W41" i="4" s="1"/>
  <c r="W43" i="4" s="1"/>
  <c r="W47" i="4" s="1"/>
  <c r="AQ51" i="3"/>
  <c r="AL53" i="3"/>
  <c r="AM34" i="3"/>
  <c r="AM33" i="3"/>
  <c r="AN30" i="3"/>
  <c r="AO28" i="3"/>
  <c r="AP26" i="3" s="1"/>
  <c r="AL45" i="3" l="1"/>
  <c r="AG49" i="3"/>
  <c r="AH37" i="3"/>
  <c r="AD37" i="4"/>
  <c r="Y32" i="4"/>
  <c r="Y24" i="4"/>
  <c r="Z27" i="4" s="1"/>
  <c r="X40" i="4"/>
  <c r="X41" i="4" s="1"/>
  <c r="X43" i="4" s="1"/>
  <c r="X47" i="4" s="1"/>
  <c r="Y28" i="4"/>
  <c r="AM53" i="3"/>
  <c r="AR51" i="3"/>
  <c r="AN34" i="3"/>
  <c r="AN33" i="3"/>
  <c r="AO30" i="3"/>
  <c r="AP28" i="3"/>
  <c r="AQ26" i="3" s="1"/>
  <c r="AH40" i="3" l="1"/>
  <c r="AH41" i="3" s="1"/>
  <c r="AH43" i="3" s="1"/>
  <c r="AH38" i="3"/>
  <c r="AI36" i="3" s="1"/>
  <c r="AD38" i="4"/>
  <c r="AE36" i="4" s="1"/>
  <c r="Z26" i="4"/>
  <c r="Y30" i="4"/>
  <c r="AN53" i="3"/>
  <c r="AS51" i="3"/>
  <c r="AO34" i="3"/>
  <c r="AO33" i="3"/>
  <c r="AP30" i="3"/>
  <c r="AQ28" i="3"/>
  <c r="AR26" i="3" s="1"/>
  <c r="AM45" i="3" l="1"/>
  <c r="AH49" i="3"/>
  <c r="AI37" i="3"/>
  <c r="AE37" i="4"/>
  <c r="Y33" i="4"/>
  <c r="Y34" i="4"/>
  <c r="Y40" i="4" s="1"/>
  <c r="Y41" i="4" s="1"/>
  <c r="Z28" i="4"/>
  <c r="AA26" i="4" s="1"/>
  <c r="Z30" i="4"/>
  <c r="AO53" i="3"/>
  <c r="AT51" i="3"/>
  <c r="AP34" i="3"/>
  <c r="AP33" i="3"/>
  <c r="AR28" i="3"/>
  <c r="AS26" i="3" s="1"/>
  <c r="AQ30" i="3"/>
  <c r="AI40" i="3" l="1"/>
  <c r="AI41" i="3" s="1"/>
  <c r="AI43" i="3" s="1"/>
  <c r="AI38" i="3"/>
  <c r="AJ36" i="3" s="1"/>
  <c r="AE38" i="4"/>
  <c r="AF36" i="4" s="1"/>
  <c r="Y43" i="4"/>
  <c r="Y47" i="4" s="1"/>
  <c r="Z32" i="4"/>
  <c r="Z24" i="4"/>
  <c r="AA27" i="4" s="1"/>
  <c r="AA28" i="4" s="1"/>
  <c r="Z34" i="4"/>
  <c r="Z40" i="4" s="1"/>
  <c r="Z41" i="4" s="1"/>
  <c r="Z33" i="4"/>
  <c r="AP53" i="3"/>
  <c r="AU51" i="3"/>
  <c r="AQ34" i="3"/>
  <c r="AQ33" i="3"/>
  <c r="AR30" i="3"/>
  <c r="AS28" i="3"/>
  <c r="AT26" i="3" s="1"/>
  <c r="AN45" i="3" l="1"/>
  <c r="AI49" i="3"/>
  <c r="AJ37" i="3"/>
  <c r="AJ40" i="3" s="1"/>
  <c r="AF37" i="4"/>
  <c r="AB26" i="4"/>
  <c r="AA30" i="4"/>
  <c r="Z43" i="4"/>
  <c r="Z47" i="4" s="1"/>
  <c r="AA32" i="4"/>
  <c r="AA24" i="4"/>
  <c r="AB27" i="4" s="1"/>
  <c r="AQ53" i="3"/>
  <c r="AV51" i="3"/>
  <c r="AR34" i="3"/>
  <c r="AR33" i="3"/>
  <c r="AS30" i="3"/>
  <c r="AT28" i="3"/>
  <c r="AU26" i="3" s="1"/>
  <c r="AJ41" i="3" l="1"/>
  <c r="AJ43" i="3" s="1"/>
  <c r="AJ38" i="3"/>
  <c r="AK36" i="3" s="1"/>
  <c r="AF38" i="4"/>
  <c r="AG36" i="4" s="1"/>
  <c r="AA33" i="4"/>
  <c r="AA34" i="4"/>
  <c r="AA40" i="4" s="1"/>
  <c r="AA41" i="4" s="1"/>
  <c r="AB28" i="4"/>
  <c r="AC26" i="4" s="1"/>
  <c r="AB30" i="4"/>
  <c r="AR53" i="3"/>
  <c r="AW51" i="3"/>
  <c r="AS33" i="3"/>
  <c r="AS34" i="3"/>
  <c r="AT30" i="3"/>
  <c r="AU28" i="3"/>
  <c r="AV26" i="3" s="1"/>
  <c r="AK37" i="3" l="1"/>
  <c r="AK40" i="3" s="1"/>
  <c r="AO45" i="3"/>
  <c r="AJ49" i="3"/>
  <c r="AG37" i="4"/>
  <c r="AA43" i="4"/>
  <c r="AA47" i="4" s="1"/>
  <c r="AB33" i="4"/>
  <c r="AB34" i="4"/>
  <c r="AB32" i="4"/>
  <c r="AB24" i="4"/>
  <c r="AC27" i="4" s="1"/>
  <c r="AC28" i="4" s="1"/>
  <c r="AS53" i="3"/>
  <c r="AX51" i="3"/>
  <c r="AT34" i="3"/>
  <c r="AT33" i="3"/>
  <c r="AU30" i="3"/>
  <c r="AV28" i="3"/>
  <c r="AW26" i="3" s="1"/>
  <c r="AK41" i="3" l="1"/>
  <c r="AK43" i="3" s="1"/>
  <c r="AK38" i="3"/>
  <c r="AL36" i="3" s="1"/>
  <c r="AG38" i="4"/>
  <c r="AH36" i="4" s="1"/>
  <c r="AD26" i="4"/>
  <c r="AC30" i="4"/>
  <c r="AC34" i="4" s="1"/>
  <c r="AC40" i="4" s="1"/>
  <c r="AC32" i="4"/>
  <c r="AC24" i="4"/>
  <c r="AD27" i="4" s="1"/>
  <c r="AD28" i="4" s="1"/>
  <c r="AB40" i="4"/>
  <c r="AB41" i="4" s="1"/>
  <c r="AB43" i="4" s="1"/>
  <c r="AB47" i="4" s="1"/>
  <c r="AY51" i="3"/>
  <c r="AT53" i="3"/>
  <c r="AU34" i="3"/>
  <c r="AU33" i="3"/>
  <c r="AV30" i="3"/>
  <c r="AW28" i="3"/>
  <c r="AX26" i="3" s="1"/>
  <c r="AC33" i="4" l="1"/>
  <c r="AL37" i="3"/>
  <c r="AP45" i="3"/>
  <c r="AK49" i="3"/>
  <c r="AH37" i="4"/>
  <c r="AE26" i="4"/>
  <c r="AD30" i="4"/>
  <c r="AD33" i="4" s="1"/>
  <c r="AC41" i="4"/>
  <c r="AC43" i="4" s="1"/>
  <c r="AC47" i="4" s="1"/>
  <c r="AD32" i="4"/>
  <c r="AD24" i="4"/>
  <c r="AE27" i="4" s="1"/>
  <c r="AE28" i="4" s="1"/>
  <c r="AF26" i="4" s="1"/>
  <c r="AU53" i="3"/>
  <c r="AZ51" i="3"/>
  <c r="AV34" i="3"/>
  <c r="AV33" i="3"/>
  <c r="AW30" i="3"/>
  <c r="AX28" i="3"/>
  <c r="AY26" i="3" s="1"/>
  <c r="AD34" i="4" l="1"/>
  <c r="AL40" i="3"/>
  <c r="AL41" i="3" s="1"/>
  <c r="AL43" i="3" s="1"/>
  <c r="AL38" i="3"/>
  <c r="AM36" i="3" s="1"/>
  <c r="AH38" i="4"/>
  <c r="AI36" i="4" s="1"/>
  <c r="AE30" i="4"/>
  <c r="AE32" i="4"/>
  <c r="AE24" i="4"/>
  <c r="AF27" i="4" s="1"/>
  <c r="AF28" i="4" s="1"/>
  <c r="AD40" i="4"/>
  <c r="AD41" i="4" s="1"/>
  <c r="AD43" i="4" s="1"/>
  <c r="AD47" i="4" s="1"/>
  <c r="BA51" i="3"/>
  <c r="BA53" i="3" s="1"/>
  <c r="AV53" i="3"/>
  <c r="AW34" i="3"/>
  <c r="AW33" i="3"/>
  <c r="AX30" i="3"/>
  <c r="AY28" i="3"/>
  <c r="AZ26" i="3" s="1"/>
  <c r="AQ45" i="3" l="1"/>
  <c r="AL49" i="3"/>
  <c r="AM37" i="3"/>
  <c r="AI37" i="4"/>
  <c r="AG26" i="4"/>
  <c r="AF30" i="4"/>
  <c r="AF32" i="4"/>
  <c r="AF24" i="4"/>
  <c r="AG27" i="4" s="1"/>
  <c r="AE33" i="4"/>
  <c r="AE34" i="4"/>
  <c r="AE40" i="4" s="1"/>
  <c r="AE41" i="4" s="1"/>
  <c r="AW53" i="3"/>
  <c r="BB51" i="3"/>
  <c r="BB53" i="3" s="1"/>
  <c r="AZ28" i="3"/>
  <c r="AZ30" i="3" s="1"/>
  <c r="AX33" i="3"/>
  <c r="AX34" i="3"/>
  <c r="AY30" i="3"/>
  <c r="AM40" i="3" l="1"/>
  <c r="AM41" i="3" s="1"/>
  <c r="AM43" i="3" s="1"/>
  <c r="AM38" i="3"/>
  <c r="AN36" i="3" s="1"/>
  <c r="AI38" i="4"/>
  <c r="AJ36" i="4" s="1"/>
  <c r="AE43" i="4"/>
  <c r="AE47" i="4" s="1"/>
  <c r="AF33" i="4"/>
  <c r="AF34" i="4"/>
  <c r="AF40" i="4" s="1"/>
  <c r="AF41" i="4" s="1"/>
  <c r="AG28" i="4"/>
  <c r="AH26" i="4" s="1"/>
  <c r="AX53" i="3"/>
  <c r="BC51" i="3"/>
  <c r="BC53" i="3" s="1"/>
  <c r="AZ33" i="3"/>
  <c r="AZ34" i="3"/>
  <c r="AY34" i="3"/>
  <c r="AY33" i="3"/>
  <c r="AR45" i="3" l="1"/>
  <c r="AM49" i="3"/>
  <c r="AN37" i="3"/>
  <c r="AJ37" i="4"/>
  <c r="AF43" i="4"/>
  <c r="AF47" i="4" s="1"/>
  <c r="AG30" i="4"/>
  <c r="AG24" i="4"/>
  <c r="AH27" i="4" s="1"/>
  <c r="AH28" i="4" s="1"/>
  <c r="AG32" i="4"/>
  <c r="BE51" i="3"/>
  <c r="AZ53" i="3"/>
  <c r="C60" i="3"/>
  <c r="C31" i="6" s="1"/>
  <c r="AY53" i="3"/>
  <c r="BD51" i="3"/>
  <c r="BD53" i="3" s="1"/>
  <c r="AN40" i="3" l="1"/>
  <c r="AN41" i="3" s="1"/>
  <c r="AN43" i="3" s="1"/>
  <c r="AN38" i="3"/>
  <c r="AO36" i="3" s="1"/>
  <c r="AJ38" i="4"/>
  <c r="AK36" i="4" s="1"/>
  <c r="AI26" i="4"/>
  <c r="AH30" i="4"/>
  <c r="AH34" i="4" s="1"/>
  <c r="AH32" i="4"/>
  <c r="AH24" i="4"/>
  <c r="AI27" i="4" s="1"/>
  <c r="AG34" i="4"/>
  <c r="AG33" i="4"/>
  <c r="C61" i="3"/>
  <c r="C34" i="6" s="1"/>
  <c r="C36" i="6" s="1"/>
  <c r="BE53" i="3"/>
  <c r="AH33" i="4" l="1"/>
  <c r="AI28" i="4"/>
  <c r="AS45" i="3"/>
  <c r="AN49" i="3"/>
  <c r="AO37" i="3"/>
  <c r="AK37" i="4"/>
  <c r="AJ26" i="4"/>
  <c r="AI30" i="4"/>
  <c r="AI32" i="4"/>
  <c r="AI24" i="4"/>
  <c r="AJ27" i="4" s="1"/>
  <c r="AH40" i="4"/>
  <c r="AH41" i="4" s="1"/>
  <c r="AH43" i="4" s="1"/>
  <c r="AH47" i="4" s="1"/>
  <c r="AG40" i="4"/>
  <c r="AG41" i="4" s="1"/>
  <c r="AG43" i="4" s="1"/>
  <c r="C62" i="3"/>
  <c r="D43" i="2" s="1"/>
  <c r="AO40" i="3" l="1"/>
  <c r="AO41" i="3" s="1"/>
  <c r="AO43" i="3" s="1"/>
  <c r="AO38" i="3"/>
  <c r="AP36" i="3" s="1"/>
  <c r="AK38" i="4"/>
  <c r="AL36" i="4" s="1"/>
  <c r="AG47" i="4"/>
  <c r="AI34" i="4"/>
  <c r="AI33" i="4"/>
  <c r="AT45" i="3" l="1"/>
  <c r="AO49" i="3"/>
  <c r="AP37" i="3"/>
  <c r="AL37" i="4"/>
  <c r="AJ32" i="4"/>
  <c r="AJ24" i="4"/>
  <c r="AK27" i="4" s="1"/>
  <c r="AJ28" i="4"/>
  <c r="AI40" i="4"/>
  <c r="AI41" i="4" s="1"/>
  <c r="AI43" i="4" s="1"/>
  <c r="AP40" i="3" l="1"/>
  <c r="AP41" i="3" s="1"/>
  <c r="AP43" i="3" s="1"/>
  <c r="AP38" i="3"/>
  <c r="AQ36" i="3" s="1"/>
  <c r="AL38" i="4"/>
  <c r="AM36" i="4" s="1"/>
  <c r="AI47" i="4"/>
  <c r="AK26" i="4"/>
  <c r="AJ30" i="4"/>
  <c r="AU45" i="3" l="1"/>
  <c r="AP49" i="3"/>
  <c r="AQ37" i="3"/>
  <c r="AM37" i="4"/>
  <c r="AM38" i="4" s="1"/>
  <c r="AN36" i="4" s="1"/>
  <c r="AJ34" i="4"/>
  <c r="AJ33" i="4"/>
  <c r="AK28" i="4"/>
  <c r="AL26" i="4" s="1"/>
  <c r="AQ40" i="3" l="1"/>
  <c r="AQ41" i="3" s="1"/>
  <c r="AQ43" i="3" s="1"/>
  <c r="AQ38" i="3"/>
  <c r="AR36" i="3" s="1"/>
  <c r="AN37" i="4"/>
  <c r="AN38" i="4" s="1"/>
  <c r="AO36" i="4" s="1"/>
  <c r="AK30" i="4"/>
  <c r="AK32" i="4"/>
  <c r="AK24" i="4"/>
  <c r="AL27" i="4" s="1"/>
  <c r="AL28" i="4" s="1"/>
  <c r="AJ40" i="4"/>
  <c r="AJ41" i="4" s="1"/>
  <c r="AJ43" i="4" s="1"/>
  <c r="AQ49" i="3" l="1"/>
  <c r="AV45" i="3"/>
  <c r="AR37" i="3"/>
  <c r="AO37" i="4"/>
  <c r="AM26" i="4"/>
  <c r="AL30" i="4"/>
  <c r="AL33" i="4" s="1"/>
  <c r="AJ47" i="4"/>
  <c r="AK34" i="4"/>
  <c r="AK33" i="4"/>
  <c r="AL32" i="4"/>
  <c r="AL24" i="4"/>
  <c r="AM27" i="4" s="1"/>
  <c r="AM28" i="4" s="1"/>
  <c r="AN26" i="4" s="1"/>
  <c r="AL34" i="4" l="1"/>
  <c r="AL40" i="4" s="1"/>
  <c r="AL41" i="4" s="1"/>
  <c r="AR40" i="3"/>
  <c r="AR41" i="3" s="1"/>
  <c r="AR43" i="3" s="1"/>
  <c r="AR38" i="3"/>
  <c r="AS36" i="3" s="1"/>
  <c r="AO38" i="4"/>
  <c r="AP36" i="4" s="1"/>
  <c r="AK40" i="4"/>
  <c r="AK41" i="4" s="1"/>
  <c r="AK43" i="4" s="1"/>
  <c r="AL43" i="4"/>
  <c r="AL47" i="4" s="1"/>
  <c r="AM30" i="4"/>
  <c r="AM32" i="4"/>
  <c r="AM24" i="4"/>
  <c r="AN27" i="4" s="1"/>
  <c r="AN28" i="4" s="1"/>
  <c r="AO26" i="4" s="1"/>
  <c r="AW45" i="3" l="1"/>
  <c r="AR49" i="3"/>
  <c r="AS37" i="3"/>
  <c r="AS40" i="3" s="1"/>
  <c r="AP37" i="4"/>
  <c r="AK47" i="4"/>
  <c r="AN32" i="4"/>
  <c r="AN24" i="4"/>
  <c r="AO27" i="4" s="1"/>
  <c r="AO28" i="4" s="1"/>
  <c r="AM33" i="4"/>
  <c r="AM34" i="4"/>
  <c r="AN30" i="4"/>
  <c r="AS41" i="3" l="1"/>
  <c r="AS43" i="3" s="1"/>
  <c r="AS38" i="3"/>
  <c r="AT36" i="3" s="1"/>
  <c r="AP38" i="4"/>
  <c r="AQ36" i="4" s="1"/>
  <c r="AP26" i="4"/>
  <c r="AO30" i="4"/>
  <c r="AO33" i="4" s="1"/>
  <c r="AN33" i="4"/>
  <c r="AN34" i="4"/>
  <c r="AN40" i="4" s="1"/>
  <c r="AN41" i="4" s="1"/>
  <c r="AO32" i="4"/>
  <c r="AO24" i="4"/>
  <c r="AP27" i="4" s="1"/>
  <c r="AM40" i="4"/>
  <c r="AM41" i="4" s="1"/>
  <c r="AM43" i="4" s="1"/>
  <c r="AP28" i="4" l="1"/>
  <c r="AT37" i="3"/>
  <c r="AX45" i="3"/>
  <c r="AS49" i="3"/>
  <c r="AQ37" i="4"/>
  <c r="AO34" i="4"/>
  <c r="AO40" i="4" s="1"/>
  <c r="AO41" i="4" s="1"/>
  <c r="AO43" i="4" s="1"/>
  <c r="AO47" i="4" s="1"/>
  <c r="AQ26" i="4"/>
  <c r="AP30" i="4"/>
  <c r="AP33" i="4" s="1"/>
  <c r="AN43" i="4"/>
  <c r="AN47" i="4" s="1"/>
  <c r="AM47" i="4"/>
  <c r="AP32" i="4"/>
  <c r="AP24" i="4"/>
  <c r="AQ27" i="4" s="1"/>
  <c r="AQ28" i="4" s="1"/>
  <c r="AP34" i="4" l="1"/>
  <c r="AP40" i="4" s="1"/>
  <c r="AP41" i="4" s="1"/>
  <c r="AT40" i="3"/>
  <c r="AT41" i="3" s="1"/>
  <c r="AT43" i="3" s="1"/>
  <c r="AT38" i="3"/>
  <c r="AU36" i="3" s="1"/>
  <c r="AQ38" i="4"/>
  <c r="AR36" i="4" s="1"/>
  <c r="AR26" i="4"/>
  <c r="AQ30" i="4"/>
  <c r="AQ32" i="4"/>
  <c r="AQ24" i="4"/>
  <c r="AR27" i="4" s="1"/>
  <c r="AP43" i="4"/>
  <c r="AP47" i="4" s="1"/>
  <c r="AY45" i="3" l="1"/>
  <c r="AT49" i="3"/>
  <c r="AU37" i="3"/>
  <c r="AR37" i="4"/>
  <c r="AQ34" i="4"/>
  <c r="AQ40" i="4" s="1"/>
  <c r="AQ41" i="4" s="1"/>
  <c r="AQ33" i="4"/>
  <c r="AR28" i="4"/>
  <c r="AS26" i="4" s="1"/>
  <c r="AU40" i="3" l="1"/>
  <c r="AU41" i="3" s="1"/>
  <c r="AU43" i="3" s="1"/>
  <c r="AU38" i="3"/>
  <c r="AV36" i="3" s="1"/>
  <c r="AR38" i="4"/>
  <c r="AS36" i="4" s="1"/>
  <c r="AQ43" i="4"/>
  <c r="AQ47" i="4" s="1"/>
  <c r="AR30" i="4"/>
  <c r="AR32" i="4"/>
  <c r="AR24" i="4"/>
  <c r="AS27" i="4" s="1"/>
  <c r="AS28" i="4" s="1"/>
  <c r="AZ45" i="3" l="1"/>
  <c r="AU49" i="3"/>
  <c r="AV37" i="3"/>
  <c r="AS37" i="4"/>
  <c r="AT26" i="4"/>
  <c r="AS30" i="4"/>
  <c r="AR34" i="4"/>
  <c r="AR40" i="4" s="1"/>
  <c r="AR41" i="4" s="1"/>
  <c r="AR33" i="4"/>
  <c r="AS32" i="4"/>
  <c r="AS24" i="4"/>
  <c r="AT27" i="4" s="1"/>
  <c r="AV40" i="3" l="1"/>
  <c r="AV41" i="3" s="1"/>
  <c r="AV43" i="3" s="1"/>
  <c r="AV38" i="3"/>
  <c r="AW36" i="3" s="1"/>
  <c r="AS38" i="4"/>
  <c r="AT36" i="4" s="1"/>
  <c r="AR43" i="4"/>
  <c r="AR47" i="4" s="1"/>
  <c r="AS33" i="4"/>
  <c r="AS34" i="4"/>
  <c r="AS40" i="4" s="1"/>
  <c r="AS41" i="4" s="1"/>
  <c r="AT28" i="4"/>
  <c r="AV49" i="3" l="1"/>
  <c r="BA45" i="3"/>
  <c r="AW37" i="3"/>
  <c r="AT37" i="4"/>
  <c r="AU26" i="4"/>
  <c r="AT30" i="4"/>
  <c r="AT32" i="4"/>
  <c r="AT24" i="4"/>
  <c r="AU27" i="4" s="1"/>
  <c r="AS43" i="4"/>
  <c r="AS47" i="4" s="1"/>
  <c r="AW40" i="3" l="1"/>
  <c r="AW41" i="3" s="1"/>
  <c r="AW43" i="3" s="1"/>
  <c r="AW38" i="3"/>
  <c r="AX36" i="3" s="1"/>
  <c r="AT38" i="4"/>
  <c r="AU36" i="4" s="1"/>
  <c r="AT33" i="4"/>
  <c r="AT34" i="4"/>
  <c r="AT40" i="4" s="1"/>
  <c r="AT41" i="4" s="1"/>
  <c r="AU28" i="4"/>
  <c r="BB45" i="3" l="1"/>
  <c r="AW49" i="3"/>
  <c r="AX37" i="3"/>
  <c r="AU37" i="4"/>
  <c r="AT43" i="4"/>
  <c r="AT47" i="4" s="1"/>
  <c r="AV26" i="4"/>
  <c r="AU30" i="4"/>
  <c r="AU32" i="4"/>
  <c r="AU24" i="4"/>
  <c r="AV27" i="4" s="1"/>
  <c r="AX40" i="3" l="1"/>
  <c r="AX41" i="3" s="1"/>
  <c r="AX43" i="3" s="1"/>
  <c r="AX38" i="3"/>
  <c r="AY36" i="3" s="1"/>
  <c r="AU38" i="4"/>
  <c r="AV36" i="4" s="1"/>
  <c r="AU33" i="4"/>
  <c r="AU34" i="4"/>
  <c r="AU40" i="4" s="1"/>
  <c r="AU41" i="4" s="1"/>
  <c r="AV28" i="4"/>
  <c r="AW26" i="4" s="1"/>
  <c r="BC45" i="3" l="1"/>
  <c r="AX49" i="3"/>
  <c r="AY37" i="3"/>
  <c r="AY40" i="3" s="1"/>
  <c r="AV37" i="4"/>
  <c r="AV38" i="4" s="1"/>
  <c r="AW36" i="4" s="1"/>
  <c r="AU43" i="4"/>
  <c r="AU47" i="4" s="1"/>
  <c r="AV30" i="4"/>
  <c r="AV32" i="4"/>
  <c r="AV24" i="4"/>
  <c r="AW27" i="4" s="1"/>
  <c r="AW28" i="4" s="1"/>
  <c r="AY41" i="3" l="1"/>
  <c r="AY43" i="3" s="1"/>
  <c r="AY38" i="3"/>
  <c r="AZ36" i="3" s="1"/>
  <c r="AW37" i="4"/>
  <c r="AX26" i="4"/>
  <c r="AW30" i="4"/>
  <c r="AV34" i="4"/>
  <c r="AV40" i="4" s="1"/>
  <c r="AV41" i="4" s="1"/>
  <c r="AV33" i="4"/>
  <c r="AW32" i="4"/>
  <c r="AW24" i="4"/>
  <c r="AX27" i="4" s="1"/>
  <c r="AZ37" i="3" l="1"/>
  <c r="BD45" i="3"/>
  <c r="AY49" i="3"/>
  <c r="AW38" i="4"/>
  <c r="AX36" i="4" s="1"/>
  <c r="AV43" i="4"/>
  <c r="AV47" i="4" s="1"/>
  <c r="AW34" i="4"/>
  <c r="AW40" i="4" s="1"/>
  <c r="AW41" i="4" s="1"/>
  <c r="AW33" i="4"/>
  <c r="AX28" i="4"/>
  <c r="AY26" i="4" s="1"/>
  <c r="AX30" i="4" l="1"/>
  <c r="AZ40" i="3"/>
  <c r="AZ41" i="3" s="1"/>
  <c r="AZ43" i="3" s="1"/>
  <c r="AZ38" i="3"/>
  <c r="BA36" i="3" s="1"/>
  <c r="AX37" i="4"/>
  <c r="AX38" i="4" s="1"/>
  <c r="AY36" i="4" s="1"/>
  <c r="AW43" i="4"/>
  <c r="AW47" i="4" s="1"/>
  <c r="AX34" i="4"/>
  <c r="AX33" i="4"/>
  <c r="AX32" i="4"/>
  <c r="AX24" i="4"/>
  <c r="AY27" i="4" s="1"/>
  <c r="AY28" i="4" s="1"/>
  <c r="AZ49" i="3" l="1"/>
  <c r="BE45" i="3"/>
  <c r="C56" i="3" s="1"/>
  <c r="C10" i="6" s="1"/>
  <c r="C12" i="6" s="1"/>
  <c r="C18" i="6" s="1"/>
  <c r="BA37" i="3"/>
  <c r="AY37" i="4"/>
  <c r="AZ26" i="4"/>
  <c r="AY30" i="4"/>
  <c r="AY33" i="4" s="1"/>
  <c r="AY32" i="4"/>
  <c r="AY24" i="4"/>
  <c r="AZ27" i="4" s="1"/>
  <c r="AX40" i="4"/>
  <c r="AX41" i="4" s="1"/>
  <c r="AX43" i="4" s="1"/>
  <c r="AX47" i="4" s="1"/>
  <c r="D38" i="2" l="1"/>
  <c r="BA40" i="3"/>
  <c r="BA41" i="3" s="1"/>
  <c r="BA43" i="3" s="1"/>
  <c r="BA49" i="3" s="1"/>
  <c r="BA38" i="3"/>
  <c r="BB36" i="3" s="1"/>
  <c r="AY38" i="4"/>
  <c r="AZ36" i="4" s="1"/>
  <c r="AY34" i="4"/>
  <c r="AY40" i="4" s="1"/>
  <c r="AY41" i="4" s="1"/>
  <c r="AY43" i="4" s="1"/>
  <c r="AY47" i="4" s="1"/>
  <c r="AZ32" i="4"/>
  <c r="AZ24" i="4"/>
  <c r="AZ28" i="4"/>
  <c r="AZ30" i="4" s="1"/>
  <c r="BB37" i="3" l="1"/>
  <c r="AZ37" i="4"/>
  <c r="AZ38" i="4" s="1"/>
  <c r="AZ33" i="4"/>
  <c r="AZ34" i="4"/>
  <c r="BB40" i="3" l="1"/>
  <c r="BB41" i="3" s="1"/>
  <c r="BB43" i="3" s="1"/>
  <c r="BB49" i="3" s="1"/>
  <c r="BB38" i="3"/>
  <c r="BC36" i="3" s="1"/>
  <c r="AZ40" i="4"/>
  <c r="AZ41" i="4" s="1"/>
  <c r="AZ43" i="4" s="1"/>
  <c r="C53" i="4"/>
  <c r="BC37" i="3" l="1"/>
  <c r="D54" i="2"/>
  <c r="Q60" i="2" s="1"/>
  <c r="I60" i="2" s="1"/>
  <c r="C55" i="4"/>
  <c r="D31" i="6"/>
  <c r="C39" i="6" s="1"/>
  <c r="AZ47" i="4"/>
  <c r="C49" i="4"/>
  <c r="C60" i="4"/>
  <c r="D48" i="2" s="1"/>
  <c r="D50" i="2" s="1"/>
  <c r="D72" i="2" s="1"/>
  <c r="BC38" i="3" l="1"/>
  <c r="BD36" i="3" s="1"/>
  <c r="BC40" i="3"/>
  <c r="BC41" i="3" s="1"/>
  <c r="BC43" i="3" s="1"/>
  <c r="BC49" i="3" s="1"/>
  <c r="BD37" i="3"/>
  <c r="D15" i="6"/>
  <c r="D20" i="6" s="1"/>
  <c r="C51" i="4"/>
  <c r="D52" i="2" s="1"/>
  <c r="J60" i="2"/>
  <c r="K60" i="2" s="1"/>
  <c r="L60" i="2" s="1"/>
  <c r="O60" i="2"/>
  <c r="D76" i="2" s="1"/>
  <c r="BD40" i="3" l="1"/>
  <c r="BD41" i="3" s="1"/>
  <c r="BD43" i="3" s="1"/>
  <c r="BD49" i="3" s="1"/>
  <c r="BD38" i="3"/>
  <c r="BE36" i="3" s="1"/>
  <c r="M60" i="2"/>
  <c r="D53" i="2"/>
  <c r="BE37" i="3" l="1"/>
  <c r="BE40" i="3" l="1"/>
  <c r="BE41" i="3" s="1"/>
  <c r="BE43" i="3" s="1"/>
  <c r="BE38" i="3"/>
  <c r="BE49" i="3" l="1"/>
  <c r="C66" i="3"/>
  <c r="C55" i="3"/>
  <c r="C58" i="3" s="1"/>
  <c r="C65" i="3"/>
  <c r="C15" i="6"/>
  <c r="C20" i="6" s="1"/>
  <c r="C23" i="6" s="1"/>
  <c r="D37" i="2"/>
  <c r="D40" i="2" s="1"/>
  <c r="D41" i="2" l="1"/>
  <c r="Q59" i="2" s="1"/>
  <c r="I59" i="2" s="1"/>
  <c r="D73" i="2"/>
  <c r="D80" i="2" s="1"/>
  <c r="J59" i="2" l="1"/>
  <c r="K59" i="2" s="1"/>
  <c r="L59" i="2" s="1"/>
  <c r="M59" i="2" s="1"/>
  <c r="O59" i="2" l="1"/>
  <c r="D75" i="2" s="1"/>
  <c r="D7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Githu Mundenchira</author>
  </authors>
  <commentList>
    <comment ref="BA43" authorId="0" shapeId="0" xr:uid="{C0B6CB65-A23A-4A0B-9B9D-C1B7C5CFB2D7}">
      <text>
        <r>
          <rPr>
            <b/>
            <sz val="9"/>
            <color indexed="81"/>
            <rFont val="Tahoma"/>
            <charset val="1"/>
          </rPr>
          <t>CRRR Calculation paused at end of accounting useful life to simplify calculations</t>
        </r>
      </text>
    </comment>
  </commentList>
</comments>
</file>

<file path=xl/sharedStrings.xml><?xml version="1.0" encoding="utf-8"?>
<sst xmlns="http://schemas.openxmlformats.org/spreadsheetml/2006/main" count="218" uniqueCount="139">
  <si>
    <t>CAPEX / ISA</t>
  </si>
  <si>
    <t>Depreciation</t>
  </si>
  <si>
    <t>PILS</t>
  </si>
  <si>
    <t>Interest</t>
  </si>
  <si>
    <t>EUL</t>
  </si>
  <si>
    <t>Depreciation Rate</t>
  </si>
  <si>
    <t>ROE</t>
  </si>
  <si>
    <t>Opening PPE</t>
  </si>
  <si>
    <t>Closing PPE</t>
  </si>
  <si>
    <t>Average PPE</t>
  </si>
  <si>
    <t>Depreciation Exp.</t>
  </si>
  <si>
    <t>UCC Open</t>
  </si>
  <si>
    <t>UCC Close</t>
  </si>
  <si>
    <t>Taxable Earnings</t>
  </si>
  <si>
    <t>Revenue Requirement</t>
  </si>
  <si>
    <t>NWA OPEX</t>
  </si>
  <si>
    <t>Net Savings</t>
  </si>
  <si>
    <t>CCA (Class 47 @ 8%)</t>
  </si>
  <si>
    <t>2025 Capital Deferred</t>
  </si>
  <si>
    <t>2025 Capital Avoided</t>
  </si>
  <si>
    <t>Deferred Revenue Requirement</t>
  </si>
  <si>
    <t>NWA Opex</t>
  </si>
  <si>
    <t>EUL Avoided Revenue Requirement</t>
  </si>
  <si>
    <t>ROE-based Margin: NPV of Foregone ROE</t>
  </si>
  <si>
    <t>SSM: 50% of NPV of 5yr Savings</t>
  </si>
  <si>
    <t>SSM: 50% of NPV of EUL Savings</t>
  </si>
  <si>
    <t>ROE-based Margin: NPV of 5yr ROE Deferral</t>
  </si>
  <si>
    <t>Total Savings</t>
  </si>
  <si>
    <t>Total NPV of Savings</t>
  </si>
  <si>
    <t>NPV of Net Benefit to Ratepayers</t>
  </si>
  <si>
    <t>SSM Scenario</t>
  </si>
  <si>
    <t>ROE-Based Margin Scenario</t>
  </si>
  <si>
    <t>Assumptions</t>
  </si>
  <si>
    <t>5yr NWA Opex</t>
  </si>
  <si>
    <t>NPV of Savings</t>
  </si>
  <si>
    <t>WACC</t>
  </si>
  <si>
    <t>CRRR: Status Quo</t>
  </si>
  <si>
    <t>CRRR: 5yr Deferred</t>
  </si>
  <si>
    <t>NPV CRRR Status Quo</t>
  </si>
  <si>
    <t>NPV CRRR 5yr Deferred</t>
  </si>
  <si>
    <t>NPV NWA Opex</t>
  </si>
  <si>
    <t>Grossed-Up PILS</t>
  </si>
  <si>
    <t>NPV Savings</t>
  </si>
  <si>
    <t>5yr OM&amp;A Exp. for Deferral</t>
  </si>
  <si>
    <t>5yr OM&amp;A Exp. for Avoidance</t>
  </si>
  <si>
    <t>5yr LDR Budget</t>
  </si>
  <si>
    <t>ROE Status Quo vs Deferred</t>
  </si>
  <si>
    <t>NPV of ROE Status Quo</t>
  </si>
  <si>
    <t>NPV of ROE 5yr Deferral</t>
  </si>
  <si>
    <t>Net</t>
  </si>
  <si>
    <t>ROE: 5yr Deferral</t>
  </si>
  <si>
    <t>Incentive Amount</t>
  </si>
  <si>
    <t>SSM</t>
  </si>
  <si>
    <t>Margin-on-Payment (ROE)</t>
  </si>
  <si>
    <t>Proposed Fixed</t>
  </si>
  <si>
    <r>
      <t>SSM Total (NPV)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</si>
  <si>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ROE-Based Margin Total (NPV)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</si>
  <si>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1. Assuming disposition of amounts over 4 years 2031-2034</t>
  </si>
  <si>
    <t xml:space="preserve">Parameters </t>
  </si>
  <si>
    <t>2025 Capital Investment</t>
  </si>
  <si>
    <t>Key Parameters</t>
  </si>
  <si>
    <t>Capital Detail</t>
  </si>
  <si>
    <t>Depreciation Expense</t>
  </si>
  <si>
    <t>Equity Share</t>
  </si>
  <si>
    <t>Debt Share</t>
  </si>
  <si>
    <t>Net Asset Balance</t>
  </si>
  <si>
    <t>Calc 1</t>
  </si>
  <si>
    <t>Calc 2</t>
  </si>
  <si>
    <t>Year</t>
  </si>
  <si>
    <t>#</t>
  </si>
  <si>
    <t>Description</t>
  </si>
  <si>
    <t>Input</t>
  </si>
  <si>
    <t>2025 ROE and interest rates are held constant for the analysis term</t>
  </si>
  <si>
    <t>Deferred / avoided assets are load transfer projects with 48yr EUL.</t>
  </si>
  <si>
    <t>Deferred / avoided assets are Class 47 with CCA of 8%. 2024 phase out of AIIP which suspends the half-year rule for the purpose of calculating CCA.</t>
  </si>
  <si>
    <t>Proportionately less Opex NWA funding allocated to deferred, as opposed to avoided capital, given incremental value / benefit of avoided capital over deferred capital.</t>
  </si>
  <si>
    <t>For calculating capital avoidance savings, assumed that 5yrs of NWA Opex is sufficient to avoid capital investment for its EUL.</t>
  </si>
  <si>
    <t>NPV of 5yr ROE deferral assumes that the same asset would be installed 5 years later, devaluing ROE earned at that time due to future discounting.</t>
  </si>
  <si>
    <t>2025 Capital Total</t>
  </si>
  <si>
    <t>Savings from Deferred Capex</t>
  </si>
  <si>
    <t>Savings from Avoided Capex</t>
  </si>
  <si>
    <t>Nominal Savings</t>
  </si>
  <si>
    <t>1. Performance is assessed over the 2025 to 2029 period.</t>
  </si>
  <si>
    <t>2. Final results are recorded in 2030, and included in 2031 Annual Rate Application for disposition.</t>
  </si>
  <si>
    <t>3. Incentive is approved as filed.</t>
  </si>
  <si>
    <t>4. Incentive is disposed over a 4-year period from 2031-2034.</t>
  </si>
  <si>
    <t>Click (+) to expand</t>
  </si>
  <si>
    <t>Incentive Detail</t>
  </si>
  <si>
    <t>2025-2034 NPV</t>
  </si>
  <si>
    <t>2025-2034 Total</t>
  </si>
  <si>
    <t>2025-2029 Total</t>
  </si>
  <si>
    <t>2025-2073 NPV</t>
  </si>
  <si>
    <t>2025-2073 Total</t>
  </si>
  <si>
    <t>Notes</t>
  </si>
  <si>
    <t>See "5yr Deferral BCA" tab for subsequent detail</t>
  </si>
  <si>
    <t>See "Avoidance BCA" tab for subsequent detail</t>
  </si>
  <si>
    <t>Detail found in "5yr Deferral BCA" tab</t>
  </si>
  <si>
    <t>Detail found in "Avoidance BCA" tab</t>
  </si>
  <si>
    <t>Total Nominal Savings</t>
  </si>
  <si>
    <t>NWA Benefit-Cost Analysis</t>
  </si>
  <si>
    <t>Deferred Capital</t>
  </si>
  <si>
    <t>Avoided Capital</t>
  </si>
  <si>
    <t xml:space="preserve">in load transfer capital investment deferred for 5 years at an operational cost of </t>
  </si>
  <si>
    <t xml:space="preserve">in load transfer capital investment avoided over the life of the assets (48 years) at an operational cost of </t>
  </si>
  <si>
    <t>Costs</t>
  </si>
  <si>
    <t xml:space="preserve">NPV of the operational costs of the non-wires solution (2025-2029): </t>
  </si>
  <si>
    <t>+</t>
  </si>
  <si>
    <t xml:space="preserve">NPV of the revenue requirement associated with the load transfer capital investment to be made in 2030: </t>
  </si>
  <si>
    <t>=</t>
  </si>
  <si>
    <t>NPV Costs</t>
  </si>
  <si>
    <t>Benefits</t>
  </si>
  <si>
    <t xml:space="preserve">NPV of revenue requirement associated with capital investment deferred from 2025-29: </t>
  </si>
  <si>
    <t>NPV of revenue requirement associated with capital investment avoided in 2025 over the 48-year EUL:</t>
  </si>
  <si>
    <t>Less (-)</t>
  </si>
  <si>
    <t xml:space="preserve">NPV Costs: </t>
  </si>
  <si>
    <t>Equals (=)</t>
  </si>
  <si>
    <t>NPV Benefits</t>
  </si>
  <si>
    <t>Total</t>
  </si>
  <si>
    <t xml:space="preserve">Total NPV Benefits = </t>
  </si>
  <si>
    <t>Foregone Revenue analysis</t>
  </si>
  <si>
    <t>Approach</t>
  </si>
  <si>
    <t>Quantify the Net Present Value (NPV) of the foregone ROE associated with the deferred and avoied capital investments</t>
  </si>
  <si>
    <t>Parameters</t>
  </si>
  <si>
    <t>in load transfers capital investment deferred for 5 years (i.e. from 2025 to 2030)</t>
  </si>
  <si>
    <t>in load transfers capital investment avoided over the estimated useful life (EUL) of the assets (48 years)</t>
  </si>
  <si>
    <t>Lost of NPV of ROE</t>
  </si>
  <si>
    <t>NPV of foregone ROE:</t>
  </si>
  <si>
    <t>NPV of ROE associated with capital investment in 2030:</t>
  </si>
  <si>
    <t>NPV of foregone ROE</t>
  </si>
  <si>
    <t>Total NPV of Foregone Revenue:</t>
  </si>
  <si>
    <t>Combined Tax Rate</t>
  </si>
  <si>
    <t>CCA (Class 47) rate</t>
  </si>
  <si>
    <t>NPV of ROE Avoidance</t>
  </si>
  <si>
    <t>2025-29 Benefits only NOMINAL</t>
  </si>
  <si>
    <t>Life time Benefits NOMINAL</t>
  </si>
  <si>
    <t>Life time Benefits PV</t>
  </si>
  <si>
    <t>2025-29</t>
  </si>
  <si>
    <t>2030-34</t>
  </si>
  <si>
    <t>Discount rate based on Weighted Average Cost of Capital utilizing OEB’s 2023 Cost of Capital Parameters, resulting in WACC of 6.17%.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</si>
</sst>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_-&quot;$&quot;* #,##0_-;\-&quot;$&quot;* #,##0_-;_-&quot;$&quot;* &quot;-&quot;??_-;_-@_-"/>
    <numFmt numFmtId="166" formatCode="_-&quot;$&quot;* #,##0_-;\-&quot;$&quot;* #,##0_-;_-&quot;$&quot;* &quot;-&quot;????_-;_-@_-"/>
    <numFmt numFmtId="167" formatCode="0.0%"/>
    <numFmt numFmtId="168" formatCode="_(&quot;$&quot;* #,##0_);_(&quot;$&quot;* \(#,##0\);_(&quot;$&quot;* &quot;-&quot;??_);_(@_)"/>
    <numFmt numFmtId="169" formatCode="&quot;$&quot;#,##0.00,,&quot; Millions&quot;"/>
    <numFmt numFmtId="170" formatCode="_-&quot;$&quot;* #,##0.0_-;\-&quot;$&quot;* #,##0.0_-;_-&quot;$&quot;* &quot;-&quot;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0" fillId="0" borderId="1" xfId="0" applyBorder="1"/>
    <xf numFmtId="165" fontId="0" fillId="0" borderId="0" xfId="0" applyNumberFormat="1"/>
    <xf numFmtId="0" fontId="2" fillId="0" borderId="0" xfId="0" applyFont="1" applyAlignment="1">
      <alignment horizontal="right"/>
    </xf>
    <xf numFmtId="165" fontId="0" fillId="0" borderId="0" xfId="1" applyNumberFormat="1" applyFont="1"/>
    <xf numFmtId="10" fontId="0" fillId="0" borderId="0" xfId="2" applyNumberFormat="1" applyFont="1"/>
    <xf numFmtId="44" fontId="0" fillId="0" borderId="0" xfId="1" applyFont="1"/>
    <xf numFmtId="0" fontId="0" fillId="0" borderId="0" xfId="0" applyAlignment="1">
      <alignment horizontal="right"/>
    </xf>
    <xf numFmtId="165" fontId="2" fillId="0" borderId="0" xfId="0" applyNumberFormat="1" applyFont="1"/>
    <xf numFmtId="0" fontId="3" fillId="0" borderId="0" xfId="0" applyFont="1"/>
    <xf numFmtId="166" fontId="0" fillId="0" borderId="0" xfId="0" applyNumberFormat="1"/>
    <xf numFmtId="0" fontId="0" fillId="0" borderId="1" xfId="0" applyBorder="1" applyAlignment="1">
      <alignment horizontal="right"/>
    </xf>
    <xf numFmtId="164" fontId="0" fillId="0" borderId="0" xfId="0" applyNumberFormat="1"/>
    <xf numFmtId="8" fontId="0" fillId="0" borderId="0" xfId="0" applyNumberFormat="1"/>
    <xf numFmtId="16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5" fontId="0" fillId="0" borderId="0" xfId="1" applyNumberFormat="1" applyFont="1" applyFill="1" applyBorder="1"/>
    <xf numFmtId="1" fontId="0" fillId="2" borderId="0" xfId="0" applyNumberFormat="1" applyFill="1"/>
    <xf numFmtId="0" fontId="0" fillId="2" borderId="0" xfId="0" applyFill="1"/>
    <xf numFmtId="0" fontId="0" fillId="0" borderId="0" xfId="0" applyBorder="1" applyAlignment="1">
      <alignment horizontal="left"/>
    </xf>
    <xf numFmtId="10" fontId="0" fillId="2" borderId="0" xfId="2" applyNumberFormat="1" applyFont="1" applyFill="1"/>
    <xf numFmtId="0" fontId="2" fillId="0" borderId="4" xfId="0" applyFont="1" applyBorder="1"/>
    <xf numFmtId="0" fontId="0" fillId="0" borderId="4" xfId="0" applyBorder="1"/>
    <xf numFmtId="10" fontId="0" fillId="2" borderId="0" xfId="2" applyNumberFormat="1" applyFont="1" applyFill="1" applyBorder="1"/>
    <xf numFmtId="167" fontId="0" fillId="0" borderId="1" xfId="2" applyNumberFormat="1" applyFont="1" applyBorder="1"/>
    <xf numFmtId="10" fontId="2" fillId="0" borderId="4" xfId="2" applyNumberFormat="1" applyFont="1" applyBorder="1"/>
    <xf numFmtId="0" fontId="0" fillId="0" borderId="1" xfId="0" applyBorder="1" applyAlignment="1">
      <alignment horizontal="left"/>
    </xf>
    <xf numFmtId="165" fontId="0" fillId="0" borderId="1" xfId="1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7" fontId="0" fillId="2" borderId="0" xfId="2" applyNumberFormat="1" applyFont="1" applyFill="1"/>
    <xf numFmtId="0" fontId="0" fillId="0" borderId="4" xfId="0" applyFill="1" applyBorder="1"/>
    <xf numFmtId="1" fontId="0" fillId="0" borderId="0" xfId="0" applyNumberFormat="1" applyFill="1"/>
    <xf numFmtId="10" fontId="0" fillId="0" borderId="0" xfId="2" applyNumberFormat="1" applyFont="1" applyFill="1"/>
    <xf numFmtId="10" fontId="2" fillId="0" borderId="4" xfId="2" applyNumberFormat="1" applyFont="1" applyFill="1" applyBorder="1"/>
    <xf numFmtId="0" fontId="2" fillId="0" borderId="3" xfId="0" applyFont="1" applyBorder="1"/>
    <xf numFmtId="0" fontId="0" fillId="0" borderId="3" xfId="0" applyBorder="1"/>
    <xf numFmtId="167" fontId="0" fillId="0" borderId="0" xfId="2" applyNumberFormat="1" applyFont="1" applyFill="1" applyBorder="1"/>
    <xf numFmtId="0" fontId="0" fillId="4" borderId="0" xfId="0" applyFill="1"/>
    <xf numFmtId="0" fontId="0" fillId="3" borderId="0" xfId="0" applyFill="1"/>
    <xf numFmtId="167" fontId="0" fillId="0" borderId="0" xfId="2" applyNumberFormat="1" applyFont="1" applyFill="1" applyAlignment="1">
      <alignment horizontal="right"/>
    </xf>
    <xf numFmtId="0" fontId="2" fillId="0" borderId="0" xfId="0" applyFont="1" applyFill="1"/>
    <xf numFmtId="168" fontId="0" fillId="0" borderId="0" xfId="1" applyNumberFormat="1" applyFont="1" applyFill="1"/>
    <xf numFmtId="168" fontId="0" fillId="0" borderId="0" xfId="1" applyNumberFormat="1" applyFont="1"/>
    <xf numFmtId="168" fontId="0" fillId="3" borderId="0" xfId="1" applyNumberFormat="1" applyFont="1" applyFill="1"/>
    <xf numFmtId="168" fontId="5" fillId="4" borderId="0" xfId="1" applyNumberFormat="1" applyFont="1" applyFill="1"/>
    <xf numFmtId="168" fontId="0" fillId="4" borderId="0" xfId="1" applyNumberFormat="1" applyFont="1" applyFill="1" applyBorder="1"/>
    <xf numFmtId="168" fontId="0" fillId="0" borderId="0" xfId="1" applyNumberFormat="1" applyFont="1" applyFill="1" applyBorder="1"/>
    <xf numFmtId="168" fontId="0" fillId="0" borderId="0" xfId="1" applyNumberFormat="1" applyFont="1" applyBorder="1"/>
    <xf numFmtId="168" fontId="0" fillId="4" borderId="0" xfId="1" applyNumberFormat="1" applyFont="1" applyFill="1"/>
    <xf numFmtId="168" fontId="2" fillId="0" borderId="0" xfId="1" applyNumberFormat="1" applyFont="1"/>
    <xf numFmtId="168" fontId="2" fillId="0" borderId="0" xfId="1" applyNumberFormat="1" applyFont="1" applyFill="1"/>
    <xf numFmtId="168" fontId="5" fillId="3" borderId="0" xfId="1" applyNumberFormat="1" applyFont="1" applyFill="1"/>
    <xf numFmtId="0" fontId="0" fillId="0" borderId="0" xfId="0" applyAlignment="1">
      <alignment horizontal="left"/>
    </xf>
    <xf numFmtId="165" fontId="0" fillId="2" borderId="0" xfId="1" applyNumberFormat="1" applyFont="1" applyFill="1"/>
    <xf numFmtId="0" fontId="0" fillId="0" borderId="0" xfId="0" applyFont="1"/>
    <xf numFmtId="0" fontId="0" fillId="0" borderId="0" xfId="0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68" fontId="2" fillId="5" borderId="0" xfId="1" applyNumberFormat="1" applyFont="1" applyFill="1"/>
    <xf numFmtId="168" fontId="0" fillId="0" borderId="6" xfId="1" applyNumberFormat="1" applyFont="1" applyFill="1" applyBorder="1"/>
    <xf numFmtId="6" fontId="0" fillId="0" borderId="0" xfId="0" applyNumberFormat="1" applyFill="1"/>
    <xf numFmtId="0" fontId="0" fillId="0" borderId="2" xfId="0" applyBorder="1" applyAlignment="1">
      <alignment horizontal="right"/>
    </xf>
    <xf numFmtId="168" fontId="0" fillId="2" borderId="0" xfId="1" applyNumberFormat="1" applyFont="1" applyFill="1" applyBorder="1"/>
    <xf numFmtId="168" fontId="0" fillId="0" borderId="1" xfId="1" applyNumberFormat="1" applyFont="1" applyFill="1" applyBorder="1"/>
    <xf numFmtId="168" fontId="0" fillId="0" borderId="0" xfId="0" applyNumberFormat="1" applyFill="1" applyBorder="1"/>
    <xf numFmtId="168" fontId="0" fillId="0" borderId="2" xfId="1" applyNumberFormat="1" applyFont="1" applyFill="1" applyBorder="1"/>
    <xf numFmtId="168" fontId="0" fillId="0" borderId="2" xfId="0" applyNumberFormat="1" applyFill="1" applyBorder="1"/>
    <xf numFmtId="168" fontId="0" fillId="0" borderId="1" xfId="0" applyNumberFormat="1" applyFill="1" applyBorder="1"/>
    <xf numFmtId="168" fontId="0" fillId="0" borderId="0" xfId="0" applyNumberFormat="1" applyBorder="1" applyAlignment="1">
      <alignment horizontal="right"/>
    </xf>
    <xf numFmtId="168" fontId="0" fillId="0" borderId="3" xfId="0" applyNumberFormat="1" applyFill="1" applyBorder="1"/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right"/>
    </xf>
    <xf numFmtId="168" fontId="2" fillId="0" borderId="0" xfId="0" applyNumberFormat="1" applyFont="1" applyBorder="1"/>
    <xf numFmtId="168" fontId="0" fillId="0" borderId="0" xfId="0" applyNumberFormat="1" applyBorder="1"/>
    <xf numFmtId="168" fontId="2" fillId="0" borderId="0" xfId="0" applyNumberFormat="1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168" fontId="0" fillId="0" borderId="5" xfId="0" applyNumberFormat="1" applyBorder="1"/>
    <xf numFmtId="168" fontId="2" fillId="0" borderId="5" xfId="0" applyNumberFormat="1" applyFont="1" applyBorder="1"/>
    <xf numFmtId="168" fontId="2" fillId="0" borderId="1" xfId="0" applyNumberFormat="1" applyFont="1" applyBorder="1" applyAlignment="1">
      <alignment horizontal="center" vertical="center"/>
    </xf>
    <xf numFmtId="0" fontId="6" fillId="5" borderId="0" xfId="0" applyFont="1" applyFill="1" applyBorder="1"/>
    <xf numFmtId="0" fontId="5" fillId="5" borderId="0" xfId="0" applyFont="1" applyFill="1" applyBorder="1"/>
    <xf numFmtId="168" fontId="0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168" fontId="0" fillId="0" borderId="5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168" fontId="2" fillId="0" borderId="0" xfId="0" applyNumberFormat="1" applyFont="1" applyFill="1" applyBorder="1"/>
    <xf numFmtId="0" fontId="2" fillId="0" borderId="4" xfId="0" applyFont="1" applyBorder="1" applyAlignment="1">
      <alignment horizontal="left"/>
    </xf>
    <xf numFmtId="0" fontId="8" fillId="0" borderId="0" xfId="0" applyFont="1" applyFill="1" applyBorder="1"/>
    <xf numFmtId="168" fontId="0" fillId="5" borderId="0" xfId="0" applyNumberFormat="1" applyFill="1" applyBorder="1" applyAlignment="1">
      <alignment horizontal="right"/>
    </xf>
    <xf numFmtId="168" fontId="0" fillId="5" borderId="0" xfId="0" applyNumberFormat="1" applyFill="1" applyBorder="1"/>
    <xf numFmtId="0" fontId="0" fillId="5" borderId="0" xfId="0" applyFill="1"/>
    <xf numFmtId="0" fontId="2" fillId="5" borderId="0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167" fontId="0" fillId="0" borderId="0" xfId="2" applyNumberFormat="1" applyFont="1" applyFill="1"/>
    <xf numFmtId="167" fontId="0" fillId="0" borderId="0" xfId="0" applyNumberFormat="1" applyFill="1"/>
    <xf numFmtId="9" fontId="0" fillId="0" borderId="0" xfId="0" applyNumberFormat="1" applyFill="1"/>
    <xf numFmtId="0" fontId="2" fillId="5" borderId="0" xfId="0" applyFont="1" applyFill="1"/>
    <xf numFmtId="0" fontId="3" fillId="5" borderId="0" xfId="0" applyFont="1" applyFill="1"/>
    <xf numFmtId="0" fontId="8" fillId="0" borderId="0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0" fontId="2" fillId="0" borderId="8" xfId="2" applyNumberFormat="1" applyFont="1" applyBorder="1" applyAlignment="1">
      <alignment horizontal="center" wrapText="1"/>
    </xf>
    <xf numFmtId="0" fontId="2" fillId="0" borderId="9" xfId="0" applyFon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10" fontId="2" fillId="0" borderId="8" xfId="2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vertical="top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169" fontId="2" fillId="0" borderId="0" xfId="0" applyNumberFormat="1" applyFont="1" applyBorder="1" applyAlignment="1">
      <alignment horizontal="center" vertical="top" wrapText="1"/>
    </xf>
    <xf numFmtId="169" fontId="2" fillId="0" borderId="1" xfId="0" applyNumberFormat="1" applyFont="1" applyBorder="1" applyAlignment="1">
      <alignment horizontal="center" vertical="top" wrapText="1"/>
    </xf>
    <xf numFmtId="169" fontId="2" fillId="0" borderId="1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69" fontId="2" fillId="0" borderId="12" xfId="0" applyNumberFormat="1" applyFont="1" applyBorder="1" applyAlignment="1">
      <alignment horizontal="center" vertical="top" wrapText="1"/>
    </xf>
    <xf numFmtId="0" fontId="10" fillId="0" borderId="0" xfId="0" quotePrefix="1" applyFont="1" applyBorder="1" applyAlignment="1">
      <alignment horizontal="center" vertical="top" wrapText="1"/>
    </xf>
    <xf numFmtId="167" fontId="0" fillId="0" borderId="0" xfId="2" applyNumberFormat="1" applyFont="1" applyBorder="1"/>
    <xf numFmtId="9" fontId="0" fillId="2" borderId="0" xfId="2" applyFont="1" applyFill="1" applyBorder="1"/>
    <xf numFmtId="9" fontId="0" fillId="0" borderId="1" xfId="0" applyNumberFormat="1" applyBorder="1" applyAlignment="1">
      <alignment horizontal="right"/>
    </xf>
    <xf numFmtId="168" fontId="0" fillId="6" borderId="0" xfId="1" applyNumberFormat="1" applyFont="1" applyFill="1" applyBorder="1"/>
    <xf numFmtId="0" fontId="0" fillId="0" borderId="0" xfId="0" applyFill="1" applyAlignment="1">
      <alignment horizontal="center" vertical="center"/>
    </xf>
    <xf numFmtId="168" fontId="0" fillId="0" borderId="0" xfId="0" applyNumberFormat="1" applyFont="1" applyFill="1" applyBorder="1" applyAlignment="1">
      <alignment horizontal="center" vertical="center"/>
    </xf>
    <xf numFmtId="168" fontId="0" fillId="0" borderId="5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168" fontId="2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168" fontId="0" fillId="0" borderId="0" xfId="0" applyNumberFormat="1"/>
    <xf numFmtId="170" fontId="0" fillId="0" borderId="0" xfId="0" applyNumberFormat="1"/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169" fontId="2" fillId="0" borderId="1" xfId="0" applyNumberFormat="1" applyFont="1" applyBorder="1" applyAlignment="1">
      <alignment horizontal="center" vertical="top" wrapText="1"/>
    </xf>
    <xf numFmtId="169" fontId="2" fillId="0" borderId="1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A3A0-0D04-4C6D-AD93-847102FC4D14}">
  <dimension ref="B1:D39"/>
  <sheetViews>
    <sheetView showGridLines="0" tabSelected="1" zoomScale="80" zoomScaleNormal="80" workbookViewId="0"/>
  </sheetViews>
  <sheetFormatPr defaultRowHeight="14.4" x14ac:dyDescent="0.3"/>
  <cols>
    <col min="1" max="1" width="3.21875" customWidth="1"/>
    <col min="2" max="2" width="23.44140625" customWidth="1"/>
    <col min="3" max="4" width="42.77734375" customWidth="1"/>
    <col min="5" max="7" width="14" customWidth="1"/>
    <col min="8" max="8" width="16.77734375" bestFit="1" customWidth="1"/>
    <col min="9" max="13" width="17.77734375" customWidth="1"/>
    <col min="14" max="14" width="2.21875" customWidth="1"/>
    <col min="15" max="15" width="16.5546875" customWidth="1"/>
    <col min="16" max="16" width="2.77734375" customWidth="1"/>
    <col min="17" max="17" width="17.21875" customWidth="1"/>
  </cols>
  <sheetData>
    <row r="1" spans="2:4" ht="15.6" x14ac:dyDescent="0.3">
      <c r="B1" s="118" t="s">
        <v>99</v>
      </c>
    </row>
    <row r="2" spans="2:4" ht="15" thickBot="1" x14ac:dyDescent="0.35">
      <c r="B2" s="119"/>
      <c r="C2" s="120" t="s">
        <v>100</v>
      </c>
      <c r="D2" s="121" t="s">
        <v>101</v>
      </c>
    </row>
    <row r="3" spans="2:4" x14ac:dyDescent="0.3">
      <c r="B3" s="122" t="s">
        <v>58</v>
      </c>
      <c r="C3" s="138">
        <f>'Assumptions and Summary'!D18</f>
        <v>2500000</v>
      </c>
      <c r="D3" s="140">
        <f>'Assumptions and Summary'!D19</f>
        <v>7500000</v>
      </c>
    </row>
    <row r="4" spans="2:4" ht="43.2" x14ac:dyDescent="0.3">
      <c r="B4" s="122"/>
      <c r="C4" s="141" t="s">
        <v>102</v>
      </c>
      <c r="D4" s="124" t="s">
        <v>103</v>
      </c>
    </row>
    <row r="5" spans="2:4" x14ac:dyDescent="0.3">
      <c r="B5" s="125"/>
      <c r="C5" s="139">
        <f>'Assumptions and Summary'!H24</f>
        <v>712500</v>
      </c>
      <c r="D5" s="142">
        <f>'Assumptions and Summary'!H25</f>
        <v>4987500</v>
      </c>
    </row>
    <row r="6" spans="2:4" ht="28.8" x14ac:dyDescent="0.3">
      <c r="B6" s="122" t="s">
        <v>104</v>
      </c>
      <c r="C6" s="141" t="s">
        <v>105</v>
      </c>
      <c r="D6" s="124" t="s">
        <v>105</v>
      </c>
    </row>
    <row r="7" spans="2:4" x14ac:dyDescent="0.3">
      <c r="B7" s="122"/>
      <c r="C7" s="138">
        <f>'5yr Deferral BCA'!C57</f>
        <v>571748.49378471484</v>
      </c>
      <c r="D7" s="140">
        <f>'Avoidance BCA'!C50</f>
        <v>4002239.4564930042</v>
      </c>
    </row>
    <row r="8" spans="2:4" x14ac:dyDescent="0.3">
      <c r="B8" s="122"/>
      <c r="C8" s="143" t="s">
        <v>106</v>
      </c>
      <c r="D8" s="124"/>
    </row>
    <row r="9" spans="2:4" ht="43.2" x14ac:dyDescent="0.3">
      <c r="B9" s="122"/>
      <c r="C9" s="141" t="s">
        <v>107</v>
      </c>
      <c r="D9" s="124"/>
    </row>
    <row r="10" spans="2:4" x14ac:dyDescent="0.3">
      <c r="B10" s="122"/>
      <c r="C10" s="138">
        <f>'5yr Deferral BCA'!C56</f>
        <v>1876128.6221036143</v>
      </c>
      <c r="D10" s="124"/>
    </row>
    <row r="11" spans="2:4" x14ac:dyDescent="0.3">
      <c r="B11" s="122"/>
      <c r="C11" s="143" t="s">
        <v>108</v>
      </c>
      <c r="D11" s="124"/>
    </row>
    <row r="12" spans="2:4" x14ac:dyDescent="0.3">
      <c r="B12" s="122"/>
      <c r="C12" s="138">
        <f>C7+C10</f>
        <v>2447877.1158883292</v>
      </c>
      <c r="D12" s="124"/>
    </row>
    <row r="13" spans="2:4" x14ac:dyDescent="0.3">
      <c r="B13" s="125"/>
      <c r="C13" s="126" t="s">
        <v>109</v>
      </c>
      <c r="D13" s="127"/>
    </row>
    <row r="14" spans="2:4" ht="43.2" x14ac:dyDescent="0.3">
      <c r="B14" s="122" t="s">
        <v>110</v>
      </c>
      <c r="C14" s="123" t="s">
        <v>111</v>
      </c>
      <c r="D14" s="124" t="s">
        <v>112</v>
      </c>
    </row>
    <row r="15" spans="2:4" x14ac:dyDescent="0.3">
      <c r="B15" s="122"/>
      <c r="C15" s="138">
        <f>'5yr Deferral BCA'!C55</f>
        <v>2530642.4564447957</v>
      </c>
      <c r="D15" s="140">
        <f>'Avoidance BCA'!C49</f>
        <v>7591927.3693343885</v>
      </c>
    </row>
    <row r="16" spans="2:4" x14ac:dyDescent="0.3">
      <c r="B16" s="122"/>
      <c r="C16" s="128" t="s">
        <v>113</v>
      </c>
      <c r="D16" s="129" t="s">
        <v>113</v>
      </c>
    </row>
    <row r="17" spans="2:4" x14ac:dyDescent="0.3">
      <c r="B17" s="122"/>
      <c r="C17" s="123" t="s">
        <v>114</v>
      </c>
      <c r="D17" s="124" t="s">
        <v>114</v>
      </c>
    </row>
    <row r="18" spans="2:4" x14ac:dyDescent="0.3">
      <c r="B18" s="122"/>
      <c r="C18" s="138">
        <f>C12</f>
        <v>2447877.1158883292</v>
      </c>
      <c r="D18" s="140">
        <f>D7</f>
        <v>4002239.4564930042</v>
      </c>
    </row>
    <row r="19" spans="2:4" x14ac:dyDescent="0.3">
      <c r="B19" s="122"/>
      <c r="C19" s="128" t="s">
        <v>115</v>
      </c>
      <c r="D19" s="129" t="s">
        <v>115</v>
      </c>
    </row>
    <row r="20" spans="2:4" x14ac:dyDescent="0.3">
      <c r="B20" s="122"/>
      <c r="C20" s="138">
        <f>C15-C18</f>
        <v>82765.340556466486</v>
      </c>
      <c r="D20" s="140">
        <f>D15-D18</f>
        <v>3589687.9128413843</v>
      </c>
    </row>
    <row r="21" spans="2:4" x14ac:dyDescent="0.3">
      <c r="B21" s="125"/>
      <c r="C21" s="126" t="s">
        <v>116</v>
      </c>
      <c r="D21" s="127" t="s">
        <v>116</v>
      </c>
    </row>
    <row r="22" spans="2:4" x14ac:dyDescent="0.3">
      <c r="B22" s="130" t="s">
        <v>117</v>
      </c>
      <c r="C22" s="156" t="s">
        <v>118</v>
      </c>
      <c r="D22" s="157"/>
    </row>
    <row r="23" spans="2:4" x14ac:dyDescent="0.3">
      <c r="B23" s="131"/>
      <c r="C23" s="158">
        <f>C20+D20</f>
        <v>3672453.2533978508</v>
      </c>
      <c r="D23" s="159"/>
    </row>
    <row r="25" spans="2:4" ht="15.6" x14ac:dyDescent="0.3">
      <c r="B25" s="118" t="s">
        <v>119</v>
      </c>
    </row>
    <row r="26" spans="2:4" ht="15" thickBot="1" x14ac:dyDescent="0.35">
      <c r="B26" s="132"/>
      <c r="C26" s="133" t="s">
        <v>100</v>
      </c>
      <c r="D26" s="134" t="s">
        <v>101</v>
      </c>
    </row>
    <row r="27" spans="2:4" ht="43.2" x14ac:dyDescent="0.3">
      <c r="B27" s="135" t="s">
        <v>120</v>
      </c>
      <c r="C27" s="136" t="s">
        <v>121</v>
      </c>
      <c r="D27" s="137"/>
    </row>
    <row r="28" spans="2:4" x14ac:dyDescent="0.3">
      <c r="B28" s="122" t="s">
        <v>122</v>
      </c>
      <c r="C28" s="138">
        <f>'Assumptions and Summary'!D18</f>
        <v>2500000</v>
      </c>
      <c r="D28" s="140">
        <f>'Assumptions and Summary'!D19</f>
        <v>7500000</v>
      </c>
    </row>
    <row r="29" spans="2:4" ht="43.2" x14ac:dyDescent="0.3">
      <c r="B29" s="125"/>
      <c r="C29" s="126" t="s">
        <v>123</v>
      </c>
      <c r="D29" s="127" t="s">
        <v>124</v>
      </c>
    </row>
    <row r="30" spans="2:4" x14ac:dyDescent="0.3">
      <c r="B30" s="122" t="s">
        <v>125</v>
      </c>
      <c r="C30" s="123" t="s">
        <v>126</v>
      </c>
      <c r="D30" s="124" t="s">
        <v>126</v>
      </c>
    </row>
    <row r="31" spans="2:4" x14ac:dyDescent="0.3">
      <c r="B31" s="122"/>
      <c r="C31" s="138">
        <f>'5yr Deferral BCA'!C60</f>
        <v>989410.90991072869</v>
      </c>
      <c r="D31" s="140">
        <f>'Avoidance BCA'!C53</f>
        <v>2968232.7297321851</v>
      </c>
    </row>
    <row r="32" spans="2:4" x14ac:dyDescent="0.3">
      <c r="B32" s="122"/>
      <c r="C32" s="128" t="s">
        <v>113</v>
      </c>
      <c r="D32" s="124"/>
    </row>
    <row r="33" spans="2:4" ht="28.8" x14ac:dyDescent="0.3">
      <c r="B33" s="122"/>
      <c r="C33" s="123" t="s">
        <v>127</v>
      </c>
      <c r="D33" s="124"/>
    </row>
    <row r="34" spans="2:4" x14ac:dyDescent="0.3">
      <c r="B34" s="122"/>
      <c r="C34" s="138">
        <f>'5yr Deferral BCA'!C61</f>
        <v>733514.18031328381</v>
      </c>
      <c r="D34" s="124"/>
    </row>
    <row r="35" spans="2:4" x14ac:dyDescent="0.3">
      <c r="B35" s="122"/>
      <c r="C35" s="128" t="s">
        <v>115</v>
      </c>
      <c r="D35" s="124"/>
    </row>
    <row r="36" spans="2:4" x14ac:dyDescent="0.3">
      <c r="B36" s="122"/>
      <c r="C36" s="138">
        <f>C31-C34</f>
        <v>255896.72959744488</v>
      </c>
      <c r="D36" s="124"/>
    </row>
    <row r="37" spans="2:4" x14ac:dyDescent="0.3">
      <c r="B37" s="125"/>
      <c r="C37" s="126" t="s">
        <v>128</v>
      </c>
      <c r="D37" s="127"/>
    </row>
    <row r="38" spans="2:4" x14ac:dyDescent="0.3">
      <c r="B38" s="122" t="s">
        <v>117</v>
      </c>
      <c r="C38" s="160" t="s">
        <v>129</v>
      </c>
      <c r="D38" s="161"/>
    </row>
    <row r="39" spans="2:4" x14ac:dyDescent="0.3">
      <c r="B39" s="125"/>
      <c r="C39" s="158">
        <f>C36+D31</f>
        <v>3224129.4593296302</v>
      </c>
      <c r="D39" s="159"/>
    </row>
  </sheetData>
  <mergeCells count="4">
    <mergeCell ref="C22:D22"/>
    <mergeCell ref="C23:D23"/>
    <mergeCell ref="C38:D38"/>
    <mergeCell ref="C39:D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391-43CE-42D3-910B-47F4BE8D3D19}">
  <dimension ref="A2:S84"/>
  <sheetViews>
    <sheetView showGridLines="0" zoomScale="80" zoomScaleNormal="80" workbookViewId="0"/>
  </sheetViews>
  <sheetFormatPr defaultRowHeight="14.4" outlineLevelRow="1" x14ac:dyDescent="0.3"/>
  <cols>
    <col min="1" max="1" width="3.21875" customWidth="1"/>
    <col min="2" max="2" width="39.21875" customWidth="1"/>
    <col min="3" max="3" width="17.44140625" bestFit="1" customWidth="1"/>
    <col min="4" max="7" width="14" customWidth="1"/>
    <col min="8" max="8" width="16.77734375" bestFit="1" customWidth="1"/>
    <col min="9" max="13" width="17.77734375" customWidth="1"/>
    <col min="14" max="14" width="2.21875" customWidth="1"/>
    <col min="15" max="15" width="16.5546875" customWidth="1"/>
    <col min="16" max="16" width="2.77734375" customWidth="1"/>
    <col min="17" max="17" width="17.21875" customWidth="1"/>
  </cols>
  <sheetData>
    <row r="2" spans="2:4" x14ac:dyDescent="0.3">
      <c r="B2" s="24" t="s">
        <v>71</v>
      </c>
    </row>
    <row r="4" spans="2:4" ht="15" thickBot="1" x14ac:dyDescent="0.35">
      <c r="B4" s="27" t="s">
        <v>60</v>
      </c>
      <c r="C4" s="28"/>
    </row>
    <row r="5" spans="2:4" hidden="1" outlineLevel="1" x14ac:dyDescent="0.3">
      <c r="B5" t="s">
        <v>6</v>
      </c>
      <c r="C5" s="26">
        <v>9.3600000000000003E-2</v>
      </c>
    </row>
    <row r="6" spans="2:4" hidden="1" outlineLevel="1" x14ac:dyDescent="0.3">
      <c r="B6" t="s">
        <v>63</v>
      </c>
      <c r="C6" s="36">
        <v>0.4</v>
      </c>
    </row>
    <row r="7" spans="2:4" hidden="1" outlineLevel="1" x14ac:dyDescent="0.3">
      <c r="B7" s="18" t="s">
        <v>3</v>
      </c>
      <c r="C7" s="29">
        <v>4.0399999999999998E-2</v>
      </c>
    </row>
    <row r="8" spans="2:4" hidden="1" outlineLevel="1" x14ac:dyDescent="0.3">
      <c r="B8" s="20" t="s">
        <v>64</v>
      </c>
      <c r="C8" s="43">
        <f>1-C6</f>
        <v>0.6</v>
      </c>
    </row>
    <row r="9" spans="2:4" hidden="1" outlineLevel="1" x14ac:dyDescent="0.3">
      <c r="B9" t="s">
        <v>4</v>
      </c>
      <c r="C9" s="23">
        <v>48</v>
      </c>
    </row>
    <row r="10" spans="2:4" hidden="1" outlineLevel="1" x14ac:dyDescent="0.3">
      <c r="B10" s="20" t="s">
        <v>5</v>
      </c>
      <c r="C10" s="144">
        <f>1/C9</f>
        <v>2.0833333333333332E-2</v>
      </c>
    </row>
    <row r="11" spans="2:4" hidden="1" outlineLevel="1" x14ac:dyDescent="0.3">
      <c r="B11" s="20" t="s">
        <v>131</v>
      </c>
      <c r="C11" s="144">
        <v>0.08</v>
      </c>
    </row>
    <row r="12" spans="2:4" hidden="1" outlineLevel="1" x14ac:dyDescent="0.3">
      <c r="B12" s="2" t="s">
        <v>130</v>
      </c>
      <c r="C12" s="30">
        <v>0.26500000000000001</v>
      </c>
    </row>
    <row r="13" spans="2:4" ht="13.5" customHeight="1" collapsed="1" x14ac:dyDescent="0.3">
      <c r="C13" s="6"/>
    </row>
    <row r="14" spans="2:4" x14ac:dyDescent="0.3">
      <c r="B14" t="s">
        <v>35</v>
      </c>
      <c r="C14" s="6">
        <f>C5*C6+C7*C8</f>
        <v>6.1679999999999999E-2</v>
      </c>
    </row>
    <row r="15" spans="2:4" ht="7.5" customHeight="1" x14ac:dyDescent="0.3">
      <c r="C15" s="6"/>
    </row>
    <row r="16" spans="2:4" ht="15" thickBot="1" x14ac:dyDescent="0.35">
      <c r="B16" s="27" t="s">
        <v>61</v>
      </c>
      <c r="C16" s="27"/>
      <c r="D16" s="31"/>
    </row>
    <row r="17" spans="1:19" hidden="1" outlineLevel="1" x14ac:dyDescent="0.3">
      <c r="B17" s="25" t="s">
        <v>78</v>
      </c>
      <c r="C17" s="25"/>
      <c r="D17" s="76">
        <v>10000000</v>
      </c>
      <c r="E17" s="18"/>
      <c r="F17" s="18"/>
      <c r="G17" s="18"/>
      <c r="H17" s="18"/>
      <c r="I17" s="18"/>
      <c r="J17" s="18"/>
    </row>
    <row r="18" spans="1:19" hidden="1" outlineLevel="1" x14ac:dyDescent="0.3">
      <c r="B18" s="25" t="s">
        <v>18</v>
      </c>
      <c r="C18" s="145">
        <v>0.25</v>
      </c>
      <c r="D18" s="147">
        <f>C18*D17</f>
        <v>2500000</v>
      </c>
      <c r="E18" s="117" t="s">
        <v>95</v>
      </c>
      <c r="F18" s="18"/>
      <c r="G18" s="18"/>
      <c r="H18" s="18"/>
      <c r="I18" s="18"/>
      <c r="J18" s="18"/>
    </row>
    <row r="19" spans="1:19" hidden="1" outlineLevel="1" x14ac:dyDescent="0.3">
      <c r="B19" s="32" t="s">
        <v>19</v>
      </c>
      <c r="C19" s="146">
        <f>1-C18</f>
        <v>0.75</v>
      </c>
      <c r="D19" s="77">
        <f>C19*D17</f>
        <v>7500000</v>
      </c>
      <c r="E19" s="117" t="s">
        <v>94</v>
      </c>
      <c r="F19" s="18"/>
      <c r="G19" s="18"/>
      <c r="H19" s="20"/>
      <c r="I19" s="20"/>
      <c r="J19" s="18"/>
    </row>
    <row r="20" spans="1:19" collapsed="1" x14ac:dyDescent="0.3">
      <c r="B20" s="25"/>
      <c r="C20" s="22"/>
      <c r="D20" s="18"/>
      <c r="E20" s="18"/>
      <c r="F20" s="18"/>
      <c r="G20" s="18"/>
      <c r="H20" s="20"/>
      <c r="I20" s="20"/>
      <c r="J20" s="18"/>
    </row>
    <row r="21" spans="1:19" ht="15" thickBot="1" x14ac:dyDescent="0.35">
      <c r="B21" s="104"/>
      <c r="C21" s="34">
        <v>2025</v>
      </c>
      <c r="D21" s="34">
        <v>2026</v>
      </c>
      <c r="E21" s="34">
        <v>2027</v>
      </c>
      <c r="F21" s="34">
        <v>2028</v>
      </c>
      <c r="G21" s="34">
        <v>2029</v>
      </c>
      <c r="H21" s="35" t="s">
        <v>90</v>
      </c>
      <c r="I21" s="19"/>
    </row>
    <row r="22" spans="1:19" x14ac:dyDescent="0.3">
      <c r="B22" s="17" t="s">
        <v>45</v>
      </c>
      <c r="C22" s="76">
        <v>200000</v>
      </c>
      <c r="D22" s="76">
        <v>900000</v>
      </c>
      <c r="E22" s="76">
        <v>1100000</v>
      </c>
      <c r="F22" s="76">
        <v>1600000</v>
      </c>
      <c r="G22" s="76">
        <v>1900000</v>
      </c>
      <c r="H22" s="78">
        <f>SUM(C22:G22)</f>
        <v>5700000</v>
      </c>
      <c r="I22" s="19"/>
    </row>
    <row r="23" spans="1:19" ht="9" customHeight="1" x14ac:dyDescent="0.3">
      <c r="A23" s="20"/>
      <c r="B23" s="21"/>
      <c r="C23" s="53"/>
      <c r="D23" s="53"/>
      <c r="E23" s="53"/>
      <c r="F23" s="53"/>
      <c r="G23" s="53"/>
      <c r="H23" s="78"/>
      <c r="I23" s="20"/>
      <c r="J23" s="20"/>
      <c r="K23" s="20"/>
    </row>
    <row r="24" spans="1:19" x14ac:dyDescent="0.3">
      <c r="B24" s="75" t="s">
        <v>43</v>
      </c>
      <c r="C24" s="79">
        <f>(($D$18/($D$18+$D$19)/2)*C22)</f>
        <v>25000</v>
      </c>
      <c r="D24" s="79">
        <f>(($D$18/($D$18+$D$19)/2)*D22)</f>
        <v>112500</v>
      </c>
      <c r="E24" s="79">
        <f>(($D$18/($D$18+$D$19)/2)*E22)</f>
        <v>137500</v>
      </c>
      <c r="F24" s="79">
        <f>(($D$18/($D$18+$D$19)/2)*F22)</f>
        <v>200000</v>
      </c>
      <c r="G24" s="79">
        <f>(($D$18/($D$18+$D$19)/2)*G22)</f>
        <v>237500</v>
      </c>
      <c r="H24" s="80">
        <f>SUM(C24:G24)</f>
        <v>712500</v>
      </c>
      <c r="I24" s="19"/>
    </row>
    <row r="25" spans="1:19" x14ac:dyDescent="0.3">
      <c r="B25" s="12" t="s">
        <v>44</v>
      </c>
      <c r="C25" s="77">
        <f>C22-C24</f>
        <v>175000</v>
      </c>
      <c r="D25" s="77">
        <f>D22-D24</f>
        <v>787500</v>
      </c>
      <c r="E25" s="77">
        <f>E22-E24</f>
        <v>962500</v>
      </c>
      <c r="F25" s="77">
        <f>F22-F24</f>
        <v>1400000</v>
      </c>
      <c r="G25" s="77">
        <f>G22-G24</f>
        <v>1662500</v>
      </c>
      <c r="H25" s="81">
        <f>SUM(C25:G25)</f>
        <v>4987500</v>
      </c>
      <c r="I25" s="19"/>
    </row>
    <row r="26" spans="1:19" x14ac:dyDescent="0.3">
      <c r="B26" s="17"/>
      <c r="C26" s="82"/>
      <c r="D26" s="82"/>
      <c r="E26" s="82"/>
      <c r="F26" s="82"/>
      <c r="G26" s="82"/>
      <c r="H26" s="83">
        <f>SUM(H24:H25)</f>
        <v>5700000</v>
      </c>
      <c r="I26" s="19"/>
    </row>
    <row r="27" spans="1:19" x14ac:dyDescent="0.3">
      <c r="B27" s="17"/>
      <c r="C27" s="82"/>
      <c r="D27" s="82"/>
      <c r="E27" s="82"/>
      <c r="F27" s="82"/>
      <c r="G27" s="82"/>
      <c r="H27" s="78"/>
      <c r="I27" s="19"/>
    </row>
    <row r="28" spans="1:19" x14ac:dyDescent="0.3">
      <c r="B28" s="96" t="s">
        <v>79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 x14ac:dyDescent="0.3">
      <c r="B29" s="117" t="s">
        <v>96</v>
      </c>
      <c r="C29" s="18"/>
      <c r="D29" s="18"/>
      <c r="E29" s="18"/>
      <c r="F29" s="18"/>
      <c r="G29" s="18"/>
      <c r="H29" s="20"/>
      <c r="I29" s="19"/>
    </row>
    <row r="30" spans="1:19" x14ac:dyDescent="0.3">
      <c r="B30" s="18"/>
      <c r="C30" s="18"/>
      <c r="D30" s="18"/>
      <c r="E30" s="18"/>
      <c r="F30" s="18"/>
      <c r="G30" s="18"/>
      <c r="H30" s="20"/>
      <c r="I30" s="19"/>
    </row>
    <row r="31" spans="1:19" ht="15" thickBot="1" x14ac:dyDescent="0.35">
      <c r="B31" s="91"/>
      <c r="C31" s="27">
        <v>2025</v>
      </c>
      <c r="D31" s="27">
        <v>2026</v>
      </c>
      <c r="E31" s="27">
        <v>2027</v>
      </c>
      <c r="F31" s="27">
        <v>2028</v>
      </c>
      <c r="G31" s="27">
        <v>2029</v>
      </c>
      <c r="H31" s="35" t="s">
        <v>90</v>
      </c>
      <c r="I31" s="19"/>
    </row>
    <row r="32" spans="1:19" x14ac:dyDescent="0.3">
      <c r="B32" s="17" t="s">
        <v>20</v>
      </c>
      <c r="C32" s="54">
        <f>'5yr Deferral BCA'!D43</f>
        <v>56316.574546485244</v>
      </c>
      <c r="D32" s="54">
        <f>'5yr Deferral BCA'!E43</f>
        <v>188552.91950113376</v>
      </c>
      <c r="E32" s="54">
        <f>'5yr Deferral BCA'!F43</f>
        <v>189944.56916099769</v>
      </c>
      <c r="F32" s="54">
        <f>'5yr Deferral BCA'!G43</f>
        <v>190911.64195011329</v>
      </c>
      <c r="G32" s="54">
        <f>'5yr Deferral BCA'!H43</f>
        <v>191488.10401814056</v>
      </c>
      <c r="H32" s="88">
        <f>SUM(C32:G32)</f>
        <v>817213.80917687062</v>
      </c>
      <c r="I32" s="19"/>
    </row>
    <row r="33" spans="2:19" ht="15" thickBot="1" x14ac:dyDescent="0.35">
      <c r="B33" s="92" t="s">
        <v>21</v>
      </c>
      <c r="C33" s="93">
        <f>C24</f>
        <v>25000</v>
      </c>
      <c r="D33" s="93">
        <f>D24</f>
        <v>112500</v>
      </c>
      <c r="E33" s="93">
        <f>E24</f>
        <v>137500</v>
      </c>
      <c r="F33" s="93">
        <f>F24</f>
        <v>200000</v>
      </c>
      <c r="G33" s="93">
        <f>G24</f>
        <v>237500</v>
      </c>
      <c r="H33" s="94">
        <f t="shared" ref="H33" si="0">SUM(C33:G33)</f>
        <v>712500</v>
      </c>
      <c r="I33" s="19"/>
    </row>
    <row r="34" spans="2:19" ht="15" thickTop="1" x14ac:dyDescent="0.3">
      <c r="B34" s="87" t="s">
        <v>81</v>
      </c>
      <c r="C34" s="88">
        <f>C32-C33</f>
        <v>31316.574546485244</v>
      </c>
      <c r="D34" s="88">
        <f t="shared" ref="D34:G34" si="1">D32-D33</f>
        <v>76052.919501133758</v>
      </c>
      <c r="E34" s="88">
        <f t="shared" si="1"/>
        <v>52444.569160997693</v>
      </c>
      <c r="F34" s="88">
        <f t="shared" si="1"/>
        <v>-9088.3580498867086</v>
      </c>
      <c r="G34" s="88">
        <f t="shared" si="1"/>
        <v>-46011.895981859445</v>
      </c>
      <c r="H34" s="88">
        <f>SUM(C34:G34)</f>
        <v>104713.80917687053</v>
      </c>
      <c r="I34" s="19"/>
    </row>
    <row r="35" spans="2:19" ht="20.55" customHeight="1" x14ac:dyDescent="0.3">
      <c r="B35" s="18"/>
      <c r="C35" s="89"/>
      <c r="D35" s="89"/>
      <c r="E35" s="89"/>
      <c r="F35" s="89"/>
      <c r="I35" s="19"/>
    </row>
    <row r="36" spans="2:19" x14ac:dyDescent="0.3">
      <c r="B36" s="18"/>
      <c r="C36" s="95"/>
      <c r="D36" s="89"/>
      <c r="E36" s="89"/>
      <c r="F36" s="89"/>
      <c r="G36" s="90"/>
      <c r="H36" s="88"/>
      <c r="I36" s="19"/>
    </row>
    <row r="37" spans="2:19" x14ac:dyDescent="0.3">
      <c r="B37" s="8" t="s">
        <v>38</v>
      </c>
      <c r="C37" s="148" t="s">
        <v>92</v>
      </c>
      <c r="D37" s="149">
        <f>'5yr Deferral BCA'!C55</f>
        <v>2530642.4564447957</v>
      </c>
      <c r="E37" s="89"/>
      <c r="F37" s="89"/>
      <c r="G37" s="90"/>
      <c r="H37" s="88"/>
      <c r="I37" s="19"/>
    </row>
    <row r="38" spans="2:19" x14ac:dyDescent="0.3">
      <c r="B38" s="8" t="s">
        <v>39</v>
      </c>
      <c r="C38" s="148" t="s">
        <v>92</v>
      </c>
      <c r="D38" s="149">
        <f>'5yr Deferral BCA'!C56</f>
        <v>1876128.6221036143</v>
      </c>
      <c r="E38" s="89"/>
      <c r="F38" s="89"/>
      <c r="G38" s="90"/>
      <c r="H38" s="88"/>
      <c r="I38" s="19"/>
    </row>
    <row r="39" spans="2:19" ht="15" thickBot="1" x14ac:dyDescent="0.35">
      <c r="B39" s="8" t="s">
        <v>40</v>
      </c>
      <c r="C39" s="148" t="s">
        <v>90</v>
      </c>
      <c r="D39" s="150">
        <f>'5yr Deferral BCA'!C57</f>
        <v>571748.49378471484</v>
      </c>
      <c r="E39" s="89"/>
      <c r="F39" s="89"/>
      <c r="G39" s="90"/>
      <c r="H39" s="88"/>
      <c r="I39" s="19"/>
    </row>
    <row r="40" spans="2:19" ht="15" thickTop="1" x14ac:dyDescent="0.3">
      <c r="B40" s="90" t="s">
        <v>34</v>
      </c>
      <c r="C40" s="148" t="s">
        <v>92</v>
      </c>
      <c r="D40" s="151">
        <f>D37-D38-D39</f>
        <v>82765.340556466603</v>
      </c>
      <c r="E40" s="89"/>
      <c r="F40" s="89"/>
      <c r="G40" s="90"/>
      <c r="H40" s="88"/>
      <c r="I40" s="19"/>
    </row>
    <row r="41" spans="2:19" x14ac:dyDescent="0.3">
      <c r="B41" s="87" t="s">
        <v>24</v>
      </c>
      <c r="C41" s="148" t="s">
        <v>92</v>
      </c>
      <c r="D41" s="152">
        <f>D40/2</f>
        <v>41382.670278233301</v>
      </c>
      <c r="E41" s="89"/>
      <c r="F41" s="89"/>
      <c r="G41" s="89"/>
      <c r="H41" s="89"/>
      <c r="I41" s="19"/>
    </row>
    <row r="42" spans="2:19" x14ac:dyDescent="0.3">
      <c r="B42" s="87"/>
      <c r="C42" s="151"/>
      <c r="D42" s="78"/>
      <c r="E42" s="89"/>
      <c r="F42" s="89"/>
      <c r="G42" s="89"/>
      <c r="H42" s="89"/>
      <c r="I42" s="19"/>
    </row>
    <row r="43" spans="2:19" x14ac:dyDescent="0.3">
      <c r="B43" s="87" t="s">
        <v>26</v>
      </c>
      <c r="C43" s="66" t="s">
        <v>91</v>
      </c>
      <c r="D43" s="151">
        <f>'5yr Deferral BCA'!C62</f>
        <v>255896.72959744488</v>
      </c>
      <c r="E43" s="89"/>
      <c r="F43" s="89"/>
      <c r="G43" s="89"/>
      <c r="H43" s="89"/>
      <c r="I43" s="19"/>
    </row>
    <row r="44" spans="2:19" x14ac:dyDescent="0.3">
      <c r="B44" s="19"/>
      <c r="C44" s="19"/>
      <c r="D44" s="19"/>
      <c r="E44" s="19"/>
      <c r="F44" s="19"/>
      <c r="G44" s="19"/>
      <c r="H44" s="19"/>
      <c r="I44" s="19"/>
    </row>
    <row r="45" spans="2:19" x14ac:dyDescent="0.3">
      <c r="B45" s="96" t="s">
        <v>80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</row>
    <row r="46" spans="2:19" ht="15.6" customHeight="1" x14ac:dyDescent="0.3">
      <c r="B46" s="117" t="s">
        <v>97</v>
      </c>
      <c r="C46" s="20"/>
      <c r="D46" s="20"/>
      <c r="E46" s="19"/>
      <c r="F46" s="19"/>
      <c r="G46" s="19"/>
      <c r="H46" s="19"/>
      <c r="I46" s="19"/>
    </row>
    <row r="47" spans="2:19" ht="15.6" customHeight="1" x14ac:dyDescent="0.3">
      <c r="B47" s="117"/>
      <c r="C47" s="20"/>
      <c r="D47" s="20"/>
      <c r="E47" s="19"/>
      <c r="F47" s="19"/>
      <c r="G47" s="19"/>
      <c r="H47" s="19"/>
      <c r="I47" s="19"/>
    </row>
    <row r="48" spans="2:19" x14ac:dyDescent="0.3">
      <c r="B48" s="21" t="s">
        <v>22</v>
      </c>
      <c r="C48" s="66" t="s">
        <v>92</v>
      </c>
      <c r="D48" s="98">
        <f>'Avoidance BCA'!C60</f>
        <v>21077638.954031046</v>
      </c>
      <c r="I48" s="19"/>
    </row>
    <row r="49" spans="2:19" ht="15" thickBot="1" x14ac:dyDescent="0.35">
      <c r="B49" s="21" t="s">
        <v>33</v>
      </c>
      <c r="C49" s="66" t="s">
        <v>90</v>
      </c>
      <c r="D49" s="101">
        <f>SUM(C25:G25)</f>
        <v>4987500</v>
      </c>
      <c r="I49" s="19"/>
    </row>
    <row r="50" spans="2:19" ht="15" thickTop="1" x14ac:dyDescent="0.3">
      <c r="B50" s="99" t="s">
        <v>81</v>
      </c>
      <c r="C50" s="110" t="s">
        <v>92</v>
      </c>
      <c r="D50" s="100">
        <f>D48-D49</f>
        <v>16090138.954031046</v>
      </c>
      <c r="I50" s="19"/>
    </row>
    <row r="51" spans="2:19" x14ac:dyDescent="0.3">
      <c r="B51" s="21"/>
      <c r="C51" s="66"/>
      <c r="D51" s="98"/>
      <c r="I51" s="19"/>
    </row>
    <row r="52" spans="2:19" x14ac:dyDescent="0.3">
      <c r="B52" s="99" t="s">
        <v>34</v>
      </c>
      <c r="C52" s="66" t="s">
        <v>91</v>
      </c>
      <c r="D52" s="100">
        <f>'Avoidance BCA'!C51</f>
        <v>3589687.9128413843</v>
      </c>
      <c r="I52" s="19"/>
    </row>
    <row r="53" spans="2:19" x14ac:dyDescent="0.3">
      <c r="B53" s="99" t="s">
        <v>25</v>
      </c>
      <c r="C53" s="66" t="s">
        <v>91</v>
      </c>
      <c r="D53" s="100">
        <f>D52/2</f>
        <v>1794843.9564206921</v>
      </c>
      <c r="I53" s="19"/>
    </row>
    <row r="54" spans="2:19" x14ac:dyDescent="0.3">
      <c r="B54" s="99" t="s">
        <v>23</v>
      </c>
      <c r="C54" s="66" t="s">
        <v>91</v>
      </c>
      <c r="D54" s="100">
        <f>'Avoidance BCA'!C53</f>
        <v>2968232.7297321851</v>
      </c>
      <c r="I54" s="19"/>
    </row>
    <row r="55" spans="2:19" x14ac:dyDescent="0.3">
      <c r="B55" s="19"/>
      <c r="C55" s="19"/>
      <c r="D55" s="19"/>
      <c r="I55" s="19"/>
    </row>
    <row r="56" spans="2:19" x14ac:dyDescent="0.3">
      <c r="B56" s="109" t="s">
        <v>87</v>
      </c>
      <c r="C56" s="106"/>
      <c r="D56" s="106"/>
      <c r="E56" s="106"/>
      <c r="F56" s="106"/>
      <c r="G56" s="106"/>
      <c r="H56" s="107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</row>
    <row r="58" spans="2:19" ht="15" thickBot="1" x14ac:dyDescent="0.35">
      <c r="B58" s="65"/>
      <c r="C58" s="65">
        <v>2025</v>
      </c>
      <c r="D58" s="65">
        <v>2026</v>
      </c>
      <c r="E58" s="65">
        <v>2027</v>
      </c>
      <c r="F58" s="65">
        <v>2028</v>
      </c>
      <c r="G58" s="65">
        <v>2029</v>
      </c>
      <c r="H58" s="65">
        <v>2030</v>
      </c>
      <c r="I58" s="65">
        <v>2031</v>
      </c>
      <c r="J58" s="65">
        <v>2032</v>
      </c>
      <c r="K58" s="65">
        <v>2033</v>
      </c>
      <c r="L58" s="65">
        <v>2034</v>
      </c>
      <c r="M58" s="65" t="s">
        <v>89</v>
      </c>
      <c r="N58" s="66"/>
      <c r="O58" s="65" t="s">
        <v>88</v>
      </c>
      <c r="P58" s="66"/>
      <c r="Q58" s="65" t="s">
        <v>51</v>
      </c>
    </row>
    <row r="59" spans="2:19" x14ac:dyDescent="0.3">
      <c r="B59" s="59" t="s">
        <v>52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f>Q59/4</f>
        <v>459056.65667473135</v>
      </c>
      <c r="J59" s="49">
        <f t="shared" ref="J59:L61" si="2">I59</f>
        <v>459056.65667473135</v>
      </c>
      <c r="K59" s="49">
        <f t="shared" si="2"/>
        <v>459056.65667473135</v>
      </c>
      <c r="L59" s="49">
        <f t="shared" si="2"/>
        <v>459056.65667473135</v>
      </c>
      <c r="M59" s="67">
        <f>SUM(C59:L59)</f>
        <v>1836226.6266989254</v>
      </c>
      <c r="O59" s="67">
        <f>NPV($C$14,C59:L59)</f>
        <v>1106502.1097010698</v>
      </c>
      <c r="Q59" s="5">
        <f>D53+D41</f>
        <v>1836226.6266989254</v>
      </c>
    </row>
    <row r="60" spans="2:19" x14ac:dyDescent="0.3">
      <c r="B60" s="59" t="s">
        <v>53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f>Q60/4</f>
        <v>806032.36483240756</v>
      </c>
      <c r="J60" s="49">
        <f t="shared" si="2"/>
        <v>806032.36483240756</v>
      </c>
      <c r="K60" s="49">
        <f t="shared" si="2"/>
        <v>806032.36483240756</v>
      </c>
      <c r="L60" s="49">
        <f t="shared" si="2"/>
        <v>806032.36483240756</v>
      </c>
      <c r="M60" s="67">
        <f>SUM(C60:L60)</f>
        <v>3224129.4593296302</v>
      </c>
      <c r="O60" s="67">
        <f>NPV($C$14,C60:L60)</f>
        <v>1942846.2678983614</v>
      </c>
      <c r="Q60" s="5">
        <f>D54+D43</f>
        <v>3224129.4593296302</v>
      </c>
    </row>
    <row r="61" spans="2:19" x14ac:dyDescent="0.3">
      <c r="B61" s="59" t="s">
        <v>54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f>Q61/4</f>
        <v>813189.75</v>
      </c>
      <c r="J61" s="49">
        <f t="shared" si="2"/>
        <v>813189.75</v>
      </c>
      <c r="K61" s="49">
        <f t="shared" si="2"/>
        <v>813189.75</v>
      </c>
      <c r="L61" s="49">
        <f t="shared" si="2"/>
        <v>813189.75</v>
      </c>
      <c r="M61" s="67">
        <f>SUM(C61:L61)</f>
        <v>3252759</v>
      </c>
      <c r="O61" s="67">
        <f>NPV($C$14,C61:L61)</f>
        <v>1960098.3035081967</v>
      </c>
      <c r="Q61" s="60">
        <v>3252759</v>
      </c>
    </row>
    <row r="62" spans="2:19" x14ac:dyDescent="0.3">
      <c r="B62" s="17"/>
      <c r="C62" s="82"/>
      <c r="D62" s="82"/>
      <c r="E62" s="82"/>
      <c r="F62" s="82"/>
      <c r="G62" s="82"/>
      <c r="H62" s="78"/>
      <c r="I62" s="19"/>
    </row>
    <row r="63" spans="2:19" ht="15" thickBot="1" x14ac:dyDescent="0.35">
      <c r="B63" s="27" t="s">
        <v>32</v>
      </c>
      <c r="C63" s="27"/>
      <c r="D63" s="27"/>
      <c r="E63" s="27"/>
      <c r="F63" s="27"/>
      <c r="G63" s="27"/>
      <c r="H63" s="62"/>
      <c r="I63" s="19"/>
    </row>
    <row r="64" spans="2:19" hidden="1" outlineLevel="1" x14ac:dyDescent="0.3">
      <c r="B64" t="s">
        <v>82</v>
      </c>
      <c r="I64" s="19"/>
    </row>
    <row r="65" spans="2:19" hidden="1" outlineLevel="1" x14ac:dyDescent="0.3">
      <c r="B65" t="s">
        <v>83</v>
      </c>
      <c r="I65" s="19"/>
    </row>
    <row r="66" spans="2:19" hidden="1" outlineLevel="1" x14ac:dyDescent="0.3">
      <c r="B66" s="18" t="s">
        <v>84</v>
      </c>
      <c r="C66" s="18"/>
      <c r="D66" s="18"/>
      <c r="E66" s="18"/>
      <c r="F66" s="18"/>
      <c r="G66" s="18"/>
      <c r="I66" s="19"/>
    </row>
    <row r="67" spans="2:19" hidden="1" outlineLevel="1" x14ac:dyDescent="0.3">
      <c r="B67" s="2" t="s">
        <v>85</v>
      </c>
      <c r="C67" s="2"/>
      <c r="D67" s="2"/>
      <c r="E67" s="2"/>
      <c r="F67" s="2"/>
      <c r="G67" s="2"/>
      <c r="I67" s="19"/>
    </row>
    <row r="68" spans="2:19" collapsed="1" x14ac:dyDescent="0.3">
      <c r="B68" s="105" t="s">
        <v>86</v>
      </c>
      <c r="C68" s="18"/>
      <c r="D68" s="18"/>
      <c r="E68" s="18"/>
      <c r="F68" s="18"/>
      <c r="G68" s="18"/>
      <c r="I68" s="19"/>
    </row>
    <row r="69" spans="2:19" x14ac:dyDescent="0.3">
      <c r="B69" s="17"/>
      <c r="C69" s="82"/>
      <c r="D69" s="82"/>
      <c r="E69" s="82"/>
      <c r="F69" s="82"/>
      <c r="G69" s="82"/>
      <c r="H69" s="78"/>
      <c r="I69" s="19"/>
    </row>
    <row r="70" spans="2:19" x14ac:dyDescent="0.3">
      <c r="B70" s="96" t="s">
        <v>27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</row>
    <row r="71" spans="2:19" x14ac:dyDescent="0.3">
      <c r="B71" s="47"/>
      <c r="C71" s="19"/>
      <c r="D71" s="19"/>
      <c r="E71" s="19"/>
      <c r="F71" s="19"/>
      <c r="G71" s="19"/>
      <c r="H71" s="19"/>
      <c r="I71" s="19"/>
    </row>
    <row r="72" spans="2:19" x14ac:dyDescent="0.3">
      <c r="B72" s="21" t="s">
        <v>98</v>
      </c>
      <c r="C72" s="66"/>
      <c r="D72" s="78">
        <f>H34+D50</f>
        <v>16194852.763207916</v>
      </c>
      <c r="F72" s="18"/>
      <c r="I72" s="19"/>
    </row>
    <row r="73" spans="2:19" x14ac:dyDescent="0.3">
      <c r="B73" s="99" t="s">
        <v>28</v>
      </c>
      <c r="D73" s="102">
        <f>D40+D52</f>
        <v>3672453.2533978508</v>
      </c>
      <c r="F73" s="20"/>
      <c r="G73" s="19"/>
      <c r="H73" s="19"/>
      <c r="I73" s="19"/>
    </row>
    <row r="74" spans="2:19" x14ac:dyDescent="0.3">
      <c r="B74" s="20"/>
      <c r="D74" s="20"/>
      <c r="E74" s="78"/>
      <c r="F74" s="20"/>
      <c r="G74" s="19"/>
      <c r="H74" s="19"/>
      <c r="I74" s="19"/>
    </row>
    <row r="75" spans="2:19" ht="16.2" x14ac:dyDescent="0.3">
      <c r="B75" s="99" t="s">
        <v>55</v>
      </c>
      <c r="D75" s="103">
        <f>O59</f>
        <v>1106502.1097010698</v>
      </c>
      <c r="F75" s="20"/>
      <c r="G75" s="19"/>
      <c r="H75" s="19"/>
      <c r="I75" s="19"/>
    </row>
    <row r="76" spans="2:19" ht="16.2" x14ac:dyDescent="0.3">
      <c r="B76" s="99" t="s">
        <v>56</v>
      </c>
      <c r="D76" s="103">
        <f>O60</f>
        <v>1942846.2678983614</v>
      </c>
      <c r="F76" s="20"/>
      <c r="G76" s="19"/>
      <c r="H76" s="19"/>
      <c r="I76" s="19"/>
    </row>
    <row r="77" spans="2:19" x14ac:dyDescent="0.3">
      <c r="B77" s="20"/>
      <c r="D77" s="78"/>
      <c r="F77" s="20"/>
      <c r="G77" s="19"/>
      <c r="H77" s="19"/>
      <c r="I77" s="19"/>
    </row>
    <row r="78" spans="2:19" x14ac:dyDescent="0.3">
      <c r="B78" s="99" t="s">
        <v>29</v>
      </c>
      <c r="D78" s="78"/>
      <c r="F78" s="20"/>
      <c r="G78" s="19"/>
      <c r="H78" s="19"/>
      <c r="I78" s="19"/>
    </row>
    <row r="79" spans="2:19" x14ac:dyDescent="0.3">
      <c r="B79" s="21" t="s">
        <v>30</v>
      </c>
      <c r="D79" s="78">
        <f>D73-D75</f>
        <v>2565951.1436967812</v>
      </c>
      <c r="F79" s="20"/>
      <c r="G79" s="19"/>
      <c r="H79" s="19"/>
      <c r="I79" s="19"/>
    </row>
    <row r="80" spans="2:19" x14ac:dyDescent="0.3">
      <c r="B80" s="21" t="s">
        <v>31</v>
      </c>
      <c r="D80" s="78">
        <f>D73-D76</f>
        <v>1729606.9854994894</v>
      </c>
      <c r="F80" s="20"/>
      <c r="G80" s="19"/>
      <c r="H80" s="19"/>
      <c r="I80" s="19"/>
    </row>
    <row r="81" spans="2:9" x14ac:dyDescent="0.3">
      <c r="B81" s="20"/>
      <c r="D81" s="20"/>
      <c r="E81" s="20"/>
      <c r="F81" s="20"/>
      <c r="G81" s="19"/>
      <c r="H81" s="19"/>
      <c r="I81" s="19"/>
    </row>
    <row r="82" spans="2:9" x14ac:dyDescent="0.3">
      <c r="B82" s="19" t="s">
        <v>93</v>
      </c>
      <c r="C82" s="19"/>
      <c r="D82" s="19"/>
      <c r="E82" s="19"/>
      <c r="F82" s="19"/>
      <c r="G82" s="19"/>
      <c r="H82" s="19"/>
      <c r="I82" s="19"/>
    </row>
    <row r="83" spans="2:9" ht="12" customHeight="1" x14ac:dyDescent="0.3">
      <c r="B83" s="111" t="s">
        <v>57</v>
      </c>
    </row>
    <row r="84" spans="2:9" x14ac:dyDescent="0.3">
      <c r="B84" s="8"/>
      <c r="C84" s="11"/>
      <c r="D84" s="11"/>
      <c r="E84" s="11"/>
      <c r="F84" s="11"/>
      <c r="G84" s="11"/>
      <c r="H84" s="11"/>
    </row>
  </sheetData>
  <phoneticPr fontId="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F42D-7E60-4E8E-8375-40547A83E878}">
  <dimension ref="A1:BG66"/>
  <sheetViews>
    <sheetView showGridLines="0" zoomScale="70" zoomScaleNormal="70" workbookViewId="0">
      <pane xSplit="3" ySplit="21" topLeftCell="D22" activePane="bottomRight" state="frozen"/>
      <selection activeCell="AZ1" sqref="D1:AZ1048576"/>
      <selection pane="topRight" activeCell="AZ1" sqref="D1:AZ1048576"/>
      <selection pane="bottomLeft" activeCell="AZ1" sqref="D1:AZ1048576"/>
      <selection pane="bottomRight" activeCell="D22" sqref="D22"/>
    </sheetView>
  </sheetViews>
  <sheetFormatPr defaultRowHeight="14.4" outlineLevelRow="1" x14ac:dyDescent="0.3"/>
  <cols>
    <col min="1" max="1" width="4.5546875" customWidth="1"/>
    <col min="2" max="2" width="38.44140625" customWidth="1"/>
    <col min="3" max="3" width="14.21875" customWidth="1"/>
    <col min="4" max="4" width="13.5546875" bestFit="1" customWidth="1"/>
    <col min="5" max="6" width="13.77734375" bestFit="1" customWidth="1"/>
    <col min="7" max="8" width="14.21875" bestFit="1" customWidth="1"/>
    <col min="9" max="9" width="13.5546875" bestFit="1" customWidth="1"/>
    <col min="10" max="12" width="13.77734375" bestFit="1" customWidth="1"/>
    <col min="13" max="13" width="13.5546875" bestFit="1" customWidth="1"/>
    <col min="14" max="16" width="13.77734375" bestFit="1" customWidth="1"/>
    <col min="17" max="17" width="14.21875" bestFit="1" customWidth="1"/>
    <col min="18" max="18" width="13.77734375" bestFit="1" customWidth="1"/>
    <col min="19" max="19" width="14.21875" bestFit="1" customWidth="1"/>
    <col min="20" max="21" width="13.77734375" bestFit="1" customWidth="1"/>
    <col min="22" max="22" width="14.21875" bestFit="1" customWidth="1"/>
    <col min="23" max="23" width="13.77734375" bestFit="1" customWidth="1"/>
    <col min="24" max="24" width="14.21875" bestFit="1" customWidth="1"/>
    <col min="25" max="31" width="13.77734375" bestFit="1" customWidth="1"/>
    <col min="32" max="32" width="13.44140625" bestFit="1" customWidth="1"/>
    <col min="33" max="38" width="13.77734375" bestFit="1" customWidth="1"/>
    <col min="39" max="39" width="13.44140625" bestFit="1" customWidth="1"/>
    <col min="40" max="40" width="13.77734375" bestFit="1" customWidth="1"/>
    <col min="41" max="41" width="13.44140625" bestFit="1" customWidth="1"/>
    <col min="42" max="43" width="13.77734375" bestFit="1" customWidth="1"/>
    <col min="44" max="46" width="13.44140625" bestFit="1" customWidth="1"/>
    <col min="47" max="47" width="13.77734375" bestFit="1" customWidth="1"/>
    <col min="48" max="49" width="13.44140625" bestFit="1" customWidth="1"/>
    <col min="50" max="51" width="13.21875" bestFit="1" customWidth="1"/>
    <col min="52" max="56" width="13.5546875" bestFit="1" customWidth="1"/>
    <col min="57" max="57" width="13.21875" bestFit="1" customWidth="1"/>
    <col min="58" max="58" width="11.77734375" bestFit="1" customWidth="1"/>
    <col min="59" max="77" width="13" customWidth="1"/>
  </cols>
  <sheetData>
    <row r="1" spans="2:3" ht="12" customHeight="1" x14ac:dyDescent="0.3"/>
    <row r="2" spans="2:3" x14ac:dyDescent="0.3">
      <c r="B2" s="45" t="s">
        <v>66</v>
      </c>
    </row>
    <row r="3" spans="2:3" x14ac:dyDescent="0.3">
      <c r="B3" s="44" t="s">
        <v>67</v>
      </c>
    </row>
    <row r="4" spans="2:3" ht="10.5" customHeight="1" x14ac:dyDescent="0.3"/>
    <row r="5" spans="2:3" ht="15" thickBot="1" x14ac:dyDescent="0.35">
      <c r="B5" s="27" t="s">
        <v>60</v>
      </c>
      <c r="C5" s="37"/>
    </row>
    <row r="6" spans="2:3" hidden="1" outlineLevel="1" x14ac:dyDescent="0.3">
      <c r="B6" t="s">
        <v>6</v>
      </c>
      <c r="C6" s="39">
        <f>'Assumptions and Summary'!C5</f>
        <v>9.3600000000000003E-2</v>
      </c>
    </row>
    <row r="7" spans="2:3" hidden="1" outlineLevel="1" x14ac:dyDescent="0.3">
      <c r="B7" t="s">
        <v>63</v>
      </c>
      <c r="C7" s="46">
        <f>'Assumptions and Summary'!C6</f>
        <v>0.4</v>
      </c>
    </row>
    <row r="8" spans="2:3" hidden="1" outlineLevel="1" x14ac:dyDescent="0.3">
      <c r="B8" s="18" t="s">
        <v>3</v>
      </c>
      <c r="C8" s="39">
        <f>'Assumptions and Summary'!C7</f>
        <v>4.0399999999999998E-2</v>
      </c>
    </row>
    <row r="9" spans="2:3" hidden="1" outlineLevel="1" x14ac:dyDescent="0.3">
      <c r="B9" s="18" t="s">
        <v>64</v>
      </c>
      <c r="C9" s="46">
        <f>'Assumptions and Summary'!C8</f>
        <v>0.6</v>
      </c>
    </row>
    <row r="10" spans="2:3" hidden="1" outlineLevel="1" x14ac:dyDescent="0.3">
      <c r="B10" t="s">
        <v>4</v>
      </c>
      <c r="C10" s="38">
        <f>'Assumptions and Summary'!C9</f>
        <v>48</v>
      </c>
    </row>
    <row r="11" spans="2:3" hidden="1" outlineLevel="1" x14ac:dyDescent="0.3">
      <c r="B11" s="20" t="s">
        <v>5</v>
      </c>
      <c r="C11" s="144">
        <f>'Assumptions and Summary'!C10</f>
        <v>2.0833333333333332E-2</v>
      </c>
    </row>
    <row r="12" spans="2:3" hidden="1" outlineLevel="1" x14ac:dyDescent="0.3">
      <c r="B12" s="20" t="s">
        <v>131</v>
      </c>
      <c r="C12" s="144">
        <f>'Assumptions and Summary'!C11</f>
        <v>0.08</v>
      </c>
    </row>
    <row r="13" spans="2:3" hidden="1" outlineLevel="1" x14ac:dyDescent="0.3">
      <c r="B13" s="2" t="s">
        <v>130</v>
      </c>
      <c r="C13" s="30">
        <f>'Assumptions and Summary'!C12</f>
        <v>0.26500000000000001</v>
      </c>
    </row>
    <row r="14" spans="2:3" collapsed="1" x14ac:dyDescent="0.3">
      <c r="C14" s="39"/>
    </row>
    <row r="15" spans="2:3" ht="15" thickBot="1" x14ac:dyDescent="0.35">
      <c r="B15" s="27" t="s">
        <v>61</v>
      </c>
      <c r="C15" s="40"/>
    </row>
    <row r="16" spans="2:3" hidden="1" outlineLevel="1" x14ac:dyDescent="0.3">
      <c r="B16" s="25" t="s">
        <v>59</v>
      </c>
      <c r="C16" s="22">
        <f>'Assumptions and Summary'!D17</f>
        <v>10000000</v>
      </c>
    </row>
    <row r="17" spans="1:58" hidden="1" outlineLevel="1" x14ac:dyDescent="0.3">
      <c r="B17" s="25" t="s">
        <v>18</v>
      </c>
      <c r="C17" s="22">
        <f>'Assumptions and Summary'!D18</f>
        <v>2500000</v>
      </c>
    </row>
    <row r="18" spans="1:58" hidden="1" outlineLevel="1" x14ac:dyDescent="0.3">
      <c r="B18" s="32" t="s">
        <v>19</v>
      </c>
      <c r="C18" s="33">
        <f>'Assumptions and Summary'!D19</f>
        <v>7500000</v>
      </c>
    </row>
    <row r="19" spans="1:58" collapsed="1" x14ac:dyDescent="0.3">
      <c r="B19" s="25"/>
      <c r="C19" s="22"/>
    </row>
    <row r="20" spans="1:58" s="16" customFormat="1" x14ac:dyDescent="0.3">
      <c r="A20"/>
      <c r="B20"/>
      <c r="C20" s="17" t="s">
        <v>68</v>
      </c>
      <c r="D20" s="68">
        <v>1</v>
      </c>
      <c r="E20" s="69">
        <f>D20+1</f>
        <v>2</v>
      </c>
      <c r="F20" s="69">
        <f t="shared" ref="F20:BE20" si="0">E20+1</f>
        <v>3</v>
      </c>
      <c r="G20" s="69">
        <f t="shared" si="0"/>
        <v>4</v>
      </c>
      <c r="H20" s="69">
        <f t="shared" si="0"/>
        <v>5</v>
      </c>
      <c r="I20" s="69">
        <f t="shared" si="0"/>
        <v>6</v>
      </c>
      <c r="J20" s="69">
        <f t="shared" si="0"/>
        <v>7</v>
      </c>
      <c r="K20" s="69">
        <f t="shared" si="0"/>
        <v>8</v>
      </c>
      <c r="L20" s="69">
        <f t="shared" si="0"/>
        <v>9</v>
      </c>
      <c r="M20" s="69">
        <f t="shared" si="0"/>
        <v>10</v>
      </c>
      <c r="N20" s="69">
        <f t="shared" si="0"/>
        <v>11</v>
      </c>
      <c r="O20" s="69">
        <f t="shared" si="0"/>
        <v>12</v>
      </c>
      <c r="P20" s="69">
        <f t="shared" si="0"/>
        <v>13</v>
      </c>
      <c r="Q20" s="69">
        <f t="shared" si="0"/>
        <v>14</v>
      </c>
      <c r="R20" s="69">
        <f t="shared" si="0"/>
        <v>15</v>
      </c>
      <c r="S20" s="69">
        <f t="shared" si="0"/>
        <v>16</v>
      </c>
      <c r="T20" s="69">
        <f t="shared" si="0"/>
        <v>17</v>
      </c>
      <c r="U20" s="69">
        <f t="shared" si="0"/>
        <v>18</v>
      </c>
      <c r="V20" s="69">
        <f t="shared" si="0"/>
        <v>19</v>
      </c>
      <c r="W20" s="69">
        <f t="shared" si="0"/>
        <v>20</v>
      </c>
      <c r="X20" s="69">
        <f t="shared" si="0"/>
        <v>21</v>
      </c>
      <c r="Y20" s="69">
        <f t="shared" si="0"/>
        <v>22</v>
      </c>
      <c r="Z20" s="69">
        <f t="shared" si="0"/>
        <v>23</v>
      </c>
      <c r="AA20" s="69">
        <f t="shared" si="0"/>
        <v>24</v>
      </c>
      <c r="AB20" s="69">
        <f t="shared" si="0"/>
        <v>25</v>
      </c>
      <c r="AC20" s="69">
        <f t="shared" si="0"/>
        <v>26</v>
      </c>
      <c r="AD20" s="69">
        <f t="shared" si="0"/>
        <v>27</v>
      </c>
      <c r="AE20" s="69">
        <f t="shared" si="0"/>
        <v>28</v>
      </c>
      <c r="AF20" s="69">
        <f t="shared" si="0"/>
        <v>29</v>
      </c>
      <c r="AG20" s="69">
        <f t="shared" si="0"/>
        <v>30</v>
      </c>
      <c r="AH20" s="69">
        <f t="shared" si="0"/>
        <v>31</v>
      </c>
      <c r="AI20" s="69">
        <f t="shared" si="0"/>
        <v>32</v>
      </c>
      <c r="AJ20" s="69">
        <f t="shared" si="0"/>
        <v>33</v>
      </c>
      <c r="AK20" s="69">
        <f t="shared" si="0"/>
        <v>34</v>
      </c>
      <c r="AL20" s="69">
        <f t="shared" si="0"/>
        <v>35</v>
      </c>
      <c r="AM20" s="69">
        <f t="shared" si="0"/>
        <v>36</v>
      </c>
      <c r="AN20" s="69">
        <f t="shared" si="0"/>
        <v>37</v>
      </c>
      <c r="AO20" s="69">
        <f t="shared" si="0"/>
        <v>38</v>
      </c>
      <c r="AP20" s="69">
        <f t="shared" si="0"/>
        <v>39</v>
      </c>
      <c r="AQ20" s="69">
        <f t="shared" si="0"/>
        <v>40</v>
      </c>
      <c r="AR20" s="69">
        <f t="shared" si="0"/>
        <v>41</v>
      </c>
      <c r="AS20" s="69">
        <f t="shared" si="0"/>
        <v>42</v>
      </c>
      <c r="AT20" s="69">
        <f t="shared" si="0"/>
        <v>43</v>
      </c>
      <c r="AU20" s="69">
        <f t="shared" si="0"/>
        <v>44</v>
      </c>
      <c r="AV20" s="69">
        <f t="shared" si="0"/>
        <v>45</v>
      </c>
      <c r="AW20" s="69">
        <f t="shared" si="0"/>
        <v>46</v>
      </c>
      <c r="AX20" s="69">
        <f t="shared" si="0"/>
        <v>47</v>
      </c>
      <c r="AY20" s="69">
        <f t="shared" si="0"/>
        <v>48</v>
      </c>
      <c r="AZ20" s="69">
        <f t="shared" si="0"/>
        <v>49</v>
      </c>
      <c r="BA20" s="69">
        <f t="shared" si="0"/>
        <v>50</v>
      </c>
      <c r="BB20" s="69">
        <f t="shared" si="0"/>
        <v>51</v>
      </c>
      <c r="BC20" s="69">
        <f t="shared" si="0"/>
        <v>52</v>
      </c>
      <c r="BD20" s="69">
        <f t="shared" si="0"/>
        <v>53</v>
      </c>
      <c r="BE20" s="69">
        <f t="shared" si="0"/>
        <v>54</v>
      </c>
    </row>
    <row r="21" spans="1:58" s="16" customFormat="1" x14ac:dyDescent="0.3">
      <c r="A21"/>
      <c r="B21" s="42"/>
      <c r="C21" s="42"/>
      <c r="D21" s="70">
        <v>2025</v>
      </c>
      <c r="E21" s="70">
        <v>2026</v>
      </c>
      <c r="F21" s="70">
        <v>2027</v>
      </c>
      <c r="G21" s="70">
        <v>2028</v>
      </c>
      <c r="H21" s="70">
        <v>2029</v>
      </c>
      <c r="I21" s="70">
        <v>2030</v>
      </c>
      <c r="J21" s="70">
        <v>2031</v>
      </c>
      <c r="K21" s="70">
        <v>2032</v>
      </c>
      <c r="L21" s="70">
        <v>2033</v>
      </c>
      <c r="M21" s="70">
        <v>2034</v>
      </c>
      <c r="N21" s="70">
        <v>2035</v>
      </c>
      <c r="O21" s="70">
        <v>2036</v>
      </c>
      <c r="P21" s="70">
        <v>2037</v>
      </c>
      <c r="Q21" s="70">
        <v>2038</v>
      </c>
      <c r="R21" s="70">
        <v>2039</v>
      </c>
      <c r="S21" s="70">
        <v>2040</v>
      </c>
      <c r="T21" s="70">
        <v>2041</v>
      </c>
      <c r="U21" s="70">
        <v>2042</v>
      </c>
      <c r="V21" s="70">
        <v>2043</v>
      </c>
      <c r="W21" s="70">
        <v>2044</v>
      </c>
      <c r="X21" s="70">
        <v>2045</v>
      </c>
      <c r="Y21" s="70">
        <v>2046</v>
      </c>
      <c r="Z21" s="70">
        <v>2047</v>
      </c>
      <c r="AA21" s="70">
        <v>2048</v>
      </c>
      <c r="AB21" s="70">
        <v>2049</v>
      </c>
      <c r="AC21" s="70">
        <v>2050</v>
      </c>
      <c r="AD21" s="70">
        <v>2051</v>
      </c>
      <c r="AE21" s="70">
        <v>2052</v>
      </c>
      <c r="AF21" s="70">
        <v>2053</v>
      </c>
      <c r="AG21" s="70">
        <v>2054</v>
      </c>
      <c r="AH21" s="70">
        <v>2055</v>
      </c>
      <c r="AI21" s="70">
        <v>2056</v>
      </c>
      <c r="AJ21" s="70">
        <v>2057</v>
      </c>
      <c r="AK21" s="70">
        <v>2058</v>
      </c>
      <c r="AL21" s="70">
        <v>2059</v>
      </c>
      <c r="AM21" s="70">
        <v>2060</v>
      </c>
      <c r="AN21" s="70">
        <v>2061</v>
      </c>
      <c r="AO21" s="70">
        <v>2062</v>
      </c>
      <c r="AP21" s="70">
        <v>2063</v>
      </c>
      <c r="AQ21" s="70">
        <v>2064</v>
      </c>
      <c r="AR21" s="70">
        <v>2065</v>
      </c>
      <c r="AS21" s="70">
        <v>2066</v>
      </c>
      <c r="AT21" s="70">
        <v>2067</v>
      </c>
      <c r="AU21" s="70">
        <v>2068</v>
      </c>
      <c r="AV21" s="70">
        <v>2069</v>
      </c>
      <c r="AW21" s="70">
        <v>2070</v>
      </c>
      <c r="AX21" s="70">
        <v>2071</v>
      </c>
      <c r="AY21" s="70">
        <v>2072</v>
      </c>
      <c r="AZ21" s="70">
        <v>2073</v>
      </c>
      <c r="BA21" s="70">
        <v>2074</v>
      </c>
      <c r="BB21" s="70">
        <v>2075</v>
      </c>
      <c r="BC21" s="70">
        <v>2076</v>
      </c>
      <c r="BD21" s="70">
        <v>2077</v>
      </c>
      <c r="BE21" s="70">
        <v>2078</v>
      </c>
      <c r="BF21" s="71"/>
    </row>
    <row r="23" spans="1:58" x14ac:dyDescent="0.3">
      <c r="B23" s="8" t="s">
        <v>0</v>
      </c>
      <c r="D23" s="73">
        <f>C17</f>
        <v>2500000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7"/>
    </row>
    <row r="24" spans="1:58" x14ac:dyDescent="0.3">
      <c r="B24" s="8" t="s">
        <v>65</v>
      </c>
      <c r="D24" s="48">
        <f>$D$23-SUM($D27:D27)</f>
        <v>2473958.3333333335</v>
      </c>
      <c r="E24" s="48">
        <f>$D$23-SUM($D27:E27)</f>
        <v>2421875</v>
      </c>
      <c r="F24" s="48">
        <f>$D$23-SUM($D27:F27)</f>
        <v>2369791.6666666665</v>
      </c>
      <c r="G24" s="48">
        <f>$D$23-SUM($D27:G27)</f>
        <v>2317708.3333333335</v>
      </c>
      <c r="H24" s="48">
        <f>$D$23-SUM($D27:H27)</f>
        <v>2265625</v>
      </c>
      <c r="I24" s="48">
        <f>$D$23-SUM($D27:I27)</f>
        <v>2213541.6666666665</v>
      </c>
      <c r="J24" s="48">
        <f>$D$23-SUM($D27:J27)</f>
        <v>2161458.3333333335</v>
      </c>
      <c r="K24" s="48">
        <f>$D$23-SUM($D27:K27)</f>
        <v>2109375</v>
      </c>
      <c r="L24" s="48">
        <f>$D$23-SUM($D27:L27)</f>
        <v>2057291.6666666667</v>
      </c>
      <c r="M24" s="48">
        <f>$D$23-SUM($D27:M27)</f>
        <v>2005208.3333333335</v>
      </c>
      <c r="N24" s="48">
        <f>$D$23-SUM($D27:N27)</f>
        <v>1953125</v>
      </c>
      <c r="O24" s="48">
        <f>$D$23-SUM($D27:O27)</f>
        <v>1901041.6666666667</v>
      </c>
      <c r="P24" s="48">
        <f>$D$23-SUM($D27:P27)</f>
        <v>1848958.3333333335</v>
      </c>
      <c r="Q24" s="48">
        <f>$D$23-SUM($D27:Q27)</f>
        <v>1796875</v>
      </c>
      <c r="R24" s="48">
        <f>$D$23-SUM($D27:R27)</f>
        <v>1744791.6666666665</v>
      </c>
      <c r="S24" s="48">
        <f>$D$23-SUM($D27:S27)</f>
        <v>1692708.3333333333</v>
      </c>
      <c r="T24" s="48">
        <f>$D$23-SUM($D27:T27)</f>
        <v>1640625</v>
      </c>
      <c r="U24" s="48">
        <f>$D$23-SUM($D27:U27)</f>
        <v>1588541.6666666665</v>
      </c>
      <c r="V24" s="48">
        <f>$D$23-SUM($D27:V27)</f>
        <v>1536458.333333333</v>
      </c>
      <c r="W24" s="48">
        <f>$D$23-SUM($D27:W27)</f>
        <v>1484374.9999999998</v>
      </c>
      <c r="X24" s="48">
        <f>$D$23-SUM($D27:X27)</f>
        <v>1432291.6666666665</v>
      </c>
      <c r="Y24" s="48">
        <f>$D$23-SUM($D27:Y27)</f>
        <v>1380208.3333333333</v>
      </c>
      <c r="Z24" s="48">
        <f>$D$23-SUM($D27:Z27)</f>
        <v>1328125</v>
      </c>
      <c r="AA24" s="48">
        <f>$D$23-SUM($D27:AA27)</f>
        <v>1276041.6666666667</v>
      </c>
      <c r="AB24" s="48">
        <f>$D$23-SUM($D27:AB27)</f>
        <v>1223958.3333333335</v>
      </c>
      <c r="AC24" s="48">
        <f>$D$23-SUM($D27:AC27)</f>
        <v>1171875.0000000002</v>
      </c>
      <c r="AD24" s="48">
        <f>$D$23-SUM($D27:AD27)</f>
        <v>1119791.666666667</v>
      </c>
      <c r="AE24" s="48">
        <f>$D$23-SUM($D27:AE27)</f>
        <v>1067708.3333333337</v>
      </c>
      <c r="AF24" s="48">
        <f>$D$23-SUM($D27:AF27)</f>
        <v>1015625.0000000005</v>
      </c>
      <c r="AG24" s="48">
        <f>$D$23-SUM($D27:AG27)</f>
        <v>963541.66666666721</v>
      </c>
      <c r="AH24" s="48">
        <f>$D$23-SUM($D27:AH27)</f>
        <v>911458.33333333395</v>
      </c>
      <c r="AI24" s="48">
        <f>$D$23-SUM($D27:AI27)</f>
        <v>859375.0000000007</v>
      </c>
      <c r="AJ24" s="48">
        <f>$D$23-SUM($D27:AJ27)</f>
        <v>807291.66666666744</v>
      </c>
      <c r="AK24" s="48">
        <f>$D$23-SUM($D27:AK27)</f>
        <v>755208.33333333419</v>
      </c>
      <c r="AL24" s="48">
        <f>$D$23-SUM($D27:AL27)</f>
        <v>703125.00000000093</v>
      </c>
      <c r="AM24" s="48">
        <f>$D$23-SUM($D27:AM27)</f>
        <v>651041.66666666768</v>
      </c>
      <c r="AN24" s="48">
        <f>$D$23-SUM($D27:AN27)</f>
        <v>598958.33333333442</v>
      </c>
      <c r="AO24" s="48">
        <f>$D$23-SUM($D27:AO27)</f>
        <v>546875.00000000116</v>
      </c>
      <c r="AP24" s="48">
        <f>$D$23-SUM($D27:AP27)</f>
        <v>494791.66666666791</v>
      </c>
      <c r="AQ24" s="48">
        <f>$D$23-SUM($D27:AQ27)</f>
        <v>442708.33333333465</v>
      </c>
      <c r="AR24" s="48">
        <f>$D$23-SUM($D27:AR27)</f>
        <v>390625.0000000014</v>
      </c>
      <c r="AS24" s="48">
        <f>$D$23-SUM($D27:AS27)</f>
        <v>338541.66666666791</v>
      </c>
      <c r="AT24" s="48">
        <f>$D$23-SUM($D27:AT27)</f>
        <v>286458.33333333442</v>
      </c>
      <c r="AU24" s="48">
        <f>$D$23-SUM($D27:AU27)</f>
        <v>234375.00000000093</v>
      </c>
      <c r="AV24" s="48">
        <f>$D$23-SUM($D27:AV27)</f>
        <v>182291.66666666744</v>
      </c>
      <c r="AW24" s="48">
        <f>$D$23-SUM($D27:AW27)</f>
        <v>130208.33333333395</v>
      </c>
      <c r="AX24" s="48">
        <f>$D$23-SUM($D27:AX27)</f>
        <v>78125.000000000466</v>
      </c>
      <c r="AY24" s="48">
        <f>$D$23-SUM($D27:AY27)</f>
        <v>26041.666666666977</v>
      </c>
      <c r="AZ24" s="48">
        <f>$D$23-SUM($D27:AZ27)</f>
        <v>0</v>
      </c>
      <c r="BA24" s="48">
        <f>$D$23-SUM($D27:BA27)</f>
        <v>0</v>
      </c>
      <c r="BB24" s="48">
        <f>$D$23-SUM($D27:BB27)</f>
        <v>0</v>
      </c>
      <c r="BC24" s="48">
        <f>$D$23-SUM($D27:BC27)</f>
        <v>0</v>
      </c>
      <c r="BD24" s="48">
        <f>$D$23-SUM($D27:BD27)</f>
        <v>0</v>
      </c>
      <c r="BE24" s="48">
        <f>$D$23-SUM($D27:BE27)</f>
        <v>0</v>
      </c>
      <c r="BF24" s="7"/>
    </row>
    <row r="25" spans="1:58" x14ac:dyDescent="0.3">
      <c r="B25" s="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7"/>
    </row>
    <row r="26" spans="1:58" x14ac:dyDescent="0.3">
      <c r="B26" s="8" t="s">
        <v>7</v>
      </c>
      <c r="D26" s="50">
        <f>D23/2</f>
        <v>1250000</v>
      </c>
      <c r="E26" s="51">
        <f>D28+D23/2</f>
        <v>2473958.333333333</v>
      </c>
      <c r="F26" s="49">
        <f>E28</f>
        <v>2421874.9999999995</v>
      </c>
      <c r="G26" s="49">
        <f t="shared" ref="G26:N26" si="1">F28</f>
        <v>2369791.666666666</v>
      </c>
      <c r="H26" s="49">
        <f t="shared" si="1"/>
        <v>2317708.3333333326</v>
      </c>
      <c r="I26" s="49">
        <f t="shared" si="1"/>
        <v>2265624.9999999991</v>
      </c>
      <c r="J26" s="49">
        <f t="shared" si="1"/>
        <v>2213541.6666666656</v>
      </c>
      <c r="K26" s="49">
        <f t="shared" si="1"/>
        <v>2161458.3333333321</v>
      </c>
      <c r="L26" s="49">
        <f t="shared" si="1"/>
        <v>2109374.9999999986</v>
      </c>
      <c r="M26" s="49">
        <f t="shared" si="1"/>
        <v>2057291.6666666653</v>
      </c>
      <c r="N26" s="49">
        <f t="shared" si="1"/>
        <v>2005208.3333333321</v>
      </c>
      <c r="O26" s="49">
        <f t="shared" ref="O26" si="2">N28</f>
        <v>1953124.9999999988</v>
      </c>
      <c r="P26" s="49">
        <f t="shared" ref="P26" si="3">O28</f>
        <v>1901041.6666666656</v>
      </c>
      <c r="Q26" s="49">
        <f t="shared" ref="Q26" si="4">P28</f>
        <v>1848958.3333333323</v>
      </c>
      <c r="R26" s="49">
        <f>Q28</f>
        <v>1796874.9999999991</v>
      </c>
      <c r="S26" s="49">
        <f t="shared" ref="S26" si="5">R28</f>
        <v>1744791.6666666658</v>
      </c>
      <c r="T26" s="49">
        <f t="shared" ref="T26" si="6">S28</f>
        <v>1692708.3333333326</v>
      </c>
      <c r="U26" s="49">
        <f t="shared" ref="U26" si="7">T28</f>
        <v>1640624.9999999993</v>
      </c>
      <c r="V26" s="49">
        <f t="shared" ref="V26" si="8">U28</f>
        <v>1588541.666666666</v>
      </c>
      <c r="W26" s="49">
        <f t="shared" ref="W26" si="9">V28</f>
        <v>1536458.3333333328</v>
      </c>
      <c r="X26" s="49">
        <f t="shared" ref="X26" si="10">W28</f>
        <v>1484374.9999999995</v>
      </c>
      <c r="Y26" s="49">
        <f t="shared" ref="Y26" si="11">X28</f>
        <v>1432291.6666666663</v>
      </c>
      <c r="Z26" s="49">
        <f t="shared" ref="Z26" si="12">Y28</f>
        <v>1380208.333333333</v>
      </c>
      <c r="AA26" s="49">
        <f t="shared" ref="AA26" si="13">Z28</f>
        <v>1328124.9999999998</v>
      </c>
      <c r="AB26" s="49">
        <f t="shared" ref="AB26" si="14">AA28</f>
        <v>1276041.6666666665</v>
      </c>
      <c r="AC26" s="49">
        <f t="shared" ref="AC26" si="15">AB28</f>
        <v>1223958.3333333333</v>
      </c>
      <c r="AD26" s="49">
        <f t="shared" ref="AD26" si="16">AC28</f>
        <v>1171875</v>
      </c>
      <c r="AE26" s="49">
        <f t="shared" ref="AE26" si="17">AD28</f>
        <v>1119791.6666666667</v>
      </c>
      <c r="AF26" s="49">
        <f t="shared" ref="AF26" si="18">AE28</f>
        <v>1067708.3333333335</v>
      </c>
      <c r="AG26" s="49">
        <f t="shared" ref="AG26:AH26" si="19">AF28</f>
        <v>1015625.0000000001</v>
      </c>
      <c r="AH26" s="49">
        <f t="shared" si="19"/>
        <v>963541.66666666674</v>
      </c>
      <c r="AI26" s="49">
        <f t="shared" ref="AI26" si="20">AH28</f>
        <v>911458.33333333337</v>
      </c>
      <c r="AJ26" s="49">
        <f t="shared" ref="AJ26" si="21">AI28</f>
        <v>859375</v>
      </c>
      <c r="AK26" s="49">
        <f t="shared" ref="AK26" si="22">AJ28</f>
        <v>807291.66666666663</v>
      </c>
      <c r="AL26" s="49">
        <f t="shared" ref="AL26" si="23">AK28</f>
        <v>755208.33333333326</v>
      </c>
      <c r="AM26" s="49">
        <f t="shared" ref="AM26" si="24">AL28</f>
        <v>703124.99999999988</v>
      </c>
      <c r="AN26" s="49">
        <f t="shared" ref="AN26" si="25">AM28</f>
        <v>651041.66666666651</v>
      </c>
      <c r="AO26" s="49">
        <f t="shared" ref="AO26" si="26">AN28</f>
        <v>598958.33333333314</v>
      </c>
      <c r="AP26" s="49">
        <f t="shared" ref="AP26" si="27">AO28</f>
        <v>546874.99999999977</v>
      </c>
      <c r="AQ26" s="49">
        <f t="shared" ref="AQ26" si="28">AP28</f>
        <v>494791.66666666645</v>
      </c>
      <c r="AR26" s="49">
        <f t="shared" ref="AR26" si="29">AQ28</f>
        <v>442708.33333333314</v>
      </c>
      <c r="AS26" s="49">
        <f t="shared" ref="AS26" si="30">AR28</f>
        <v>390624.99999999983</v>
      </c>
      <c r="AT26" s="49">
        <f t="shared" ref="AT26" si="31">AS28</f>
        <v>338541.66666666651</v>
      </c>
      <c r="AU26" s="49">
        <f t="shared" ref="AU26" si="32">AT28</f>
        <v>286458.3333333332</v>
      </c>
      <c r="AV26" s="49">
        <f t="shared" ref="AV26" si="33">AU28</f>
        <v>234374.99999999988</v>
      </c>
      <c r="AW26" s="49">
        <f t="shared" ref="AW26" si="34">AV28</f>
        <v>182291.66666666657</v>
      </c>
      <c r="AX26" s="49">
        <f t="shared" ref="AX26" si="35">AW28</f>
        <v>130208.33333333324</v>
      </c>
      <c r="AY26" s="49">
        <f t="shared" ref="AY26" si="36">AX28</f>
        <v>78124.999999999913</v>
      </c>
      <c r="AZ26" s="49">
        <f t="shared" ref="AZ26" si="37">AY28</f>
        <v>26041.666666666584</v>
      </c>
      <c r="BA26" s="49"/>
      <c r="BB26" s="49"/>
      <c r="BC26" s="49"/>
      <c r="BD26" s="49"/>
      <c r="BE26" s="49"/>
      <c r="BF26" s="5"/>
    </row>
    <row r="27" spans="1:58" x14ac:dyDescent="0.3">
      <c r="B27" s="8" t="s">
        <v>1</v>
      </c>
      <c r="D27" s="52">
        <f>D26*$C$11</f>
        <v>26041.666666666664</v>
      </c>
      <c r="E27" s="53">
        <f t="shared" ref="E27:AJ27" si="38">MIN($D$23*$C$11,D24)</f>
        <v>52083.333333333328</v>
      </c>
      <c r="F27" s="53">
        <f t="shared" si="38"/>
        <v>52083.333333333328</v>
      </c>
      <c r="G27" s="53">
        <f t="shared" si="38"/>
        <v>52083.333333333328</v>
      </c>
      <c r="H27" s="53">
        <f t="shared" si="38"/>
        <v>52083.333333333328</v>
      </c>
      <c r="I27" s="53">
        <f t="shared" si="38"/>
        <v>52083.333333333328</v>
      </c>
      <c r="J27" s="53">
        <f t="shared" si="38"/>
        <v>52083.333333333328</v>
      </c>
      <c r="K27" s="53">
        <f t="shared" si="38"/>
        <v>52083.333333333328</v>
      </c>
      <c r="L27" s="53">
        <f t="shared" si="38"/>
        <v>52083.333333333328</v>
      </c>
      <c r="M27" s="53">
        <f t="shared" si="38"/>
        <v>52083.333333333328</v>
      </c>
      <c r="N27" s="53">
        <f t="shared" si="38"/>
        <v>52083.333333333328</v>
      </c>
      <c r="O27" s="53">
        <f t="shared" si="38"/>
        <v>52083.333333333328</v>
      </c>
      <c r="P27" s="53">
        <f t="shared" si="38"/>
        <v>52083.333333333328</v>
      </c>
      <c r="Q27" s="53">
        <f t="shared" si="38"/>
        <v>52083.333333333328</v>
      </c>
      <c r="R27" s="53">
        <f t="shared" si="38"/>
        <v>52083.333333333328</v>
      </c>
      <c r="S27" s="53">
        <f t="shared" si="38"/>
        <v>52083.333333333328</v>
      </c>
      <c r="T27" s="53">
        <f t="shared" si="38"/>
        <v>52083.333333333328</v>
      </c>
      <c r="U27" s="53">
        <f t="shared" si="38"/>
        <v>52083.333333333328</v>
      </c>
      <c r="V27" s="53">
        <f t="shared" si="38"/>
        <v>52083.333333333328</v>
      </c>
      <c r="W27" s="53">
        <f t="shared" si="38"/>
        <v>52083.333333333328</v>
      </c>
      <c r="X27" s="53">
        <f t="shared" si="38"/>
        <v>52083.333333333328</v>
      </c>
      <c r="Y27" s="53">
        <f t="shared" si="38"/>
        <v>52083.333333333328</v>
      </c>
      <c r="Z27" s="53">
        <f t="shared" si="38"/>
        <v>52083.333333333328</v>
      </c>
      <c r="AA27" s="53">
        <f t="shared" si="38"/>
        <v>52083.333333333328</v>
      </c>
      <c r="AB27" s="53">
        <f t="shared" si="38"/>
        <v>52083.333333333328</v>
      </c>
      <c r="AC27" s="53">
        <f t="shared" si="38"/>
        <v>52083.333333333328</v>
      </c>
      <c r="AD27" s="53">
        <f t="shared" si="38"/>
        <v>52083.333333333328</v>
      </c>
      <c r="AE27" s="53">
        <f t="shared" si="38"/>
        <v>52083.333333333328</v>
      </c>
      <c r="AF27" s="53">
        <f t="shared" si="38"/>
        <v>52083.333333333328</v>
      </c>
      <c r="AG27" s="53">
        <f t="shared" si="38"/>
        <v>52083.333333333328</v>
      </c>
      <c r="AH27" s="53">
        <f t="shared" si="38"/>
        <v>52083.333333333328</v>
      </c>
      <c r="AI27" s="53">
        <f t="shared" si="38"/>
        <v>52083.333333333328</v>
      </c>
      <c r="AJ27" s="53">
        <f t="shared" si="38"/>
        <v>52083.333333333328</v>
      </c>
      <c r="AK27" s="53">
        <f t="shared" ref="AK27:BE27" si="39">MIN($D$23*$C$11,AJ24)</f>
        <v>52083.333333333328</v>
      </c>
      <c r="AL27" s="53">
        <f t="shared" si="39"/>
        <v>52083.333333333328</v>
      </c>
      <c r="AM27" s="53">
        <f t="shared" si="39"/>
        <v>52083.333333333328</v>
      </c>
      <c r="AN27" s="53">
        <f t="shared" si="39"/>
        <v>52083.333333333328</v>
      </c>
      <c r="AO27" s="53">
        <f t="shared" si="39"/>
        <v>52083.333333333328</v>
      </c>
      <c r="AP27" s="53">
        <f t="shared" si="39"/>
        <v>52083.333333333328</v>
      </c>
      <c r="AQ27" s="53">
        <f t="shared" si="39"/>
        <v>52083.333333333328</v>
      </c>
      <c r="AR27" s="53">
        <f t="shared" si="39"/>
        <v>52083.333333333328</v>
      </c>
      <c r="AS27" s="53">
        <f t="shared" si="39"/>
        <v>52083.333333333328</v>
      </c>
      <c r="AT27" s="53">
        <f t="shared" si="39"/>
        <v>52083.333333333328</v>
      </c>
      <c r="AU27" s="53">
        <f t="shared" si="39"/>
        <v>52083.333333333328</v>
      </c>
      <c r="AV27" s="53">
        <f t="shared" si="39"/>
        <v>52083.333333333328</v>
      </c>
      <c r="AW27" s="53">
        <f t="shared" si="39"/>
        <v>52083.333333333328</v>
      </c>
      <c r="AX27" s="53">
        <f t="shared" si="39"/>
        <v>52083.333333333328</v>
      </c>
      <c r="AY27" s="53">
        <f t="shared" si="39"/>
        <v>52083.333333333328</v>
      </c>
      <c r="AZ27" s="53">
        <f t="shared" si="39"/>
        <v>26041.666666666977</v>
      </c>
      <c r="BA27" s="53">
        <f t="shared" si="39"/>
        <v>0</v>
      </c>
      <c r="BB27" s="53">
        <f t="shared" si="39"/>
        <v>0</v>
      </c>
      <c r="BC27" s="53">
        <f t="shared" si="39"/>
        <v>0</v>
      </c>
      <c r="BD27" s="53">
        <f t="shared" si="39"/>
        <v>0</v>
      </c>
      <c r="BE27" s="53">
        <f t="shared" si="39"/>
        <v>0</v>
      </c>
      <c r="BF27" s="5"/>
    </row>
    <row r="28" spans="1:58" x14ac:dyDescent="0.3">
      <c r="B28" s="8" t="s">
        <v>8</v>
      </c>
      <c r="D28" s="54">
        <f>D26-D27</f>
        <v>1223958.3333333333</v>
      </c>
      <c r="E28" s="54">
        <f>E26-E27</f>
        <v>2421874.9999999995</v>
      </c>
      <c r="F28" s="54">
        <f>F26-F27</f>
        <v>2369791.666666666</v>
      </c>
      <c r="G28" s="54">
        <f t="shared" ref="G28:N28" si="40">G26-G27</f>
        <v>2317708.3333333326</v>
      </c>
      <c r="H28" s="54">
        <f t="shared" si="40"/>
        <v>2265624.9999999991</v>
      </c>
      <c r="I28" s="54">
        <f t="shared" si="40"/>
        <v>2213541.6666666656</v>
      </c>
      <c r="J28" s="54">
        <f t="shared" si="40"/>
        <v>2161458.3333333321</v>
      </c>
      <c r="K28" s="54">
        <f t="shared" si="40"/>
        <v>2109374.9999999986</v>
      </c>
      <c r="L28" s="54">
        <f t="shared" si="40"/>
        <v>2057291.6666666653</v>
      </c>
      <c r="M28" s="54">
        <f t="shared" si="40"/>
        <v>2005208.3333333321</v>
      </c>
      <c r="N28" s="54">
        <f t="shared" si="40"/>
        <v>1953124.9999999988</v>
      </c>
      <c r="O28" s="54">
        <f t="shared" ref="O28:AC28" si="41">O26-O27</f>
        <v>1901041.6666666656</v>
      </c>
      <c r="P28" s="54">
        <f t="shared" si="41"/>
        <v>1848958.3333333323</v>
      </c>
      <c r="Q28" s="54">
        <f t="shared" si="41"/>
        <v>1796874.9999999991</v>
      </c>
      <c r="R28" s="54">
        <f t="shared" si="41"/>
        <v>1744791.6666666658</v>
      </c>
      <c r="S28" s="54">
        <f t="shared" si="41"/>
        <v>1692708.3333333326</v>
      </c>
      <c r="T28" s="54">
        <f t="shared" si="41"/>
        <v>1640624.9999999993</v>
      </c>
      <c r="U28" s="54">
        <f t="shared" si="41"/>
        <v>1588541.666666666</v>
      </c>
      <c r="V28" s="54">
        <f t="shared" si="41"/>
        <v>1536458.3333333328</v>
      </c>
      <c r="W28" s="54">
        <f t="shared" si="41"/>
        <v>1484374.9999999995</v>
      </c>
      <c r="X28" s="54">
        <f t="shared" si="41"/>
        <v>1432291.6666666663</v>
      </c>
      <c r="Y28" s="54">
        <f t="shared" si="41"/>
        <v>1380208.333333333</v>
      </c>
      <c r="Z28" s="54">
        <f t="shared" si="41"/>
        <v>1328124.9999999998</v>
      </c>
      <c r="AA28" s="54">
        <f t="shared" si="41"/>
        <v>1276041.6666666665</v>
      </c>
      <c r="AB28" s="54">
        <f t="shared" si="41"/>
        <v>1223958.3333333333</v>
      </c>
      <c r="AC28" s="54">
        <f t="shared" si="41"/>
        <v>1171875</v>
      </c>
      <c r="AD28" s="54">
        <f t="shared" ref="AD28:AG28" si="42">AD26-AD27</f>
        <v>1119791.6666666667</v>
      </c>
      <c r="AE28" s="54">
        <f t="shared" si="42"/>
        <v>1067708.3333333335</v>
      </c>
      <c r="AF28" s="54">
        <f t="shared" si="42"/>
        <v>1015625.0000000001</v>
      </c>
      <c r="AG28" s="54">
        <f t="shared" si="42"/>
        <v>963541.66666666674</v>
      </c>
      <c r="AH28" s="54">
        <f t="shared" ref="AH28" si="43">AH26-AH27</f>
        <v>911458.33333333337</v>
      </c>
      <c r="AI28" s="54">
        <f t="shared" ref="AI28:BE28" si="44">AI26-AI27</f>
        <v>859375</v>
      </c>
      <c r="AJ28" s="54">
        <f t="shared" si="44"/>
        <v>807291.66666666663</v>
      </c>
      <c r="AK28" s="54">
        <f t="shared" si="44"/>
        <v>755208.33333333326</v>
      </c>
      <c r="AL28" s="54">
        <f t="shared" si="44"/>
        <v>703124.99999999988</v>
      </c>
      <c r="AM28" s="54">
        <f t="shared" si="44"/>
        <v>651041.66666666651</v>
      </c>
      <c r="AN28" s="54">
        <f t="shared" si="44"/>
        <v>598958.33333333314</v>
      </c>
      <c r="AO28" s="54">
        <f t="shared" si="44"/>
        <v>546874.99999999977</v>
      </c>
      <c r="AP28" s="54">
        <f t="shared" si="44"/>
        <v>494791.66666666645</v>
      </c>
      <c r="AQ28" s="54">
        <f t="shared" si="44"/>
        <v>442708.33333333314</v>
      </c>
      <c r="AR28" s="54">
        <f t="shared" si="44"/>
        <v>390624.99999999983</v>
      </c>
      <c r="AS28" s="54">
        <f t="shared" si="44"/>
        <v>338541.66666666651</v>
      </c>
      <c r="AT28" s="54">
        <f t="shared" si="44"/>
        <v>286458.3333333332</v>
      </c>
      <c r="AU28" s="54">
        <f t="shared" si="44"/>
        <v>234374.99999999988</v>
      </c>
      <c r="AV28" s="54">
        <f t="shared" si="44"/>
        <v>182291.66666666657</v>
      </c>
      <c r="AW28" s="54">
        <f t="shared" si="44"/>
        <v>130208.33333333324</v>
      </c>
      <c r="AX28" s="54">
        <f t="shared" si="44"/>
        <v>78124.999999999913</v>
      </c>
      <c r="AY28" s="54">
        <f t="shared" si="44"/>
        <v>26041.666666666584</v>
      </c>
      <c r="AZ28" s="53">
        <f t="shared" si="44"/>
        <v>-3.92901711165905E-10</v>
      </c>
      <c r="BA28" s="53">
        <f t="shared" si="44"/>
        <v>0</v>
      </c>
      <c r="BB28" s="53">
        <f t="shared" si="44"/>
        <v>0</v>
      </c>
      <c r="BC28" s="53">
        <f t="shared" si="44"/>
        <v>0</v>
      </c>
      <c r="BD28" s="53">
        <f t="shared" si="44"/>
        <v>0</v>
      </c>
      <c r="BE28" s="53">
        <f t="shared" si="44"/>
        <v>0</v>
      </c>
      <c r="BF28" s="5"/>
    </row>
    <row r="29" spans="1:58" x14ac:dyDescent="0.3">
      <c r="B29" s="8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49"/>
      <c r="BB29" s="49"/>
      <c r="BC29" s="49"/>
      <c r="BD29" s="49"/>
      <c r="BE29" s="49"/>
      <c r="BF29" s="5"/>
    </row>
    <row r="30" spans="1:58" x14ac:dyDescent="0.3">
      <c r="B30" s="8" t="s">
        <v>9</v>
      </c>
      <c r="D30" s="49">
        <f t="shared" ref="D30:AI30" si="45">(D26+D28)/2</f>
        <v>1236979.1666666665</v>
      </c>
      <c r="E30" s="49">
        <f t="shared" si="45"/>
        <v>2447916.666666666</v>
      </c>
      <c r="F30" s="49">
        <f t="shared" si="45"/>
        <v>2395833.333333333</v>
      </c>
      <c r="G30" s="49">
        <f t="shared" si="45"/>
        <v>2343749.9999999991</v>
      </c>
      <c r="H30" s="49">
        <f t="shared" si="45"/>
        <v>2291666.666666666</v>
      </c>
      <c r="I30" s="49">
        <f t="shared" si="45"/>
        <v>2239583.3333333321</v>
      </c>
      <c r="J30" s="49">
        <f t="shared" si="45"/>
        <v>2187499.9999999991</v>
      </c>
      <c r="K30" s="49">
        <f t="shared" si="45"/>
        <v>2135416.6666666651</v>
      </c>
      <c r="L30" s="49">
        <f t="shared" si="45"/>
        <v>2083333.3333333321</v>
      </c>
      <c r="M30" s="49">
        <f t="shared" si="45"/>
        <v>2031249.9999999986</v>
      </c>
      <c r="N30" s="49">
        <f t="shared" si="45"/>
        <v>1979166.6666666656</v>
      </c>
      <c r="O30" s="49">
        <f t="shared" si="45"/>
        <v>1927083.3333333321</v>
      </c>
      <c r="P30" s="49">
        <f t="shared" si="45"/>
        <v>1874999.9999999991</v>
      </c>
      <c r="Q30" s="49">
        <f t="shared" si="45"/>
        <v>1822916.6666666656</v>
      </c>
      <c r="R30" s="49">
        <f t="shared" si="45"/>
        <v>1770833.3333333326</v>
      </c>
      <c r="S30" s="49">
        <f t="shared" si="45"/>
        <v>1718749.9999999991</v>
      </c>
      <c r="T30" s="49">
        <f t="shared" si="45"/>
        <v>1666666.666666666</v>
      </c>
      <c r="U30" s="49">
        <f t="shared" si="45"/>
        <v>1614583.3333333326</v>
      </c>
      <c r="V30" s="49">
        <f t="shared" si="45"/>
        <v>1562499.9999999995</v>
      </c>
      <c r="W30" s="49">
        <f t="shared" si="45"/>
        <v>1510416.666666666</v>
      </c>
      <c r="X30" s="49">
        <f t="shared" si="45"/>
        <v>1458333.333333333</v>
      </c>
      <c r="Y30" s="49">
        <f t="shared" si="45"/>
        <v>1406249.9999999995</v>
      </c>
      <c r="Z30" s="49">
        <f t="shared" si="45"/>
        <v>1354166.6666666665</v>
      </c>
      <c r="AA30" s="49">
        <f t="shared" si="45"/>
        <v>1302083.333333333</v>
      </c>
      <c r="AB30" s="49">
        <f t="shared" si="45"/>
        <v>1250000</v>
      </c>
      <c r="AC30" s="49">
        <f t="shared" si="45"/>
        <v>1197916.6666666665</v>
      </c>
      <c r="AD30" s="49">
        <f t="shared" si="45"/>
        <v>1145833.3333333335</v>
      </c>
      <c r="AE30" s="49">
        <f t="shared" si="45"/>
        <v>1093750</v>
      </c>
      <c r="AF30" s="49">
        <f t="shared" si="45"/>
        <v>1041666.6666666667</v>
      </c>
      <c r="AG30" s="49">
        <f t="shared" si="45"/>
        <v>989583.33333333349</v>
      </c>
      <c r="AH30" s="49">
        <f t="shared" si="45"/>
        <v>937500</v>
      </c>
      <c r="AI30" s="49">
        <f t="shared" si="45"/>
        <v>885416.66666666674</v>
      </c>
      <c r="AJ30" s="49">
        <f t="shared" ref="AJ30:AZ30" si="46">(AJ26+AJ28)/2</f>
        <v>833333.33333333326</v>
      </c>
      <c r="AK30" s="49">
        <f t="shared" si="46"/>
        <v>781250</v>
      </c>
      <c r="AL30" s="49">
        <f t="shared" si="46"/>
        <v>729166.66666666651</v>
      </c>
      <c r="AM30" s="49">
        <f t="shared" si="46"/>
        <v>677083.33333333326</v>
      </c>
      <c r="AN30" s="49">
        <f t="shared" si="46"/>
        <v>624999.99999999977</v>
      </c>
      <c r="AO30" s="49">
        <f t="shared" si="46"/>
        <v>572916.66666666651</v>
      </c>
      <c r="AP30" s="49">
        <f t="shared" si="46"/>
        <v>520833.33333333314</v>
      </c>
      <c r="AQ30" s="49">
        <f t="shared" si="46"/>
        <v>468749.99999999977</v>
      </c>
      <c r="AR30" s="49">
        <f t="shared" si="46"/>
        <v>416666.66666666651</v>
      </c>
      <c r="AS30" s="49">
        <f t="shared" si="46"/>
        <v>364583.33333333314</v>
      </c>
      <c r="AT30" s="49">
        <f t="shared" si="46"/>
        <v>312499.99999999988</v>
      </c>
      <c r="AU30" s="49">
        <f t="shared" si="46"/>
        <v>260416.66666666654</v>
      </c>
      <c r="AV30" s="49">
        <f t="shared" si="46"/>
        <v>208333.33333333323</v>
      </c>
      <c r="AW30" s="49">
        <f t="shared" si="46"/>
        <v>156249.99999999991</v>
      </c>
      <c r="AX30" s="49">
        <f t="shared" si="46"/>
        <v>104166.66666666657</v>
      </c>
      <c r="AY30" s="49">
        <f t="shared" si="46"/>
        <v>52083.333333333248</v>
      </c>
      <c r="AZ30" s="49">
        <f t="shared" si="46"/>
        <v>13020.833333333096</v>
      </c>
      <c r="BA30" s="49">
        <f t="shared" ref="BA30:BE30" si="47">(BA26+BA28)/2</f>
        <v>0</v>
      </c>
      <c r="BB30" s="49">
        <f t="shared" si="47"/>
        <v>0</v>
      </c>
      <c r="BC30" s="49">
        <f t="shared" si="47"/>
        <v>0</v>
      </c>
      <c r="BD30" s="49">
        <f t="shared" si="47"/>
        <v>0</v>
      </c>
      <c r="BE30" s="49">
        <f t="shared" si="47"/>
        <v>0</v>
      </c>
      <c r="BF30" s="5"/>
    </row>
    <row r="31" spans="1:58" x14ac:dyDescent="0.3">
      <c r="B31" s="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7"/>
    </row>
    <row r="32" spans="1:58" x14ac:dyDescent="0.3">
      <c r="B32" s="8" t="s">
        <v>62</v>
      </c>
      <c r="D32" s="49">
        <f t="shared" ref="D32:AI32" si="48">D27</f>
        <v>26041.666666666664</v>
      </c>
      <c r="E32" s="49">
        <f t="shared" si="48"/>
        <v>52083.333333333328</v>
      </c>
      <c r="F32" s="49">
        <f t="shared" si="48"/>
        <v>52083.333333333328</v>
      </c>
      <c r="G32" s="49">
        <f t="shared" si="48"/>
        <v>52083.333333333328</v>
      </c>
      <c r="H32" s="49">
        <f t="shared" si="48"/>
        <v>52083.333333333328</v>
      </c>
      <c r="I32" s="49">
        <f t="shared" si="48"/>
        <v>52083.333333333328</v>
      </c>
      <c r="J32" s="49">
        <f t="shared" si="48"/>
        <v>52083.333333333328</v>
      </c>
      <c r="K32" s="49">
        <f t="shared" si="48"/>
        <v>52083.333333333328</v>
      </c>
      <c r="L32" s="49">
        <f t="shared" si="48"/>
        <v>52083.333333333328</v>
      </c>
      <c r="M32" s="49">
        <f t="shared" si="48"/>
        <v>52083.333333333328</v>
      </c>
      <c r="N32" s="49">
        <f t="shared" si="48"/>
        <v>52083.333333333328</v>
      </c>
      <c r="O32" s="49">
        <f t="shared" si="48"/>
        <v>52083.333333333328</v>
      </c>
      <c r="P32" s="49">
        <f t="shared" si="48"/>
        <v>52083.333333333328</v>
      </c>
      <c r="Q32" s="49">
        <f t="shared" si="48"/>
        <v>52083.333333333328</v>
      </c>
      <c r="R32" s="49">
        <f t="shared" si="48"/>
        <v>52083.333333333328</v>
      </c>
      <c r="S32" s="49">
        <f t="shared" si="48"/>
        <v>52083.333333333328</v>
      </c>
      <c r="T32" s="49">
        <f t="shared" si="48"/>
        <v>52083.333333333328</v>
      </c>
      <c r="U32" s="49">
        <f t="shared" si="48"/>
        <v>52083.333333333328</v>
      </c>
      <c r="V32" s="49">
        <f t="shared" si="48"/>
        <v>52083.333333333328</v>
      </c>
      <c r="W32" s="49">
        <f t="shared" si="48"/>
        <v>52083.333333333328</v>
      </c>
      <c r="X32" s="49">
        <f t="shared" si="48"/>
        <v>52083.333333333328</v>
      </c>
      <c r="Y32" s="49">
        <f t="shared" si="48"/>
        <v>52083.333333333328</v>
      </c>
      <c r="Z32" s="49">
        <f t="shared" si="48"/>
        <v>52083.333333333328</v>
      </c>
      <c r="AA32" s="49">
        <f t="shared" si="48"/>
        <v>52083.333333333328</v>
      </c>
      <c r="AB32" s="49">
        <f t="shared" si="48"/>
        <v>52083.333333333328</v>
      </c>
      <c r="AC32" s="49">
        <f t="shared" si="48"/>
        <v>52083.333333333328</v>
      </c>
      <c r="AD32" s="49">
        <f t="shared" si="48"/>
        <v>52083.333333333328</v>
      </c>
      <c r="AE32" s="49">
        <f t="shared" si="48"/>
        <v>52083.333333333328</v>
      </c>
      <c r="AF32" s="49">
        <f t="shared" si="48"/>
        <v>52083.333333333328</v>
      </c>
      <c r="AG32" s="49">
        <f t="shared" si="48"/>
        <v>52083.333333333328</v>
      </c>
      <c r="AH32" s="49">
        <f t="shared" si="48"/>
        <v>52083.333333333328</v>
      </c>
      <c r="AI32" s="49">
        <f t="shared" si="48"/>
        <v>52083.333333333328</v>
      </c>
      <c r="AJ32" s="49">
        <f t="shared" ref="AJ32:AZ32" si="49">AJ27</f>
        <v>52083.333333333328</v>
      </c>
      <c r="AK32" s="49">
        <f t="shared" si="49"/>
        <v>52083.333333333328</v>
      </c>
      <c r="AL32" s="49">
        <f t="shared" si="49"/>
        <v>52083.333333333328</v>
      </c>
      <c r="AM32" s="49">
        <f t="shared" si="49"/>
        <v>52083.333333333328</v>
      </c>
      <c r="AN32" s="49">
        <f t="shared" si="49"/>
        <v>52083.333333333328</v>
      </c>
      <c r="AO32" s="49">
        <f t="shared" si="49"/>
        <v>52083.333333333328</v>
      </c>
      <c r="AP32" s="49">
        <f t="shared" si="49"/>
        <v>52083.333333333328</v>
      </c>
      <c r="AQ32" s="49">
        <f t="shared" si="49"/>
        <v>52083.333333333328</v>
      </c>
      <c r="AR32" s="49">
        <f t="shared" si="49"/>
        <v>52083.333333333328</v>
      </c>
      <c r="AS32" s="49">
        <f t="shared" si="49"/>
        <v>52083.333333333328</v>
      </c>
      <c r="AT32" s="49">
        <f t="shared" si="49"/>
        <v>52083.333333333328</v>
      </c>
      <c r="AU32" s="49">
        <f t="shared" si="49"/>
        <v>52083.333333333328</v>
      </c>
      <c r="AV32" s="49">
        <f t="shared" si="49"/>
        <v>52083.333333333328</v>
      </c>
      <c r="AW32" s="49">
        <f t="shared" si="49"/>
        <v>52083.333333333328</v>
      </c>
      <c r="AX32" s="49">
        <f t="shared" si="49"/>
        <v>52083.333333333328</v>
      </c>
      <c r="AY32" s="49">
        <f t="shared" si="49"/>
        <v>52083.333333333328</v>
      </c>
      <c r="AZ32" s="49">
        <f t="shared" si="49"/>
        <v>26041.666666666977</v>
      </c>
      <c r="BA32" s="49">
        <f t="shared" ref="BA32:BE32" si="50">BA27</f>
        <v>0</v>
      </c>
      <c r="BB32" s="49">
        <f t="shared" si="50"/>
        <v>0</v>
      </c>
      <c r="BC32" s="49">
        <f t="shared" si="50"/>
        <v>0</v>
      </c>
      <c r="BD32" s="49">
        <f t="shared" si="50"/>
        <v>0</v>
      </c>
      <c r="BE32" s="49">
        <f t="shared" si="50"/>
        <v>0</v>
      </c>
      <c r="BF32" s="5"/>
    </row>
    <row r="33" spans="2:59" x14ac:dyDescent="0.3">
      <c r="B33" s="8" t="s">
        <v>3</v>
      </c>
      <c r="D33" s="49">
        <f t="shared" ref="D33:AI33" si="51">(D30*$C$9)*$C$8</f>
        <v>29984.374999999993</v>
      </c>
      <c r="E33" s="49">
        <f t="shared" si="51"/>
        <v>59337.499999999978</v>
      </c>
      <c r="F33" s="49">
        <f t="shared" si="51"/>
        <v>58074.999999999985</v>
      </c>
      <c r="G33" s="49">
        <f t="shared" si="51"/>
        <v>56812.499999999971</v>
      </c>
      <c r="H33" s="49">
        <f t="shared" si="51"/>
        <v>55549.999999999978</v>
      </c>
      <c r="I33" s="49">
        <f t="shared" si="51"/>
        <v>54287.499999999971</v>
      </c>
      <c r="J33" s="49">
        <f t="shared" si="51"/>
        <v>53024.999999999971</v>
      </c>
      <c r="K33" s="49">
        <f t="shared" si="51"/>
        <v>51762.499999999964</v>
      </c>
      <c r="L33" s="49">
        <f t="shared" si="51"/>
        <v>50499.999999999971</v>
      </c>
      <c r="M33" s="49">
        <f t="shared" si="51"/>
        <v>49237.499999999964</v>
      </c>
      <c r="N33" s="49">
        <f t="shared" si="51"/>
        <v>47974.999999999971</v>
      </c>
      <c r="O33" s="49">
        <f t="shared" si="51"/>
        <v>46712.499999999971</v>
      </c>
      <c r="P33" s="49">
        <f t="shared" si="51"/>
        <v>45449.999999999971</v>
      </c>
      <c r="Q33" s="49">
        <f t="shared" si="51"/>
        <v>44187.499999999971</v>
      </c>
      <c r="R33" s="49">
        <f t="shared" si="51"/>
        <v>42924.999999999978</v>
      </c>
      <c r="S33" s="49">
        <f t="shared" si="51"/>
        <v>41662.499999999978</v>
      </c>
      <c r="T33" s="49">
        <f t="shared" si="51"/>
        <v>40399.999999999978</v>
      </c>
      <c r="U33" s="49">
        <f t="shared" si="51"/>
        <v>39137.499999999978</v>
      </c>
      <c r="V33" s="49">
        <f t="shared" si="51"/>
        <v>37874.999999999985</v>
      </c>
      <c r="W33" s="49">
        <f t="shared" si="51"/>
        <v>36612.499999999985</v>
      </c>
      <c r="X33" s="49">
        <f t="shared" si="51"/>
        <v>35349.999999999993</v>
      </c>
      <c r="Y33" s="49">
        <f t="shared" si="51"/>
        <v>34087.499999999985</v>
      </c>
      <c r="Z33" s="49">
        <f t="shared" si="51"/>
        <v>32824.999999999993</v>
      </c>
      <c r="AA33" s="49">
        <f t="shared" si="51"/>
        <v>31562.499999999989</v>
      </c>
      <c r="AB33" s="49">
        <f t="shared" si="51"/>
        <v>30300</v>
      </c>
      <c r="AC33" s="49">
        <f t="shared" si="51"/>
        <v>29037.499999999993</v>
      </c>
      <c r="AD33" s="49">
        <f t="shared" si="51"/>
        <v>27775.000000000004</v>
      </c>
      <c r="AE33" s="49">
        <f t="shared" si="51"/>
        <v>26512.5</v>
      </c>
      <c r="AF33" s="49">
        <f t="shared" si="51"/>
        <v>25250</v>
      </c>
      <c r="AG33" s="49">
        <f t="shared" si="51"/>
        <v>23987.500000000004</v>
      </c>
      <c r="AH33" s="49">
        <f t="shared" si="51"/>
        <v>22725</v>
      </c>
      <c r="AI33" s="49">
        <f t="shared" si="51"/>
        <v>21462.5</v>
      </c>
      <c r="AJ33" s="49">
        <f t="shared" ref="AJ33:AZ33" si="52">(AJ30*$C$9)*$C$8</f>
        <v>20199.999999999996</v>
      </c>
      <c r="AK33" s="49">
        <f t="shared" si="52"/>
        <v>18937.5</v>
      </c>
      <c r="AL33" s="49">
        <f t="shared" si="52"/>
        <v>17674.999999999996</v>
      </c>
      <c r="AM33" s="49">
        <f t="shared" si="52"/>
        <v>16412.499999999996</v>
      </c>
      <c r="AN33" s="49">
        <f t="shared" si="52"/>
        <v>15149.999999999993</v>
      </c>
      <c r="AO33" s="49">
        <f t="shared" si="52"/>
        <v>13887.499999999995</v>
      </c>
      <c r="AP33" s="49">
        <f t="shared" si="52"/>
        <v>12624.999999999995</v>
      </c>
      <c r="AQ33" s="49">
        <f t="shared" si="52"/>
        <v>11362.499999999993</v>
      </c>
      <c r="AR33" s="49">
        <f t="shared" si="52"/>
        <v>10099.999999999995</v>
      </c>
      <c r="AS33" s="49">
        <f t="shared" si="52"/>
        <v>8837.4999999999945</v>
      </c>
      <c r="AT33" s="49">
        <f t="shared" si="52"/>
        <v>7574.9999999999964</v>
      </c>
      <c r="AU33" s="49">
        <f t="shared" si="52"/>
        <v>6312.4999999999964</v>
      </c>
      <c r="AV33" s="49">
        <f t="shared" si="52"/>
        <v>5049.9999999999973</v>
      </c>
      <c r="AW33" s="49">
        <f t="shared" si="52"/>
        <v>3787.4999999999977</v>
      </c>
      <c r="AX33" s="49">
        <f t="shared" si="52"/>
        <v>2524.9999999999977</v>
      </c>
      <c r="AY33" s="49">
        <f t="shared" si="52"/>
        <v>1262.499999999998</v>
      </c>
      <c r="AZ33" s="49">
        <f t="shared" si="52"/>
        <v>315.6249999999942</v>
      </c>
      <c r="BA33" s="49">
        <f t="shared" ref="BA33:BE33" si="53">(BA30*$C$9)*$C$8</f>
        <v>0</v>
      </c>
      <c r="BB33" s="49">
        <f t="shared" si="53"/>
        <v>0</v>
      </c>
      <c r="BC33" s="49">
        <f t="shared" si="53"/>
        <v>0</v>
      </c>
      <c r="BD33" s="49">
        <f t="shared" si="53"/>
        <v>0</v>
      </c>
      <c r="BE33" s="49">
        <f t="shared" si="53"/>
        <v>0</v>
      </c>
      <c r="BF33" s="49"/>
    </row>
    <row r="34" spans="2:59" x14ac:dyDescent="0.3">
      <c r="B34" s="8" t="s">
        <v>6</v>
      </c>
      <c r="D34" s="49">
        <f t="shared" ref="D34:AI34" si="54">(D30*$C$7)*$C$6</f>
        <v>46312.5</v>
      </c>
      <c r="E34" s="49">
        <f t="shared" si="54"/>
        <v>91649.999999999985</v>
      </c>
      <c r="F34" s="49">
        <f t="shared" si="54"/>
        <v>89700</v>
      </c>
      <c r="G34" s="49">
        <f t="shared" si="54"/>
        <v>87749.999999999971</v>
      </c>
      <c r="H34" s="49">
        <f t="shared" si="54"/>
        <v>85799.999999999985</v>
      </c>
      <c r="I34" s="49">
        <f t="shared" si="54"/>
        <v>83849.999999999956</v>
      </c>
      <c r="J34" s="49">
        <f t="shared" si="54"/>
        <v>81899.999999999971</v>
      </c>
      <c r="K34" s="49">
        <f t="shared" si="54"/>
        <v>79949.999999999942</v>
      </c>
      <c r="L34" s="49">
        <f t="shared" si="54"/>
        <v>77999.999999999956</v>
      </c>
      <c r="M34" s="49">
        <f t="shared" si="54"/>
        <v>76049.999999999956</v>
      </c>
      <c r="N34" s="49">
        <f t="shared" si="54"/>
        <v>74099.999999999971</v>
      </c>
      <c r="O34" s="49">
        <f t="shared" si="54"/>
        <v>72149.999999999956</v>
      </c>
      <c r="P34" s="49">
        <f t="shared" si="54"/>
        <v>70199.999999999971</v>
      </c>
      <c r="Q34" s="49">
        <f t="shared" si="54"/>
        <v>68249.999999999971</v>
      </c>
      <c r="R34" s="49">
        <f t="shared" si="54"/>
        <v>66299.999999999971</v>
      </c>
      <c r="S34" s="49">
        <f t="shared" si="54"/>
        <v>64349.999999999971</v>
      </c>
      <c r="T34" s="49">
        <f t="shared" si="54"/>
        <v>62399.999999999985</v>
      </c>
      <c r="U34" s="49">
        <f t="shared" si="54"/>
        <v>60449.999999999971</v>
      </c>
      <c r="V34" s="49">
        <f t="shared" si="54"/>
        <v>58499.999999999993</v>
      </c>
      <c r="W34" s="49">
        <f t="shared" si="54"/>
        <v>56549.999999999978</v>
      </c>
      <c r="X34" s="49">
        <f t="shared" si="54"/>
        <v>54599.999999999993</v>
      </c>
      <c r="Y34" s="49">
        <f t="shared" si="54"/>
        <v>52649.999999999993</v>
      </c>
      <c r="Z34" s="49">
        <f t="shared" si="54"/>
        <v>50700</v>
      </c>
      <c r="AA34" s="49">
        <f t="shared" si="54"/>
        <v>48749.999999999993</v>
      </c>
      <c r="AB34" s="49">
        <f t="shared" si="54"/>
        <v>46800</v>
      </c>
      <c r="AC34" s="49">
        <f t="shared" si="54"/>
        <v>44850</v>
      </c>
      <c r="AD34" s="49">
        <f t="shared" si="54"/>
        <v>42900.000000000007</v>
      </c>
      <c r="AE34" s="49">
        <f t="shared" si="54"/>
        <v>40950</v>
      </c>
      <c r="AF34" s="49">
        <f t="shared" si="54"/>
        <v>39000.000000000007</v>
      </c>
      <c r="AG34" s="49">
        <f t="shared" si="54"/>
        <v>37050.000000000007</v>
      </c>
      <c r="AH34" s="49">
        <f t="shared" si="54"/>
        <v>35100</v>
      </c>
      <c r="AI34" s="49">
        <f t="shared" si="54"/>
        <v>33150.000000000007</v>
      </c>
      <c r="AJ34" s="49">
        <f t="shared" ref="AJ34:AZ34" si="55">(AJ30*$C$7)*$C$6</f>
        <v>31200</v>
      </c>
      <c r="AK34" s="49">
        <f t="shared" si="55"/>
        <v>29250</v>
      </c>
      <c r="AL34" s="49">
        <f t="shared" si="55"/>
        <v>27299.999999999996</v>
      </c>
      <c r="AM34" s="49">
        <f t="shared" si="55"/>
        <v>25350</v>
      </c>
      <c r="AN34" s="49">
        <f t="shared" si="55"/>
        <v>23399.999999999993</v>
      </c>
      <c r="AO34" s="49">
        <f t="shared" si="55"/>
        <v>21449.999999999996</v>
      </c>
      <c r="AP34" s="49">
        <f t="shared" si="55"/>
        <v>19499.999999999993</v>
      </c>
      <c r="AQ34" s="49">
        <f t="shared" si="55"/>
        <v>17549.999999999993</v>
      </c>
      <c r="AR34" s="49">
        <f t="shared" si="55"/>
        <v>15599.999999999996</v>
      </c>
      <c r="AS34" s="49">
        <f t="shared" si="55"/>
        <v>13649.999999999993</v>
      </c>
      <c r="AT34" s="49">
        <f t="shared" si="55"/>
        <v>11699.999999999996</v>
      </c>
      <c r="AU34" s="49">
        <f t="shared" si="55"/>
        <v>9749.9999999999964</v>
      </c>
      <c r="AV34" s="49">
        <f t="shared" si="55"/>
        <v>7799.9999999999973</v>
      </c>
      <c r="AW34" s="49">
        <f t="shared" si="55"/>
        <v>5849.9999999999973</v>
      </c>
      <c r="AX34" s="49">
        <f t="shared" si="55"/>
        <v>3899.9999999999964</v>
      </c>
      <c r="AY34" s="49">
        <f t="shared" si="55"/>
        <v>1949.9999999999968</v>
      </c>
      <c r="AZ34" s="49">
        <f t="shared" si="55"/>
        <v>487.49999999999113</v>
      </c>
      <c r="BA34" s="49">
        <f t="shared" ref="BA34:BE34" si="56">(BA30*$C$7)*$C$6</f>
        <v>0</v>
      </c>
      <c r="BB34" s="49">
        <f t="shared" si="56"/>
        <v>0</v>
      </c>
      <c r="BC34" s="49">
        <f t="shared" si="56"/>
        <v>0</v>
      </c>
      <c r="BD34" s="49">
        <f t="shared" si="56"/>
        <v>0</v>
      </c>
      <c r="BE34" s="49">
        <f t="shared" si="56"/>
        <v>0</v>
      </c>
      <c r="BF34" s="49"/>
      <c r="BG34" s="3"/>
    </row>
    <row r="35" spans="2:59" x14ac:dyDescent="0.3">
      <c r="B35" s="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</row>
    <row r="36" spans="2:59" x14ac:dyDescent="0.3">
      <c r="B36" s="8" t="s">
        <v>11</v>
      </c>
      <c r="D36" s="50">
        <f>D26</f>
        <v>1250000</v>
      </c>
      <c r="E36" s="55">
        <f>D38+D23/2</f>
        <v>2300000</v>
      </c>
      <c r="F36" s="49">
        <f>E38</f>
        <v>2116000</v>
      </c>
      <c r="G36" s="49">
        <f t="shared" ref="G36:N36" si="57">F38</f>
        <v>1946720</v>
      </c>
      <c r="H36" s="49">
        <f t="shared" si="57"/>
        <v>1790982.4</v>
      </c>
      <c r="I36" s="49">
        <f t="shared" si="57"/>
        <v>1647703.808</v>
      </c>
      <c r="J36" s="49">
        <f t="shared" si="57"/>
        <v>1515887.50336</v>
      </c>
      <c r="K36" s="49">
        <f t="shared" si="57"/>
        <v>1394616.5030912</v>
      </c>
      <c r="L36" s="49">
        <f t="shared" si="57"/>
        <v>1283047.182843904</v>
      </c>
      <c r="M36" s="49">
        <f t="shared" si="57"/>
        <v>1180403.4082163917</v>
      </c>
      <c r="N36" s="49">
        <f t="shared" si="57"/>
        <v>1085971.1355590804</v>
      </c>
      <c r="O36" s="49">
        <f t="shared" ref="O36" si="58">N38</f>
        <v>999093.444714354</v>
      </c>
      <c r="P36" s="49">
        <f>O38</f>
        <v>919165.96913720574</v>
      </c>
      <c r="Q36" s="49">
        <f t="shared" ref="Q36" si="59">P38</f>
        <v>845632.69160622929</v>
      </c>
      <c r="R36" s="49">
        <f>Q38</f>
        <v>777982.07627773099</v>
      </c>
      <c r="S36" s="49">
        <f t="shared" ref="S36" si="60">R38</f>
        <v>715743.51017551252</v>
      </c>
      <c r="T36" s="49">
        <f t="shared" ref="T36" si="61">S38</f>
        <v>658484.02936147153</v>
      </c>
      <c r="U36" s="49">
        <f t="shared" ref="U36" si="62">T38</f>
        <v>605805.30701255379</v>
      </c>
      <c r="V36" s="49">
        <f t="shared" ref="V36" si="63">U38</f>
        <v>557340.88245154952</v>
      </c>
      <c r="W36" s="49">
        <f t="shared" ref="W36" si="64">V38</f>
        <v>512753.61185542558</v>
      </c>
      <c r="X36" s="49">
        <f t="shared" ref="X36" si="65">W38</f>
        <v>471733.32290699153</v>
      </c>
      <c r="Y36" s="49">
        <f t="shared" ref="Y36" si="66">X38</f>
        <v>433994.65707443218</v>
      </c>
      <c r="Z36" s="49">
        <f t="shared" ref="Z36" si="67">Y38</f>
        <v>399275.08450847759</v>
      </c>
      <c r="AA36" s="49">
        <f t="shared" ref="AA36" si="68">Z38</f>
        <v>367333.0777477994</v>
      </c>
      <c r="AB36" s="49">
        <f t="shared" ref="AB36" si="69">AA38</f>
        <v>337946.43152797542</v>
      </c>
      <c r="AC36" s="49">
        <f t="shared" ref="AC36" si="70">AB38</f>
        <v>310910.71700573736</v>
      </c>
      <c r="AD36" s="49">
        <f t="shared" ref="AD36" si="71">AC38</f>
        <v>286037.85964527837</v>
      </c>
      <c r="AE36" s="49">
        <f t="shared" ref="AE36" si="72">AD38</f>
        <v>263154.83087365609</v>
      </c>
      <c r="AF36" s="49">
        <f t="shared" ref="AF36" si="73">AE38</f>
        <v>242102.4444037636</v>
      </c>
      <c r="AG36" s="49">
        <f t="shared" ref="AG36:AH36" si="74">AF38</f>
        <v>222734.2488514625</v>
      </c>
      <c r="AH36" s="49">
        <f t="shared" si="74"/>
        <v>204915.50894334551</v>
      </c>
      <c r="AI36" s="49">
        <f t="shared" ref="AI36" si="75">AH38</f>
        <v>188522.26822787788</v>
      </c>
      <c r="AJ36" s="49">
        <f t="shared" ref="AJ36" si="76">AI38</f>
        <v>173440.48676964766</v>
      </c>
      <c r="AK36" s="49">
        <f t="shared" ref="AK36" si="77">AJ38</f>
        <v>159565.24782807584</v>
      </c>
      <c r="AL36" s="49">
        <f t="shared" ref="AL36" si="78">AK38</f>
        <v>146800.02800182978</v>
      </c>
      <c r="AM36" s="49">
        <f t="shared" ref="AM36" si="79">AL38</f>
        <v>135056.02576168338</v>
      </c>
      <c r="AN36" s="49">
        <f t="shared" ref="AN36" si="80">AM38</f>
        <v>124251.54370074871</v>
      </c>
      <c r="AO36" s="49">
        <f t="shared" ref="AO36" si="81">AN38</f>
        <v>114311.42020468881</v>
      </c>
      <c r="AP36" s="49">
        <f t="shared" ref="AP36" si="82">AO38</f>
        <v>105166.5065883137</v>
      </c>
      <c r="AQ36" s="49">
        <f t="shared" ref="AQ36" si="83">AP38</f>
        <v>96753.186061248605</v>
      </c>
      <c r="AR36" s="49">
        <f t="shared" ref="AR36" si="84">AQ38</f>
        <v>89012.93117634872</v>
      </c>
      <c r="AS36" s="49">
        <f t="shared" ref="AS36" si="85">AR38</f>
        <v>81891.896682240826</v>
      </c>
      <c r="AT36" s="49">
        <f t="shared" ref="AT36" si="86">AS38</f>
        <v>75340.544947661561</v>
      </c>
      <c r="AU36" s="49">
        <f t="shared" ref="AU36" si="87">AT38</f>
        <v>69313.30135184864</v>
      </c>
      <c r="AV36" s="49">
        <f t="shared" ref="AV36" si="88">AU38</f>
        <v>63768.237243700751</v>
      </c>
      <c r="AW36" s="49">
        <f t="shared" ref="AW36" si="89">AV38</f>
        <v>58666.778264204688</v>
      </c>
      <c r="AX36" s="49">
        <f t="shared" ref="AX36" si="90">AW38</f>
        <v>53973.436003068316</v>
      </c>
      <c r="AY36" s="49">
        <f t="shared" ref="AY36" si="91">AX38</f>
        <v>49655.561122822852</v>
      </c>
      <c r="AZ36" s="49">
        <f t="shared" ref="AZ36" si="92">AY38</f>
        <v>45683.116232997025</v>
      </c>
      <c r="BA36" s="49">
        <f t="shared" ref="BA36" si="93">AZ38</f>
        <v>42028.46693435726</v>
      </c>
      <c r="BB36" s="49">
        <f t="shared" ref="BB36" si="94">BA38</f>
        <v>38666.189579608683</v>
      </c>
      <c r="BC36" s="49">
        <f t="shared" ref="BC36" si="95">BB38</f>
        <v>35572.894413239992</v>
      </c>
      <c r="BD36" s="49">
        <f t="shared" ref="BD36" si="96">BC38</f>
        <v>32727.062860180791</v>
      </c>
      <c r="BE36" s="49">
        <f t="shared" ref="BE36" si="97">BD38</f>
        <v>30108.897831366328</v>
      </c>
      <c r="BF36" s="49"/>
    </row>
    <row r="37" spans="2:59" x14ac:dyDescent="0.3">
      <c r="B37" s="8" t="s">
        <v>17</v>
      </c>
      <c r="C37" s="113"/>
      <c r="D37" s="55">
        <f>(D26*C12)*2</f>
        <v>200000</v>
      </c>
      <c r="E37" s="49">
        <f>E36*$C$12</f>
        <v>184000</v>
      </c>
      <c r="F37" s="49">
        <f t="shared" ref="F37:BE37" si="98">F36*$C$12</f>
        <v>169280</v>
      </c>
      <c r="G37" s="49">
        <f t="shared" si="98"/>
        <v>155737.60000000001</v>
      </c>
      <c r="H37" s="49">
        <f t="shared" si="98"/>
        <v>143278.592</v>
      </c>
      <c r="I37" s="49">
        <f t="shared" si="98"/>
        <v>131816.30463999999</v>
      </c>
      <c r="J37" s="49">
        <f t="shared" si="98"/>
        <v>121271.00026879999</v>
      </c>
      <c r="K37" s="49">
        <f t="shared" si="98"/>
        <v>111569.32024729601</v>
      </c>
      <c r="L37" s="49">
        <f t="shared" si="98"/>
        <v>102643.77462751232</v>
      </c>
      <c r="M37" s="49">
        <f t="shared" si="98"/>
        <v>94432.272657311332</v>
      </c>
      <c r="N37" s="49">
        <f t="shared" si="98"/>
        <v>86877.690844726429</v>
      </c>
      <c r="O37" s="49">
        <f t="shared" si="98"/>
        <v>79927.475577148318</v>
      </c>
      <c r="P37" s="50">
        <f t="shared" si="98"/>
        <v>73533.277530976455</v>
      </c>
      <c r="Q37" s="49">
        <f t="shared" si="98"/>
        <v>67650.615328498345</v>
      </c>
      <c r="R37" s="49">
        <f t="shared" si="98"/>
        <v>62238.56610221848</v>
      </c>
      <c r="S37" s="49">
        <f t="shared" si="98"/>
        <v>57259.480814041002</v>
      </c>
      <c r="T37" s="49">
        <f t="shared" si="98"/>
        <v>52678.722348917727</v>
      </c>
      <c r="U37" s="49">
        <f t="shared" si="98"/>
        <v>48464.424561004307</v>
      </c>
      <c r="V37" s="49">
        <f t="shared" si="98"/>
        <v>44587.270596123963</v>
      </c>
      <c r="W37" s="49">
        <f t="shared" si="98"/>
        <v>41020.288948434049</v>
      </c>
      <c r="X37" s="49">
        <f t="shared" si="98"/>
        <v>37738.665832559323</v>
      </c>
      <c r="Y37" s="49">
        <f t="shared" si="98"/>
        <v>34719.572565954571</v>
      </c>
      <c r="Z37" s="49">
        <f t="shared" si="98"/>
        <v>31942.006760678207</v>
      </c>
      <c r="AA37" s="49">
        <f t="shared" si="98"/>
        <v>29386.646219823953</v>
      </c>
      <c r="AB37" s="49">
        <f t="shared" si="98"/>
        <v>27035.714522238035</v>
      </c>
      <c r="AC37" s="49">
        <f t="shared" si="98"/>
        <v>24872.857360458991</v>
      </c>
      <c r="AD37" s="49">
        <f t="shared" si="98"/>
        <v>22883.02877162227</v>
      </c>
      <c r="AE37" s="49">
        <f t="shared" si="98"/>
        <v>21052.386469892488</v>
      </c>
      <c r="AF37" s="49">
        <f t="shared" si="98"/>
        <v>19368.195552301087</v>
      </c>
      <c r="AG37" s="49">
        <f t="shared" si="98"/>
        <v>17818.739908117001</v>
      </c>
      <c r="AH37" s="49">
        <f t="shared" si="98"/>
        <v>16393.24071546764</v>
      </c>
      <c r="AI37" s="49">
        <f t="shared" si="98"/>
        <v>15081.781458230231</v>
      </c>
      <c r="AJ37" s="49">
        <f t="shared" si="98"/>
        <v>13875.238941571813</v>
      </c>
      <c r="AK37" s="49">
        <f t="shared" si="98"/>
        <v>12765.219826246068</v>
      </c>
      <c r="AL37" s="49">
        <f t="shared" si="98"/>
        <v>11744.002240146383</v>
      </c>
      <c r="AM37" s="49">
        <f t="shared" si="98"/>
        <v>10804.482060934672</v>
      </c>
      <c r="AN37" s="49">
        <f t="shared" si="98"/>
        <v>9940.1234960598958</v>
      </c>
      <c r="AO37" s="49">
        <f t="shared" si="98"/>
        <v>9144.9136163751045</v>
      </c>
      <c r="AP37" s="49">
        <f t="shared" si="98"/>
        <v>8413.320527065096</v>
      </c>
      <c r="AQ37" s="49">
        <f t="shared" si="98"/>
        <v>7740.2548848998886</v>
      </c>
      <c r="AR37" s="49">
        <f t="shared" si="98"/>
        <v>7121.0344941078974</v>
      </c>
      <c r="AS37" s="49">
        <f t="shared" si="98"/>
        <v>6551.3517345792661</v>
      </c>
      <c r="AT37" s="49">
        <f t="shared" si="98"/>
        <v>6027.2435958129254</v>
      </c>
      <c r="AU37" s="49">
        <f t="shared" si="98"/>
        <v>5545.0641081478916</v>
      </c>
      <c r="AV37" s="49">
        <f t="shared" si="98"/>
        <v>5101.4589794960602</v>
      </c>
      <c r="AW37" s="49">
        <f t="shared" si="98"/>
        <v>4693.3422611363749</v>
      </c>
      <c r="AX37" s="49">
        <f t="shared" si="98"/>
        <v>4317.8748802454656</v>
      </c>
      <c r="AY37" s="49">
        <f t="shared" si="98"/>
        <v>3972.4448898258283</v>
      </c>
      <c r="AZ37" s="49">
        <f t="shared" si="98"/>
        <v>3654.649298639762</v>
      </c>
      <c r="BA37" s="49">
        <f t="shared" si="98"/>
        <v>3362.2773547485808</v>
      </c>
      <c r="BB37" s="49">
        <f t="shared" si="98"/>
        <v>3093.2951663686945</v>
      </c>
      <c r="BC37" s="49">
        <f t="shared" si="98"/>
        <v>2845.8315530591995</v>
      </c>
      <c r="BD37" s="49">
        <f t="shared" si="98"/>
        <v>2618.1650288144633</v>
      </c>
      <c r="BE37" s="49">
        <f t="shared" si="98"/>
        <v>2408.7118265093063</v>
      </c>
      <c r="BF37" s="49"/>
    </row>
    <row r="38" spans="2:59" x14ac:dyDescent="0.3">
      <c r="B38" s="8" t="s">
        <v>12</v>
      </c>
      <c r="D38" s="49">
        <f>IF((D36-D37)&gt;0,D36-D37,0)</f>
        <v>1050000</v>
      </c>
      <c r="E38" s="49">
        <f t="shared" ref="E38:BE38" si="99">IF((E36-E37)&gt;0,E36-E37,0)</f>
        <v>2116000</v>
      </c>
      <c r="F38" s="49">
        <f t="shared" si="99"/>
        <v>1946720</v>
      </c>
      <c r="G38" s="49">
        <f t="shared" si="99"/>
        <v>1790982.4</v>
      </c>
      <c r="H38" s="49">
        <f t="shared" si="99"/>
        <v>1647703.808</v>
      </c>
      <c r="I38" s="49">
        <f t="shared" si="99"/>
        <v>1515887.50336</v>
      </c>
      <c r="J38" s="49">
        <f t="shared" si="99"/>
        <v>1394616.5030912</v>
      </c>
      <c r="K38" s="49">
        <f t="shared" si="99"/>
        <v>1283047.182843904</v>
      </c>
      <c r="L38" s="49">
        <f t="shared" si="99"/>
        <v>1180403.4082163917</v>
      </c>
      <c r="M38" s="49">
        <f t="shared" si="99"/>
        <v>1085971.1355590804</v>
      </c>
      <c r="N38" s="49">
        <f t="shared" si="99"/>
        <v>999093.444714354</v>
      </c>
      <c r="O38" s="49">
        <f t="shared" si="99"/>
        <v>919165.96913720574</v>
      </c>
      <c r="P38" s="49">
        <f t="shared" si="99"/>
        <v>845632.69160622929</v>
      </c>
      <c r="Q38" s="49">
        <f t="shared" si="99"/>
        <v>777982.07627773099</v>
      </c>
      <c r="R38" s="49">
        <f t="shared" si="99"/>
        <v>715743.51017551252</v>
      </c>
      <c r="S38" s="49">
        <f t="shared" si="99"/>
        <v>658484.02936147153</v>
      </c>
      <c r="T38" s="49">
        <f t="shared" si="99"/>
        <v>605805.30701255379</v>
      </c>
      <c r="U38" s="49">
        <f t="shared" si="99"/>
        <v>557340.88245154952</v>
      </c>
      <c r="V38" s="49">
        <f t="shared" si="99"/>
        <v>512753.61185542558</v>
      </c>
      <c r="W38" s="49">
        <f t="shared" si="99"/>
        <v>471733.32290699153</v>
      </c>
      <c r="X38" s="49">
        <f t="shared" si="99"/>
        <v>433994.65707443218</v>
      </c>
      <c r="Y38" s="49">
        <f t="shared" si="99"/>
        <v>399275.08450847759</v>
      </c>
      <c r="Z38" s="49">
        <f t="shared" si="99"/>
        <v>367333.0777477994</v>
      </c>
      <c r="AA38" s="49">
        <f t="shared" si="99"/>
        <v>337946.43152797542</v>
      </c>
      <c r="AB38" s="49">
        <f t="shared" si="99"/>
        <v>310910.71700573736</v>
      </c>
      <c r="AC38" s="49">
        <f t="shared" si="99"/>
        <v>286037.85964527837</v>
      </c>
      <c r="AD38" s="49">
        <f t="shared" si="99"/>
        <v>263154.83087365609</v>
      </c>
      <c r="AE38" s="49">
        <f t="shared" si="99"/>
        <v>242102.4444037636</v>
      </c>
      <c r="AF38" s="49">
        <f t="shared" si="99"/>
        <v>222734.2488514625</v>
      </c>
      <c r="AG38" s="49">
        <f t="shared" si="99"/>
        <v>204915.50894334551</v>
      </c>
      <c r="AH38" s="49">
        <f t="shared" si="99"/>
        <v>188522.26822787788</v>
      </c>
      <c r="AI38" s="49">
        <f t="shared" si="99"/>
        <v>173440.48676964766</v>
      </c>
      <c r="AJ38" s="49">
        <f t="shared" si="99"/>
        <v>159565.24782807584</v>
      </c>
      <c r="AK38" s="49">
        <f t="shared" si="99"/>
        <v>146800.02800182978</v>
      </c>
      <c r="AL38" s="49">
        <f t="shared" si="99"/>
        <v>135056.02576168338</v>
      </c>
      <c r="AM38" s="49">
        <f t="shared" si="99"/>
        <v>124251.54370074871</v>
      </c>
      <c r="AN38" s="49">
        <f t="shared" si="99"/>
        <v>114311.42020468881</v>
      </c>
      <c r="AO38" s="49">
        <f t="shared" si="99"/>
        <v>105166.5065883137</v>
      </c>
      <c r="AP38" s="49">
        <f t="shared" si="99"/>
        <v>96753.186061248605</v>
      </c>
      <c r="AQ38" s="49">
        <f t="shared" si="99"/>
        <v>89012.93117634872</v>
      </c>
      <c r="AR38" s="49">
        <f t="shared" si="99"/>
        <v>81891.896682240826</v>
      </c>
      <c r="AS38" s="49">
        <f t="shared" si="99"/>
        <v>75340.544947661561</v>
      </c>
      <c r="AT38" s="49">
        <f t="shared" si="99"/>
        <v>69313.30135184864</v>
      </c>
      <c r="AU38" s="49">
        <f t="shared" si="99"/>
        <v>63768.237243700751</v>
      </c>
      <c r="AV38" s="49">
        <f t="shared" si="99"/>
        <v>58666.778264204688</v>
      </c>
      <c r="AW38" s="49">
        <f t="shared" si="99"/>
        <v>53973.436003068316</v>
      </c>
      <c r="AX38" s="49">
        <f t="shared" si="99"/>
        <v>49655.561122822852</v>
      </c>
      <c r="AY38" s="49">
        <f t="shared" si="99"/>
        <v>45683.116232997025</v>
      </c>
      <c r="AZ38" s="49">
        <f t="shared" si="99"/>
        <v>42028.46693435726</v>
      </c>
      <c r="BA38" s="49">
        <f t="shared" si="99"/>
        <v>38666.189579608683</v>
      </c>
      <c r="BB38" s="49">
        <f t="shared" si="99"/>
        <v>35572.894413239992</v>
      </c>
      <c r="BC38" s="49">
        <f t="shared" si="99"/>
        <v>32727.062860180791</v>
      </c>
      <c r="BD38" s="49">
        <f t="shared" si="99"/>
        <v>30108.897831366328</v>
      </c>
      <c r="BE38" s="49">
        <f t="shared" si="99"/>
        <v>27700.186004857023</v>
      </c>
      <c r="BF38" s="49"/>
    </row>
    <row r="39" spans="2:59" x14ac:dyDescent="0.3">
      <c r="B39" s="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</row>
    <row r="40" spans="2:59" x14ac:dyDescent="0.3">
      <c r="B40" s="8" t="s">
        <v>13</v>
      </c>
      <c r="D40" s="49">
        <f>D34+D32-D37</f>
        <v>-127645.83333333334</v>
      </c>
      <c r="E40" s="49">
        <f t="shared" ref="E40:BE40" si="100">E34+E32-E37</f>
        <v>-40266.666666666686</v>
      </c>
      <c r="F40" s="49">
        <f t="shared" si="100"/>
        <v>-27496.666666666686</v>
      </c>
      <c r="G40" s="49">
        <f t="shared" si="100"/>
        <v>-15904.266666666692</v>
      </c>
      <c r="H40" s="49">
        <f t="shared" si="100"/>
        <v>-5395.2586666666903</v>
      </c>
      <c r="I40" s="49">
        <f t="shared" si="100"/>
        <v>4117.0286933332973</v>
      </c>
      <c r="J40" s="49">
        <f t="shared" si="100"/>
        <v>12712.333064533319</v>
      </c>
      <c r="K40" s="49">
        <f t="shared" si="100"/>
        <v>20464.013086037245</v>
      </c>
      <c r="L40" s="49">
        <f t="shared" si="100"/>
        <v>27439.558705820964</v>
      </c>
      <c r="M40" s="49">
        <f t="shared" si="100"/>
        <v>33701.060676021953</v>
      </c>
      <c r="N40" s="49">
        <f t="shared" si="100"/>
        <v>39305.642488606871</v>
      </c>
      <c r="O40" s="49">
        <f t="shared" si="100"/>
        <v>44305.857756184967</v>
      </c>
      <c r="P40" s="49">
        <f t="shared" si="100"/>
        <v>48750.055802356845</v>
      </c>
      <c r="Q40" s="49">
        <f t="shared" si="100"/>
        <v>52682.718004834955</v>
      </c>
      <c r="R40" s="49">
        <f t="shared" si="100"/>
        <v>56144.76723111482</v>
      </c>
      <c r="S40" s="49">
        <f t="shared" si="100"/>
        <v>59173.852519292297</v>
      </c>
      <c r="T40" s="49">
        <f t="shared" si="100"/>
        <v>61804.610984415587</v>
      </c>
      <c r="U40" s="49">
        <f t="shared" si="100"/>
        <v>64068.908772328992</v>
      </c>
      <c r="V40" s="49">
        <f t="shared" si="100"/>
        <v>65996.062737209344</v>
      </c>
      <c r="W40" s="49">
        <f t="shared" si="100"/>
        <v>67613.044384899258</v>
      </c>
      <c r="X40" s="49">
        <f t="shared" si="100"/>
        <v>68944.667500773998</v>
      </c>
      <c r="Y40" s="49">
        <f t="shared" si="100"/>
        <v>70013.760767378742</v>
      </c>
      <c r="Z40" s="49">
        <f t="shared" si="100"/>
        <v>70841.326572655118</v>
      </c>
      <c r="AA40" s="49">
        <f t="shared" si="100"/>
        <v>71446.687113509368</v>
      </c>
      <c r="AB40" s="49">
        <f t="shared" si="100"/>
        <v>71847.618811095293</v>
      </c>
      <c r="AC40" s="49">
        <f t="shared" si="100"/>
        <v>72060.475972874337</v>
      </c>
      <c r="AD40" s="49">
        <f t="shared" si="100"/>
        <v>72100.304561711077</v>
      </c>
      <c r="AE40" s="49">
        <f t="shared" si="100"/>
        <v>71980.94686344084</v>
      </c>
      <c r="AF40" s="49">
        <f t="shared" si="100"/>
        <v>71715.137781032259</v>
      </c>
      <c r="AG40" s="49">
        <f t="shared" si="100"/>
        <v>71314.593425216342</v>
      </c>
      <c r="AH40" s="49">
        <f t="shared" si="100"/>
        <v>70790.092617865681</v>
      </c>
      <c r="AI40" s="49">
        <f t="shared" si="100"/>
        <v>70151.55187510312</v>
      </c>
      <c r="AJ40" s="49">
        <f t="shared" si="100"/>
        <v>69408.094391761522</v>
      </c>
      <c r="AK40" s="49">
        <f t="shared" si="100"/>
        <v>68568.113507087255</v>
      </c>
      <c r="AL40" s="49">
        <f t="shared" si="100"/>
        <v>67639.331093186949</v>
      </c>
      <c r="AM40" s="49">
        <f t="shared" si="100"/>
        <v>66628.851272398664</v>
      </c>
      <c r="AN40" s="49">
        <f t="shared" si="100"/>
        <v>65543.209837273418</v>
      </c>
      <c r="AO40" s="49">
        <f t="shared" si="100"/>
        <v>64388.419716958226</v>
      </c>
      <c r="AP40" s="49">
        <f t="shared" si="100"/>
        <v>63170.01280626822</v>
      </c>
      <c r="AQ40" s="49">
        <f t="shared" si="100"/>
        <v>61893.078448433429</v>
      </c>
      <c r="AR40" s="49">
        <f t="shared" si="100"/>
        <v>60562.298839225434</v>
      </c>
      <c r="AS40" s="49">
        <f t="shared" si="100"/>
        <v>59181.98159875405</v>
      </c>
      <c r="AT40" s="49">
        <f t="shared" si="100"/>
        <v>57756.0897375204</v>
      </c>
      <c r="AU40" s="49">
        <f t="shared" si="100"/>
        <v>56288.269225185439</v>
      </c>
      <c r="AV40" s="49">
        <f t="shared" si="100"/>
        <v>54781.874353837266</v>
      </c>
      <c r="AW40" s="49">
        <f t="shared" si="100"/>
        <v>53239.99107219695</v>
      </c>
      <c r="AX40" s="49">
        <f t="shared" si="100"/>
        <v>51665.458453087864</v>
      </c>
      <c r="AY40" s="49">
        <f t="shared" si="100"/>
        <v>50060.888443507502</v>
      </c>
      <c r="AZ40" s="49">
        <f t="shared" si="100"/>
        <v>22874.517368027209</v>
      </c>
      <c r="BA40" s="49">
        <f t="shared" si="100"/>
        <v>-3362.2773547485808</v>
      </c>
      <c r="BB40" s="49">
        <f t="shared" si="100"/>
        <v>-3093.2951663686945</v>
      </c>
      <c r="BC40" s="49">
        <f t="shared" si="100"/>
        <v>-2845.8315530591995</v>
      </c>
      <c r="BD40" s="49">
        <f t="shared" si="100"/>
        <v>-2618.1650288144633</v>
      </c>
      <c r="BE40" s="49">
        <f t="shared" si="100"/>
        <v>-2408.7118265093063</v>
      </c>
      <c r="BF40" s="49"/>
    </row>
    <row r="41" spans="2:59" x14ac:dyDescent="0.3">
      <c r="B41" s="8" t="s">
        <v>41</v>
      </c>
      <c r="C41" s="112"/>
      <c r="D41" s="49">
        <f>(D40*$C$13)/(1-$C$13)</f>
        <v>-46021.967120181413</v>
      </c>
      <c r="E41" s="49">
        <f>(E40*$C$13)/(1-$C$13)</f>
        <v>-14517.913832199554</v>
      </c>
      <c r="F41" s="49">
        <f t="shared" ref="F41:H41" si="101">(F40*$C$13)/(1-$C$13)</f>
        <v>-9913.7641723356082</v>
      </c>
      <c r="G41" s="49">
        <f t="shared" si="101"/>
        <v>-5734.1913832199634</v>
      </c>
      <c r="H41" s="49">
        <f t="shared" si="101"/>
        <v>-1945.2293151927524</v>
      </c>
      <c r="I41" s="49">
        <f t="shared" ref="I41" si="102">(I40*$C$13)/(1-$C$13)</f>
        <v>1484.3708894330937</v>
      </c>
      <c r="J41" s="49">
        <f t="shared" ref="J41" si="103">(J40*$C$13)/(1-$C$13)</f>
        <v>4583.3581797297002</v>
      </c>
      <c r="K41" s="49">
        <f t="shared" ref="K41" si="104">(K40*$C$13)/(1-$C$13)</f>
        <v>7378.1815888433612</v>
      </c>
      <c r="L41" s="49">
        <f t="shared" ref="L41" si="105">(L40*$C$13)/(1-$C$13)</f>
        <v>9893.1742272687825</v>
      </c>
      <c r="M41" s="49">
        <f t="shared" ref="M41" si="106">(M40*$C$13)/(1-$C$13)</f>
        <v>12150.722556660976</v>
      </c>
      <c r="N41" s="49">
        <f t="shared" ref="N41" si="107">(N40*$C$13)/(1-$C$13)</f>
        <v>14171.422121742615</v>
      </c>
      <c r="O41" s="49">
        <f t="shared" ref="O41" si="108">(O40*$C$13)/(1-$C$13)</f>
        <v>15974.220823658527</v>
      </c>
      <c r="P41" s="49">
        <f t="shared" ref="P41" si="109">(P40*$C$13)/(1-$C$13)</f>
        <v>17576.550731461994</v>
      </c>
      <c r="Q41" s="49">
        <f t="shared" ref="Q41" si="110">(Q40*$C$13)/(1-$C$13)</f>
        <v>18994.449348681992</v>
      </c>
      <c r="R41" s="49">
        <f t="shared" ref="R41" si="111">(R40*$C$13)/(1-$C$13)</f>
        <v>20242.671178565208</v>
      </c>
      <c r="S41" s="49">
        <f t="shared" ref="S41" si="112">(S40*$C$13)/(1-$C$13)</f>
        <v>21334.790364098586</v>
      </c>
      <c r="T41" s="49">
        <f t="shared" ref="T41" si="113">(T40*$C$13)/(1-$C$13)</f>
        <v>22283.295116830112</v>
      </c>
      <c r="U41" s="49">
        <f t="shared" ref="U41" si="114">(U40*$C$13)/(1-$C$13)</f>
        <v>23099.674591383926</v>
      </c>
      <c r="V41" s="49">
        <f t="shared" ref="V41" si="115">(V40*$C$13)/(1-$C$13)</f>
        <v>23794.498810014251</v>
      </c>
      <c r="W41" s="49">
        <f t="shared" ref="W41" si="116">(W40*$C$13)/(1-$C$13)</f>
        <v>24377.492193194968</v>
      </c>
      <c r="X41" s="49">
        <f t="shared" ref="X41" si="117">(X40*$C$13)/(1-$C$13)</f>
        <v>24857.601207762054</v>
      </c>
      <c r="Y41" s="49">
        <f t="shared" ref="Y41" si="118">(Y40*$C$13)/(1-$C$13)</f>
        <v>25243.056603204579</v>
      </c>
      <c r="Z41" s="49">
        <f t="shared" ref="Z41" si="119">(Z40*$C$13)/(1-$C$13)</f>
        <v>25541.430669052526</v>
      </c>
      <c r="AA41" s="49">
        <f t="shared" ref="AA41" si="120">(AA40*$C$13)/(1-$C$13)</f>
        <v>25759.689911673449</v>
      </c>
      <c r="AB41" s="49">
        <f t="shared" ref="AB41" si="121">(AB40*$C$13)/(1-$C$13)</f>
        <v>25904.243516925515</v>
      </c>
      <c r="AC41" s="49">
        <f t="shared" ref="AC41" si="122">(AC40*$C$13)/(1-$C$13)</f>
        <v>25980.987935798232</v>
      </c>
      <c r="AD41" s="49">
        <f t="shared" ref="AD41" si="123">(AD40*$C$13)/(1-$C$13)</f>
        <v>25995.347903201953</v>
      </c>
      <c r="AE41" s="49">
        <f t="shared" ref="AE41" si="124">(AE40*$C$13)/(1-$C$13)</f>
        <v>25952.314175254185</v>
      </c>
      <c r="AF41" s="49">
        <f t="shared" ref="AF41" si="125">(AF40*$C$13)/(1-$C$13)</f>
        <v>25856.478247583062</v>
      </c>
      <c r="AG41" s="49">
        <f t="shared" ref="AG41" si="126">(AG40*$C$13)/(1-$C$13)</f>
        <v>25712.064296166434</v>
      </c>
      <c r="AH41" s="49">
        <f t="shared" ref="AH41" si="127">(AH40*$C$13)/(1-$C$13)</f>
        <v>25522.958562903957</v>
      </c>
      <c r="AI41" s="49">
        <f t="shared" ref="AI41" si="128">(AI40*$C$13)/(1-$C$13)</f>
        <v>25292.736390343303</v>
      </c>
      <c r="AJ41" s="49">
        <f t="shared" ref="AJ41" si="129">(AJ40*$C$13)/(1-$C$13)</f>
        <v>25024.687093628305</v>
      </c>
      <c r="AK41" s="49">
        <f t="shared" ref="AK41" si="130">(AK40*$C$13)/(1-$C$13)</f>
        <v>24721.836842691326</v>
      </c>
      <c r="AL41" s="49">
        <f t="shared" ref="AL41" si="131">(AL40*$C$13)/(1-$C$13)</f>
        <v>24386.969713870127</v>
      </c>
      <c r="AM41" s="49">
        <f t="shared" ref="AM41" si="132">(AM40*$C$13)/(1-$C$13)</f>
        <v>24022.647057395436</v>
      </c>
      <c r="AN41" s="49">
        <f t="shared" ref="AN41" si="133">(AN40*$C$13)/(1-$C$13)</f>
        <v>23631.225315479533</v>
      </c>
      <c r="AO41" s="49">
        <f t="shared" ref="AO41" si="134">(AO40*$C$13)/(1-$C$13)</f>
        <v>23214.872414957732</v>
      </c>
      <c r="AP41" s="49">
        <f t="shared" ref="AP41" si="135">(AP40*$C$13)/(1-$C$13)</f>
        <v>22775.582848518472</v>
      </c>
      <c r="AQ41" s="49">
        <f t="shared" ref="AQ41" si="136">(AQ40*$C$13)/(1-$C$13)</f>
        <v>22315.191549435185</v>
      </c>
      <c r="AR41" s="49">
        <f t="shared" ref="AR41" si="137">(AR40*$C$13)/(1-$C$13)</f>
        <v>21835.386656319373</v>
      </c>
      <c r="AS41" s="49">
        <f t="shared" ref="AS41" si="138">(AS40*$C$13)/(1-$C$13)</f>
        <v>21337.72125669364</v>
      </c>
      <c r="AT41" s="49">
        <f t="shared" ref="AT41" si="139">(AT40*$C$13)/(1-$C$13)</f>
        <v>20823.624191078787</v>
      </c>
      <c r="AU41" s="49">
        <f t="shared" ref="AU41" si="140">(AU40*$C$13)/(1-$C$13)</f>
        <v>20294.409992753936</v>
      </c>
      <c r="AV41" s="49">
        <f t="shared" ref="AV41" si="141">(AV40*$C$13)/(1-$C$13)</f>
        <v>19751.288032335888</v>
      </c>
      <c r="AW41" s="49">
        <f t="shared" ref="AW41" si="142">(AW40*$C$13)/(1-$C$13)</f>
        <v>19195.370930792098</v>
      </c>
      <c r="AX41" s="49">
        <f t="shared" ref="AX41" si="143">(AX40*$C$13)/(1-$C$13)</f>
        <v>18627.682299412634</v>
      </c>
      <c r="AY41" s="49">
        <f t="shared" ref="AY41" si="144">(AY40*$C$13)/(1-$C$13)</f>
        <v>18049.16386058434</v>
      </c>
      <c r="AZ41" s="49">
        <f t="shared" ref="AZ41" si="145">(AZ40*$C$13)/(1-$C$13)</f>
        <v>8247.2749694247759</v>
      </c>
      <c r="BA41" s="49">
        <f>(BA40*$C$41)/(1-$C$41)</f>
        <v>0</v>
      </c>
      <c r="BB41" s="49">
        <f t="shared" ref="BB41:BE41" si="146">(BB40*$C$41)/(1-$C$41)</f>
        <v>0</v>
      </c>
      <c r="BC41" s="49">
        <f t="shared" si="146"/>
        <v>0</v>
      </c>
      <c r="BD41" s="49">
        <f t="shared" si="146"/>
        <v>0</v>
      </c>
      <c r="BE41" s="49">
        <f t="shared" si="146"/>
        <v>0</v>
      </c>
      <c r="BF41" s="49"/>
    </row>
    <row r="42" spans="2:59" x14ac:dyDescent="0.3">
      <c r="B42" s="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</row>
    <row r="43" spans="2:59" x14ac:dyDescent="0.3">
      <c r="B43" s="4" t="s">
        <v>36</v>
      </c>
      <c r="D43" s="56">
        <f>D32+D33+D34+D41</f>
        <v>56316.574546485244</v>
      </c>
      <c r="E43" s="56">
        <f>E32+E33+E34+E41</f>
        <v>188552.91950113376</v>
      </c>
      <c r="F43" s="56">
        <f t="shared" ref="F43:N43" si="147">F32+F33+F34+F41</f>
        <v>189944.56916099769</v>
      </c>
      <c r="G43" s="56">
        <f t="shared" si="147"/>
        <v>190911.64195011329</v>
      </c>
      <c r="H43" s="56">
        <f t="shared" si="147"/>
        <v>191488.10401814056</v>
      </c>
      <c r="I43" s="56">
        <f t="shared" si="147"/>
        <v>191705.20422276636</v>
      </c>
      <c r="J43" s="56">
        <f t="shared" si="147"/>
        <v>191591.69151306295</v>
      </c>
      <c r="K43" s="56">
        <f t="shared" si="147"/>
        <v>191174.01492217658</v>
      </c>
      <c r="L43" s="56">
        <f t="shared" si="147"/>
        <v>190476.50756060204</v>
      </c>
      <c r="M43" s="56">
        <f t="shared" si="147"/>
        <v>189521.55588999423</v>
      </c>
      <c r="N43" s="56">
        <f t="shared" si="147"/>
        <v>188329.75545507588</v>
      </c>
      <c r="O43" s="56">
        <f t="shared" ref="O43:AC43" si="148">O32+O33+O34+O41</f>
        <v>186920.05415699177</v>
      </c>
      <c r="P43" s="56">
        <f t="shared" si="148"/>
        <v>185309.88406479525</v>
      </c>
      <c r="Q43" s="56">
        <f t="shared" si="148"/>
        <v>183515.28268201524</v>
      </c>
      <c r="R43" s="56">
        <f t="shared" si="148"/>
        <v>181551.0045118985</v>
      </c>
      <c r="S43" s="56">
        <f t="shared" si="148"/>
        <v>179430.62369743187</v>
      </c>
      <c r="T43" s="56">
        <f t="shared" si="148"/>
        <v>177166.62845016344</v>
      </c>
      <c r="U43" s="56">
        <f t="shared" si="148"/>
        <v>174770.50792471721</v>
      </c>
      <c r="V43" s="56">
        <f t="shared" si="148"/>
        <v>172252.83214334756</v>
      </c>
      <c r="W43" s="56">
        <f t="shared" si="148"/>
        <v>169623.32552652826</v>
      </c>
      <c r="X43" s="56">
        <f t="shared" si="148"/>
        <v>166890.93454109537</v>
      </c>
      <c r="Y43" s="56">
        <f t="shared" si="148"/>
        <v>164063.88993653789</v>
      </c>
      <c r="Z43" s="56">
        <f t="shared" si="148"/>
        <v>161149.76400238584</v>
      </c>
      <c r="AA43" s="56">
        <f t="shared" si="148"/>
        <v>158155.52324500677</v>
      </c>
      <c r="AB43" s="56">
        <f t="shared" si="148"/>
        <v>155087.57685025883</v>
      </c>
      <c r="AC43" s="56">
        <f t="shared" si="148"/>
        <v>151951.82126913156</v>
      </c>
      <c r="AD43" s="56">
        <f t="shared" ref="AD43:AG43" si="149">AD32+AD33+AD34+AD41</f>
        <v>148753.68123653531</v>
      </c>
      <c r="AE43" s="56">
        <f t="shared" si="149"/>
        <v>145498.14750858751</v>
      </c>
      <c r="AF43" s="56">
        <f t="shared" si="149"/>
        <v>142189.8115809164</v>
      </c>
      <c r="AG43" s="56">
        <f t="shared" si="149"/>
        <v>138832.89762949978</v>
      </c>
      <c r="AH43" s="56">
        <f t="shared" ref="AH43" si="150">AH32+AH33+AH34+AH41</f>
        <v>135431.29189623729</v>
      </c>
      <c r="AI43" s="56">
        <f t="shared" ref="AI43:AZ43" si="151">AI32+AI33+AI34+AI41</f>
        <v>131988.56972367666</v>
      </c>
      <c r="AJ43" s="56">
        <f t="shared" si="151"/>
        <v>128508.02042696164</v>
      </c>
      <c r="AK43" s="56">
        <f t="shared" si="151"/>
        <v>124992.67017602465</v>
      </c>
      <c r="AL43" s="56">
        <f t="shared" si="151"/>
        <v>121445.30304720346</v>
      </c>
      <c r="AM43" s="56">
        <f t="shared" si="151"/>
        <v>117868.48039072877</v>
      </c>
      <c r="AN43" s="56">
        <f t="shared" si="151"/>
        <v>114264.55864881285</v>
      </c>
      <c r="AO43" s="56">
        <f t="shared" si="151"/>
        <v>110635.70574829106</v>
      </c>
      <c r="AP43" s="56">
        <f t="shared" si="151"/>
        <v>106983.91618185179</v>
      </c>
      <c r="AQ43" s="56">
        <f t="shared" si="151"/>
        <v>103311.0248827685</v>
      </c>
      <c r="AR43" s="56">
        <f t="shared" si="151"/>
        <v>99618.719989652687</v>
      </c>
      <c r="AS43" s="56">
        <f t="shared" si="151"/>
        <v>95908.55459002695</v>
      </c>
      <c r="AT43" s="56">
        <f t="shared" si="151"/>
        <v>92181.957524412108</v>
      </c>
      <c r="AU43" s="56">
        <f t="shared" si="151"/>
        <v>88440.243326087264</v>
      </c>
      <c r="AV43" s="56">
        <f t="shared" si="151"/>
        <v>84684.621365669213</v>
      </c>
      <c r="AW43" s="56">
        <f t="shared" si="151"/>
        <v>80916.204264125423</v>
      </c>
      <c r="AX43" s="56">
        <f t="shared" si="151"/>
        <v>77136.015632745955</v>
      </c>
      <c r="AY43" s="56">
        <f t="shared" si="151"/>
        <v>73344.997193917661</v>
      </c>
      <c r="AZ43" s="56">
        <f t="shared" si="151"/>
        <v>35092.066636091738</v>
      </c>
      <c r="BA43" s="56">
        <f>BA32+BA33+BA34+BA41</f>
        <v>0</v>
      </c>
      <c r="BB43" s="56">
        <f t="shared" ref="BB43:BE43" si="152">BB32+BB33+BB34+BB41</f>
        <v>0</v>
      </c>
      <c r="BC43" s="56">
        <f t="shared" si="152"/>
        <v>0</v>
      </c>
      <c r="BD43" s="56">
        <f t="shared" si="152"/>
        <v>0</v>
      </c>
      <c r="BE43" s="56">
        <f t="shared" si="152"/>
        <v>0</v>
      </c>
      <c r="BF43" s="56"/>
      <c r="BG43" s="9"/>
    </row>
    <row r="44" spans="2:59" x14ac:dyDescent="0.3">
      <c r="B44" s="4"/>
      <c r="D44" s="57"/>
      <c r="E44" s="57"/>
      <c r="F44" s="57"/>
      <c r="G44" s="57"/>
      <c r="H44" s="57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1"/>
    </row>
    <row r="45" spans="2:59" x14ac:dyDescent="0.3">
      <c r="B45" s="4" t="s">
        <v>37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57">
        <f>D43</f>
        <v>56316.574546485244</v>
      </c>
      <c r="J45" s="57">
        <f t="shared" ref="J45:BE45" si="153">E43</f>
        <v>188552.91950113376</v>
      </c>
      <c r="K45" s="57">
        <f t="shared" si="153"/>
        <v>189944.56916099769</v>
      </c>
      <c r="L45" s="57">
        <f t="shared" si="153"/>
        <v>190911.64195011329</v>
      </c>
      <c r="M45" s="57">
        <f t="shared" si="153"/>
        <v>191488.10401814056</v>
      </c>
      <c r="N45" s="57">
        <f t="shared" si="153"/>
        <v>191705.20422276636</v>
      </c>
      <c r="O45" s="57">
        <f t="shared" si="153"/>
        <v>191591.69151306295</v>
      </c>
      <c r="P45" s="57">
        <f t="shared" si="153"/>
        <v>191174.01492217658</v>
      </c>
      <c r="Q45" s="57">
        <f t="shared" si="153"/>
        <v>190476.50756060204</v>
      </c>
      <c r="R45" s="57">
        <f t="shared" si="153"/>
        <v>189521.55588999423</v>
      </c>
      <c r="S45" s="57">
        <f t="shared" si="153"/>
        <v>188329.75545507588</v>
      </c>
      <c r="T45" s="57">
        <f t="shared" si="153"/>
        <v>186920.05415699177</v>
      </c>
      <c r="U45" s="57">
        <f t="shared" si="153"/>
        <v>185309.88406479525</v>
      </c>
      <c r="V45" s="57">
        <f t="shared" si="153"/>
        <v>183515.28268201524</v>
      </c>
      <c r="W45" s="57">
        <f t="shared" si="153"/>
        <v>181551.0045118985</v>
      </c>
      <c r="X45" s="57">
        <f t="shared" si="153"/>
        <v>179430.62369743187</v>
      </c>
      <c r="Y45" s="57">
        <f t="shared" si="153"/>
        <v>177166.62845016344</v>
      </c>
      <c r="Z45" s="57">
        <f t="shared" si="153"/>
        <v>174770.50792471721</v>
      </c>
      <c r="AA45" s="57">
        <f t="shared" si="153"/>
        <v>172252.83214334756</v>
      </c>
      <c r="AB45" s="57">
        <f t="shared" si="153"/>
        <v>169623.32552652826</v>
      </c>
      <c r="AC45" s="57">
        <f t="shared" si="153"/>
        <v>166890.93454109537</v>
      </c>
      <c r="AD45" s="57">
        <f t="shared" si="153"/>
        <v>164063.88993653789</v>
      </c>
      <c r="AE45" s="57">
        <f t="shared" si="153"/>
        <v>161149.76400238584</v>
      </c>
      <c r="AF45" s="57">
        <f t="shared" si="153"/>
        <v>158155.52324500677</v>
      </c>
      <c r="AG45" s="57">
        <f t="shared" si="153"/>
        <v>155087.57685025883</v>
      </c>
      <c r="AH45" s="57">
        <f t="shared" si="153"/>
        <v>151951.82126913156</v>
      </c>
      <c r="AI45" s="57">
        <f t="shared" si="153"/>
        <v>148753.68123653531</v>
      </c>
      <c r="AJ45" s="57">
        <f t="shared" si="153"/>
        <v>145498.14750858751</v>
      </c>
      <c r="AK45" s="57">
        <f t="shared" si="153"/>
        <v>142189.8115809164</v>
      </c>
      <c r="AL45" s="57">
        <f t="shared" si="153"/>
        <v>138832.89762949978</v>
      </c>
      <c r="AM45" s="57">
        <f t="shared" si="153"/>
        <v>135431.29189623729</v>
      </c>
      <c r="AN45" s="57">
        <f t="shared" si="153"/>
        <v>131988.56972367666</v>
      </c>
      <c r="AO45" s="57">
        <f t="shared" si="153"/>
        <v>128508.02042696164</v>
      </c>
      <c r="AP45" s="57">
        <f t="shared" si="153"/>
        <v>124992.67017602465</v>
      </c>
      <c r="AQ45" s="57">
        <f t="shared" si="153"/>
        <v>121445.30304720346</v>
      </c>
      <c r="AR45" s="57">
        <f t="shared" si="153"/>
        <v>117868.48039072877</v>
      </c>
      <c r="AS45" s="57">
        <f t="shared" si="153"/>
        <v>114264.55864881285</v>
      </c>
      <c r="AT45" s="57">
        <f t="shared" si="153"/>
        <v>110635.70574829106</v>
      </c>
      <c r="AU45" s="57">
        <f t="shared" si="153"/>
        <v>106983.91618185179</v>
      </c>
      <c r="AV45" s="57">
        <f t="shared" si="153"/>
        <v>103311.0248827685</v>
      </c>
      <c r="AW45" s="57">
        <f t="shared" si="153"/>
        <v>99618.719989652687</v>
      </c>
      <c r="AX45" s="57">
        <f t="shared" si="153"/>
        <v>95908.55459002695</v>
      </c>
      <c r="AY45" s="57">
        <f t="shared" si="153"/>
        <v>92181.957524412108</v>
      </c>
      <c r="AZ45" s="57">
        <f t="shared" si="153"/>
        <v>88440.243326087264</v>
      </c>
      <c r="BA45" s="57">
        <f t="shared" si="153"/>
        <v>84684.621365669213</v>
      </c>
      <c r="BB45" s="57">
        <f t="shared" si="153"/>
        <v>80916.204264125423</v>
      </c>
      <c r="BC45" s="57">
        <f t="shared" si="153"/>
        <v>77136.015632745955</v>
      </c>
      <c r="BD45" s="57">
        <f t="shared" si="153"/>
        <v>73344.997193917661</v>
      </c>
      <c r="BE45" s="57">
        <f t="shared" si="153"/>
        <v>35092.066636091738</v>
      </c>
      <c r="BF45" s="56"/>
      <c r="BG45" s="9"/>
    </row>
    <row r="46" spans="2:59" x14ac:dyDescent="0.3">
      <c r="B46" s="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1"/>
    </row>
    <row r="47" spans="2:59" x14ac:dyDescent="0.3">
      <c r="B47" s="4" t="s">
        <v>15</v>
      </c>
      <c r="D47" s="56">
        <f>'Assumptions and Summary'!C24</f>
        <v>25000</v>
      </c>
      <c r="E47" s="56">
        <f>'Assumptions and Summary'!D24</f>
        <v>112500</v>
      </c>
      <c r="F47" s="56">
        <f>'Assumptions and Summary'!E24</f>
        <v>137500</v>
      </c>
      <c r="G47" s="56">
        <f>'Assumptions and Summary'!F24</f>
        <v>200000</v>
      </c>
      <c r="H47" s="56">
        <f>'Assumptions and Summary'!G24</f>
        <v>237500</v>
      </c>
      <c r="I47" s="56">
        <v>0</v>
      </c>
      <c r="J47" s="56">
        <f t="shared" ref="J47:M47" si="154">I47</f>
        <v>0</v>
      </c>
      <c r="K47" s="56">
        <f t="shared" si="154"/>
        <v>0</v>
      </c>
      <c r="L47" s="56">
        <f t="shared" si="154"/>
        <v>0</v>
      </c>
      <c r="M47" s="56">
        <f t="shared" si="154"/>
        <v>0</v>
      </c>
      <c r="N47" s="56">
        <f>M47/2</f>
        <v>0</v>
      </c>
      <c r="O47" s="56">
        <f t="shared" ref="O47:AC47" si="155">N47/2</f>
        <v>0</v>
      </c>
      <c r="P47" s="56">
        <f t="shared" si="155"/>
        <v>0</v>
      </c>
      <c r="Q47" s="56">
        <f t="shared" si="155"/>
        <v>0</v>
      </c>
      <c r="R47" s="56">
        <f>Q47/2</f>
        <v>0</v>
      </c>
      <c r="S47" s="56">
        <f t="shared" si="155"/>
        <v>0</v>
      </c>
      <c r="T47" s="56">
        <f t="shared" si="155"/>
        <v>0</v>
      </c>
      <c r="U47" s="56">
        <f t="shared" si="155"/>
        <v>0</v>
      </c>
      <c r="V47" s="56">
        <f t="shared" si="155"/>
        <v>0</v>
      </c>
      <c r="W47" s="56">
        <f t="shared" si="155"/>
        <v>0</v>
      </c>
      <c r="X47" s="56">
        <f t="shared" si="155"/>
        <v>0</v>
      </c>
      <c r="Y47" s="56">
        <f t="shared" si="155"/>
        <v>0</v>
      </c>
      <c r="Z47" s="56">
        <f t="shared" si="155"/>
        <v>0</v>
      </c>
      <c r="AA47" s="56">
        <f t="shared" si="155"/>
        <v>0</v>
      </c>
      <c r="AB47" s="56">
        <f t="shared" si="155"/>
        <v>0</v>
      </c>
      <c r="AC47" s="56">
        <f t="shared" si="155"/>
        <v>0</v>
      </c>
      <c r="AD47" s="56">
        <f t="shared" ref="AD47:AH47" si="156">AC47/2</f>
        <v>0</v>
      </c>
      <c r="AE47" s="56">
        <f t="shared" si="156"/>
        <v>0</v>
      </c>
      <c r="AF47" s="56">
        <f t="shared" si="156"/>
        <v>0</v>
      </c>
      <c r="AG47" s="56">
        <f t="shared" si="156"/>
        <v>0</v>
      </c>
      <c r="AH47" s="56">
        <f t="shared" si="156"/>
        <v>0</v>
      </c>
      <c r="AI47" s="56">
        <f t="shared" ref="AI47" si="157">AH47/2</f>
        <v>0</v>
      </c>
      <c r="AJ47" s="56">
        <f t="shared" ref="AJ47" si="158">AI47/2</f>
        <v>0</v>
      </c>
      <c r="AK47" s="56">
        <f t="shared" ref="AK47" si="159">AJ47/2</f>
        <v>0</v>
      </c>
      <c r="AL47" s="56">
        <f t="shared" ref="AL47" si="160">AK47/2</f>
        <v>0</v>
      </c>
      <c r="AM47" s="56">
        <f t="shared" ref="AM47" si="161">AL47/2</f>
        <v>0</v>
      </c>
      <c r="AN47" s="56">
        <f t="shared" ref="AN47" si="162">AM47/2</f>
        <v>0</v>
      </c>
      <c r="AO47" s="56">
        <f t="shared" ref="AO47" si="163">AN47/2</f>
        <v>0</v>
      </c>
      <c r="AP47" s="56">
        <f t="shared" ref="AP47" si="164">AO47/2</f>
        <v>0</v>
      </c>
      <c r="AQ47" s="56">
        <f t="shared" ref="AQ47" si="165">AP47/2</f>
        <v>0</v>
      </c>
      <c r="AR47" s="56">
        <f t="shared" ref="AR47" si="166">AQ47/2</f>
        <v>0</v>
      </c>
      <c r="AS47" s="56">
        <f t="shared" ref="AS47" si="167">AR47/2</f>
        <v>0</v>
      </c>
      <c r="AT47" s="56">
        <f t="shared" ref="AT47" si="168">AS47/2</f>
        <v>0</v>
      </c>
      <c r="AU47" s="56">
        <f t="shared" ref="AU47" si="169">AT47/2</f>
        <v>0</v>
      </c>
      <c r="AV47" s="56">
        <f t="shared" ref="AV47" si="170">AU47/2</f>
        <v>0</v>
      </c>
      <c r="AW47" s="56">
        <f t="shared" ref="AW47" si="171">AV47/2</f>
        <v>0</v>
      </c>
      <c r="AX47" s="56">
        <f t="shared" ref="AX47" si="172">AW47/2</f>
        <v>0</v>
      </c>
      <c r="AY47" s="56">
        <f t="shared" ref="AY47" si="173">AX47/2</f>
        <v>0</v>
      </c>
      <c r="AZ47" s="56">
        <f t="shared" ref="AZ47:BA47" si="174">AY47/2</f>
        <v>0</v>
      </c>
      <c r="BA47" s="56">
        <f t="shared" si="174"/>
        <v>0</v>
      </c>
      <c r="BB47" s="56">
        <f t="shared" ref="BB47" si="175">BA47/2</f>
        <v>0</v>
      </c>
      <c r="BC47" s="56">
        <f t="shared" ref="BC47" si="176">BB47/2</f>
        <v>0</v>
      </c>
      <c r="BD47" s="56">
        <f t="shared" ref="BD47" si="177">BC47/2</f>
        <v>0</v>
      </c>
      <c r="BE47" s="56">
        <f t="shared" ref="BE47" si="178">BD47/2</f>
        <v>0</v>
      </c>
      <c r="BF47" s="56"/>
      <c r="BG47" s="9"/>
    </row>
    <row r="48" spans="2:59" x14ac:dyDescent="0.3">
      <c r="B48" s="4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1"/>
    </row>
    <row r="49" spans="2:59" x14ac:dyDescent="0.3">
      <c r="B49" s="4" t="s">
        <v>16</v>
      </c>
      <c r="D49" s="56">
        <f t="shared" ref="D49:AI49" si="179">D43-(D45+D47)</f>
        <v>31316.574546485244</v>
      </c>
      <c r="E49" s="56">
        <f t="shared" si="179"/>
        <v>76052.919501133758</v>
      </c>
      <c r="F49" s="56">
        <f t="shared" si="179"/>
        <v>52444.569160997693</v>
      </c>
      <c r="G49" s="56">
        <f t="shared" si="179"/>
        <v>-9088.3580498867086</v>
      </c>
      <c r="H49" s="56">
        <f t="shared" si="179"/>
        <v>-46011.895981859445</v>
      </c>
      <c r="I49" s="56">
        <f t="shared" si="179"/>
        <v>135388.62967628113</v>
      </c>
      <c r="J49" s="56">
        <f t="shared" si="179"/>
        <v>3038.7720119291916</v>
      </c>
      <c r="K49" s="56">
        <f t="shared" si="179"/>
        <v>1229.4457611788821</v>
      </c>
      <c r="L49" s="56">
        <f t="shared" si="179"/>
        <v>-435.13438951125136</v>
      </c>
      <c r="M49" s="56">
        <f t="shared" si="179"/>
        <v>-1966.548128146329</v>
      </c>
      <c r="N49" s="56">
        <f t="shared" si="179"/>
        <v>-3375.4487676904828</v>
      </c>
      <c r="O49" s="56">
        <f t="shared" si="179"/>
        <v>-4671.63735607118</v>
      </c>
      <c r="P49" s="56">
        <f t="shared" si="179"/>
        <v>-5864.1308573813294</v>
      </c>
      <c r="Q49" s="56">
        <f t="shared" si="179"/>
        <v>-6961.2248785867996</v>
      </c>
      <c r="R49" s="56">
        <f t="shared" si="179"/>
        <v>-7970.5513780957262</v>
      </c>
      <c r="S49" s="56">
        <f t="shared" si="179"/>
        <v>-8899.1317576440051</v>
      </c>
      <c r="T49" s="56">
        <f t="shared" si="179"/>
        <v>-9753.4257068283332</v>
      </c>
      <c r="U49" s="56">
        <f t="shared" si="179"/>
        <v>-10539.376140078035</v>
      </c>
      <c r="V49" s="56">
        <f t="shared" si="179"/>
        <v>-11262.450538667676</v>
      </c>
      <c r="W49" s="56">
        <f t="shared" si="179"/>
        <v>-11927.678985370236</v>
      </c>
      <c r="X49" s="56">
        <f t="shared" si="179"/>
        <v>-12539.689156336506</v>
      </c>
      <c r="Y49" s="56">
        <f t="shared" si="179"/>
        <v>-13102.738513625547</v>
      </c>
      <c r="Z49" s="56">
        <f t="shared" si="179"/>
        <v>-13620.74392233137</v>
      </c>
      <c r="AA49" s="56">
        <f t="shared" si="179"/>
        <v>-14097.308898340794</v>
      </c>
      <c r="AB49" s="56">
        <f t="shared" si="179"/>
        <v>-14535.748676269432</v>
      </c>
      <c r="AC49" s="56">
        <f t="shared" si="179"/>
        <v>-14939.113271963812</v>
      </c>
      <c r="AD49" s="56">
        <f t="shared" si="179"/>
        <v>-15310.208700002579</v>
      </c>
      <c r="AE49" s="56">
        <f t="shared" si="179"/>
        <v>-15651.616493798327</v>
      </c>
      <c r="AF49" s="56">
        <f t="shared" si="179"/>
        <v>-15965.71166409037</v>
      </c>
      <c r="AG49" s="56">
        <f t="shared" si="179"/>
        <v>-16254.679220759048</v>
      </c>
      <c r="AH49" s="56">
        <f t="shared" si="179"/>
        <v>-16520.529372894263</v>
      </c>
      <c r="AI49" s="56">
        <f t="shared" si="179"/>
        <v>-16765.111512858653</v>
      </c>
      <c r="AJ49" s="56">
        <f t="shared" ref="AJ49:BE49" si="180">AJ43-(AJ45+AJ47)</f>
        <v>-16990.127081625877</v>
      </c>
      <c r="AK49" s="56">
        <f t="shared" si="180"/>
        <v>-17197.14140489175</v>
      </c>
      <c r="AL49" s="56">
        <f t="shared" si="180"/>
        <v>-17387.594582296326</v>
      </c>
      <c r="AM49" s="56">
        <f t="shared" si="180"/>
        <v>-17562.811505508522</v>
      </c>
      <c r="AN49" s="56">
        <f t="shared" si="180"/>
        <v>-17724.011074863811</v>
      </c>
      <c r="AO49" s="56">
        <f t="shared" si="180"/>
        <v>-17872.314678670577</v>
      </c>
      <c r="AP49" s="56">
        <f t="shared" si="180"/>
        <v>-18008.753994172861</v>
      </c>
      <c r="AQ49" s="56">
        <f t="shared" si="180"/>
        <v>-18134.27816443496</v>
      </c>
      <c r="AR49" s="56">
        <f t="shared" si="180"/>
        <v>-18249.760401076084</v>
      </c>
      <c r="AS49" s="56">
        <f t="shared" si="180"/>
        <v>-18356.004058785897</v>
      </c>
      <c r="AT49" s="56">
        <f t="shared" si="180"/>
        <v>-18453.748223878953</v>
      </c>
      <c r="AU49" s="56">
        <f t="shared" si="180"/>
        <v>-18543.672855764526</v>
      </c>
      <c r="AV49" s="56">
        <f t="shared" si="180"/>
        <v>-18626.403517099287</v>
      </c>
      <c r="AW49" s="56">
        <f t="shared" si="180"/>
        <v>-18702.515725527264</v>
      </c>
      <c r="AX49" s="56">
        <f t="shared" si="180"/>
        <v>-18772.538957280995</v>
      </c>
      <c r="AY49" s="56">
        <f t="shared" si="180"/>
        <v>-18836.960330494447</v>
      </c>
      <c r="AZ49" s="56">
        <f t="shared" si="180"/>
        <v>-53348.176689995526</v>
      </c>
      <c r="BA49" s="56">
        <f t="shared" ref="BA49" si="181">BA43-(BA45+BA47)</f>
        <v>-84684.621365669213</v>
      </c>
      <c r="BB49" s="56">
        <f t="shared" si="180"/>
        <v>-80916.204264125423</v>
      </c>
      <c r="BC49" s="56">
        <f t="shared" si="180"/>
        <v>-77136.015632745955</v>
      </c>
      <c r="BD49" s="56">
        <f t="shared" si="180"/>
        <v>-73344.997193917661</v>
      </c>
      <c r="BE49" s="56">
        <f t="shared" si="180"/>
        <v>-35092.066636091738</v>
      </c>
      <c r="BF49" s="56"/>
      <c r="BG49" s="9"/>
    </row>
    <row r="50" spans="2:59" x14ac:dyDescent="0.3">
      <c r="B50" s="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</row>
    <row r="51" spans="2:59" x14ac:dyDescent="0.3">
      <c r="B51" s="8" t="s">
        <v>50</v>
      </c>
      <c r="C51" s="5"/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5">
        <f>D34</f>
        <v>46312.5</v>
      </c>
      <c r="J51" s="5">
        <f t="shared" ref="J51:BE51" si="182">E34</f>
        <v>91649.999999999985</v>
      </c>
      <c r="K51" s="5">
        <f t="shared" si="182"/>
        <v>89700</v>
      </c>
      <c r="L51" s="5">
        <f t="shared" si="182"/>
        <v>87749.999999999971</v>
      </c>
      <c r="M51" s="5">
        <f t="shared" si="182"/>
        <v>85799.999999999985</v>
      </c>
      <c r="N51" s="5">
        <f t="shared" si="182"/>
        <v>83849.999999999956</v>
      </c>
      <c r="O51" s="5">
        <f t="shared" si="182"/>
        <v>81899.999999999971</v>
      </c>
      <c r="P51" s="5">
        <f t="shared" si="182"/>
        <v>79949.999999999942</v>
      </c>
      <c r="Q51" s="5">
        <f t="shared" si="182"/>
        <v>77999.999999999956</v>
      </c>
      <c r="R51" s="5">
        <f t="shared" si="182"/>
        <v>76049.999999999956</v>
      </c>
      <c r="S51" s="5">
        <f t="shared" si="182"/>
        <v>74099.999999999971</v>
      </c>
      <c r="T51" s="5">
        <f t="shared" si="182"/>
        <v>72149.999999999956</v>
      </c>
      <c r="U51" s="5">
        <f t="shared" si="182"/>
        <v>70199.999999999971</v>
      </c>
      <c r="V51" s="5">
        <f t="shared" si="182"/>
        <v>68249.999999999971</v>
      </c>
      <c r="W51" s="5">
        <f t="shared" si="182"/>
        <v>66299.999999999971</v>
      </c>
      <c r="X51" s="5">
        <f t="shared" si="182"/>
        <v>64349.999999999971</v>
      </c>
      <c r="Y51" s="5">
        <f t="shared" si="182"/>
        <v>62399.999999999985</v>
      </c>
      <c r="Z51" s="5">
        <f t="shared" si="182"/>
        <v>60449.999999999971</v>
      </c>
      <c r="AA51" s="5">
        <f t="shared" si="182"/>
        <v>58499.999999999993</v>
      </c>
      <c r="AB51" s="5">
        <f t="shared" si="182"/>
        <v>56549.999999999978</v>
      </c>
      <c r="AC51" s="5">
        <f t="shared" si="182"/>
        <v>54599.999999999993</v>
      </c>
      <c r="AD51" s="5">
        <f t="shared" si="182"/>
        <v>52649.999999999993</v>
      </c>
      <c r="AE51" s="5">
        <f t="shared" si="182"/>
        <v>50700</v>
      </c>
      <c r="AF51" s="5">
        <f t="shared" si="182"/>
        <v>48749.999999999993</v>
      </c>
      <c r="AG51" s="5">
        <f t="shared" si="182"/>
        <v>46800</v>
      </c>
      <c r="AH51" s="5">
        <f t="shared" si="182"/>
        <v>44850</v>
      </c>
      <c r="AI51" s="5">
        <f t="shared" si="182"/>
        <v>42900.000000000007</v>
      </c>
      <c r="AJ51" s="5">
        <f t="shared" si="182"/>
        <v>40950</v>
      </c>
      <c r="AK51" s="5">
        <f t="shared" si="182"/>
        <v>39000.000000000007</v>
      </c>
      <c r="AL51" s="5">
        <f t="shared" si="182"/>
        <v>37050.000000000007</v>
      </c>
      <c r="AM51" s="5">
        <f t="shared" si="182"/>
        <v>35100</v>
      </c>
      <c r="AN51" s="5">
        <f t="shared" si="182"/>
        <v>33150.000000000007</v>
      </c>
      <c r="AO51" s="5">
        <f t="shared" si="182"/>
        <v>31200</v>
      </c>
      <c r="AP51" s="5">
        <f t="shared" si="182"/>
        <v>29250</v>
      </c>
      <c r="AQ51" s="5">
        <f t="shared" si="182"/>
        <v>27299.999999999996</v>
      </c>
      <c r="AR51" s="5">
        <f t="shared" si="182"/>
        <v>25350</v>
      </c>
      <c r="AS51" s="5">
        <f t="shared" si="182"/>
        <v>23399.999999999993</v>
      </c>
      <c r="AT51" s="5">
        <f t="shared" si="182"/>
        <v>21449.999999999996</v>
      </c>
      <c r="AU51" s="5">
        <f t="shared" si="182"/>
        <v>19499.999999999993</v>
      </c>
      <c r="AV51" s="5">
        <f t="shared" si="182"/>
        <v>17549.999999999993</v>
      </c>
      <c r="AW51" s="5">
        <f t="shared" si="182"/>
        <v>15599.999999999996</v>
      </c>
      <c r="AX51" s="5">
        <f t="shared" si="182"/>
        <v>13649.999999999993</v>
      </c>
      <c r="AY51" s="5">
        <f t="shared" si="182"/>
        <v>11699.999999999996</v>
      </c>
      <c r="AZ51" s="5">
        <f t="shared" si="182"/>
        <v>9749.9999999999964</v>
      </c>
      <c r="BA51" s="5">
        <f t="shared" si="182"/>
        <v>7799.9999999999973</v>
      </c>
      <c r="BB51" s="5">
        <f t="shared" si="182"/>
        <v>5849.9999999999973</v>
      </c>
      <c r="BC51" s="5">
        <f t="shared" si="182"/>
        <v>3899.9999999999964</v>
      </c>
      <c r="BD51" s="5">
        <f t="shared" si="182"/>
        <v>1949.9999999999968</v>
      </c>
      <c r="BE51" s="5">
        <f t="shared" si="182"/>
        <v>487.49999999999113</v>
      </c>
    </row>
    <row r="52" spans="2:59" x14ac:dyDescent="0.3">
      <c r="B52" s="8"/>
    </row>
    <row r="53" spans="2:59" x14ac:dyDescent="0.3">
      <c r="B53" s="8" t="s">
        <v>46</v>
      </c>
      <c r="D53" s="5">
        <f>D34-D51</f>
        <v>46312.5</v>
      </c>
      <c r="E53" s="5">
        <f t="shared" ref="E53:BE53" si="183">E34-E51</f>
        <v>91649.999999999985</v>
      </c>
      <c r="F53" s="5">
        <f t="shared" si="183"/>
        <v>89700</v>
      </c>
      <c r="G53" s="5">
        <f t="shared" si="183"/>
        <v>87749.999999999971</v>
      </c>
      <c r="H53" s="5">
        <f t="shared" si="183"/>
        <v>85799.999999999985</v>
      </c>
      <c r="I53" s="5">
        <f t="shared" si="183"/>
        <v>37537.499999999956</v>
      </c>
      <c r="J53" s="5">
        <f t="shared" si="183"/>
        <v>-9750.0000000000146</v>
      </c>
      <c r="K53" s="5">
        <f t="shared" si="183"/>
        <v>-9750.0000000000582</v>
      </c>
      <c r="L53" s="5">
        <f t="shared" si="183"/>
        <v>-9750.0000000000146</v>
      </c>
      <c r="M53" s="5">
        <f t="shared" si="183"/>
        <v>-9750.0000000000291</v>
      </c>
      <c r="N53" s="5">
        <f t="shared" si="183"/>
        <v>-9749.9999999999854</v>
      </c>
      <c r="O53" s="5">
        <f t="shared" si="183"/>
        <v>-9750.0000000000146</v>
      </c>
      <c r="P53" s="5">
        <f t="shared" si="183"/>
        <v>-9749.9999999999709</v>
      </c>
      <c r="Q53" s="5">
        <f t="shared" si="183"/>
        <v>-9749.9999999999854</v>
      </c>
      <c r="R53" s="5">
        <f t="shared" si="183"/>
        <v>-9749.9999999999854</v>
      </c>
      <c r="S53" s="5">
        <f t="shared" si="183"/>
        <v>-9750</v>
      </c>
      <c r="T53" s="5">
        <f t="shared" si="183"/>
        <v>-9749.9999999999709</v>
      </c>
      <c r="U53" s="5">
        <f t="shared" si="183"/>
        <v>-9750</v>
      </c>
      <c r="V53" s="5">
        <f t="shared" si="183"/>
        <v>-9749.9999999999782</v>
      </c>
      <c r="W53" s="5">
        <f t="shared" si="183"/>
        <v>-9749.9999999999927</v>
      </c>
      <c r="X53" s="5">
        <f t="shared" si="183"/>
        <v>-9749.9999999999782</v>
      </c>
      <c r="Y53" s="5">
        <f t="shared" si="183"/>
        <v>-9749.9999999999927</v>
      </c>
      <c r="Z53" s="5">
        <f t="shared" si="183"/>
        <v>-9749.9999999999709</v>
      </c>
      <c r="AA53" s="5">
        <f t="shared" si="183"/>
        <v>-9750</v>
      </c>
      <c r="AB53" s="5">
        <f t="shared" si="183"/>
        <v>-9749.9999999999782</v>
      </c>
      <c r="AC53" s="5">
        <f t="shared" si="183"/>
        <v>-9749.9999999999927</v>
      </c>
      <c r="AD53" s="5">
        <f t="shared" si="183"/>
        <v>-9749.9999999999854</v>
      </c>
      <c r="AE53" s="5">
        <f t="shared" si="183"/>
        <v>-9750</v>
      </c>
      <c r="AF53" s="5">
        <f t="shared" si="183"/>
        <v>-9749.9999999999854</v>
      </c>
      <c r="AG53" s="5">
        <f t="shared" si="183"/>
        <v>-9749.9999999999927</v>
      </c>
      <c r="AH53" s="5">
        <f t="shared" si="183"/>
        <v>-9750</v>
      </c>
      <c r="AI53" s="5">
        <f t="shared" si="183"/>
        <v>-9750</v>
      </c>
      <c r="AJ53" s="5">
        <f t="shared" si="183"/>
        <v>-9750</v>
      </c>
      <c r="AK53" s="5">
        <f t="shared" si="183"/>
        <v>-9750.0000000000073</v>
      </c>
      <c r="AL53" s="5">
        <f t="shared" si="183"/>
        <v>-9750.0000000000109</v>
      </c>
      <c r="AM53" s="5">
        <f t="shared" si="183"/>
        <v>-9750</v>
      </c>
      <c r="AN53" s="5">
        <f t="shared" si="183"/>
        <v>-9750.0000000000146</v>
      </c>
      <c r="AO53" s="5">
        <f t="shared" si="183"/>
        <v>-9750.0000000000036</v>
      </c>
      <c r="AP53" s="5">
        <f t="shared" si="183"/>
        <v>-9750.0000000000073</v>
      </c>
      <c r="AQ53" s="5">
        <f t="shared" si="183"/>
        <v>-9750.0000000000036</v>
      </c>
      <c r="AR53" s="5">
        <f t="shared" si="183"/>
        <v>-9750.0000000000036</v>
      </c>
      <c r="AS53" s="5">
        <f t="shared" si="183"/>
        <v>-9750</v>
      </c>
      <c r="AT53" s="5">
        <f t="shared" si="183"/>
        <v>-9750</v>
      </c>
      <c r="AU53" s="5">
        <f t="shared" si="183"/>
        <v>-9749.9999999999964</v>
      </c>
      <c r="AV53" s="5">
        <f t="shared" si="183"/>
        <v>-9749.9999999999964</v>
      </c>
      <c r="AW53" s="5">
        <f t="shared" si="183"/>
        <v>-9750</v>
      </c>
      <c r="AX53" s="5">
        <f t="shared" si="183"/>
        <v>-9749.9999999999964</v>
      </c>
      <c r="AY53" s="5">
        <f t="shared" si="183"/>
        <v>-9750</v>
      </c>
      <c r="AZ53" s="5">
        <f t="shared" si="183"/>
        <v>-9262.5000000000055</v>
      </c>
      <c r="BA53" s="5">
        <f t="shared" si="183"/>
        <v>-7799.9999999999973</v>
      </c>
      <c r="BB53" s="5">
        <f t="shared" si="183"/>
        <v>-5849.9999999999973</v>
      </c>
      <c r="BC53" s="5">
        <f t="shared" si="183"/>
        <v>-3899.9999999999964</v>
      </c>
      <c r="BD53" s="5">
        <f t="shared" si="183"/>
        <v>-1949.9999999999968</v>
      </c>
      <c r="BE53" s="5">
        <f t="shared" si="183"/>
        <v>-487.49999999999113</v>
      </c>
      <c r="BF53" s="49"/>
    </row>
    <row r="54" spans="2:59" x14ac:dyDescent="0.3">
      <c r="C54" s="8"/>
      <c r="BF54" s="49"/>
    </row>
    <row r="55" spans="2:59" x14ac:dyDescent="0.3">
      <c r="B55" s="8" t="s">
        <v>38</v>
      </c>
      <c r="C55" s="74">
        <f>NPV(WACC,D43:BE43)</f>
        <v>2530642.4564447957</v>
      </c>
    </row>
    <row r="56" spans="2:59" x14ac:dyDescent="0.3">
      <c r="B56" s="8" t="s">
        <v>39</v>
      </c>
      <c r="C56" s="74">
        <f>NPV(WACC,D45:BE45)</f>
        <v>1876128.6221036143</v>
      </c>
    </row>
    <row r="57" spans="2:59" x14ac:dyDescent="0.3">
      <c r="B57" s="8" t="s">
        <v>40</v>
      </c>
      <c r="C57" s="74">
        <f>NPV(WACC,D47:BE47)</f>
        <v>571748.49378471484</v>
      </c>
    </row>
    <row r="58" spans="2:59" x14ac:dyDescent="0.3">
      <c r="B58" s="8" t="s">
        <v>42</v>
      </c>
      <c r="C58" s="74">
        <f>C55-C56-C57</f>
        <v>82765.340556466603</v>
      </c>
      <c r="D58" s="13"/>
    </row>
    <row r="59" spans="2:59" x14ac:dyDescent="0.3">
      <c r="B59" s="8"/>
      <c r="C59" s="153"/>
      <c r="D59" s="13"/>
    </row>
    <row r="60" spans="2:59" x14ac:dyDescent="0.3">
      <c r="B60" s="8" t="s">
        <v>47</v>
      </c>
      <c r="C60" s="74">
        <f>NPV(WACC,D34:BE34)</f>
        <v>989410.90991072869</v>
      </c>
      <c r="D60" s="14"/>
    </row>
    <row r="61" spans="2:59" x14ac:dyDescent="0.3">
      <c r="B61" s="8" t="s">
        <v>48</v>
      </c>
      <c r="C61" s="74">
        <f>NPV(WACC,D51:BE51)</f>
        <v>733514.18031328381</v>
      </c>
      <c r="D61" s="14"/>
    </row>
    <row r="62" spans="2:59" x14ac:dyDescent="0.3">
      <c r="B62" s="8" t="s">
        <v>49</v>
      </c>
      <c r="C62" s="74">
        <f>C60-C61</f>
        <v>255896.72959744488</v>
      </c>
      <c r="D62" s="14"/>
    </row>
    <row r="63" spans="2:59" x14ac:dyDescent="0.3">
      <c r="B63" s="8"/>
    </row>
    <row r="64" spans="2:59" x14ac:dyDescent="0.3">
      <c r="B64" s="8" t="s">
        <v>133</v>
      </c>
      <c r="C64" s="74">
        <f>SUM(D43:H43)-SUM(D45:H45)</f>
        <v>817213.80917687062</v>
      </c>
    </row>
    <row r="65" spans="2:3" x14ac:dyDescent="0.3">
      <c r="B65" s="8" t="s">
        <v>134</v>
      </c>
      <c r="C65" s="74">
        <f>SUM(D43:BE43)-SUM(D45:BE45)</f>
        <v>0</v>
      </c>
    </row>
    <row r="66" spans="2:3" x14ac:dyDescent="0.3">
      <c r="B66" s="8" t="s">
        <v>135</v>
      </c>
      <c r="C66" s="74">
        <f>NPV(WACC,D43:BE43)-NPV(WACC,D45:BE45)</f>
        <v>654513.83434118144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B670-A372-405E-95A8-1440DF909525}">
  <dimension ref="B2:BA73"/>
  <sheetViews>
    <sheetView showGridLines="0" zoomScale="70" zoomScaleNormal="70" workbookViewId="0">
      <pane xSplit="3" ySplit="21" topLeftCell="D22" activePane="bottomRight" state="frozen"/>
      <selection activeCell="B13" sqref="B13"/>
      <selection pane="topRight" activeCell="B13" sqref="B13"/>
      <selection pane="bottomLeft" activeCell="B13" sqref="B13"/>
      <selection pane="bottomRight" activeCell="D22" sqref="D22"/>
    </sheetView>
  </sheetViews>
  <sheetFormatPr defaultRowHeight="14.4" outlineLevelRow="1" x14ac:dyDescent="0.3"/>
  <cols>
    <col min="1" max="1" width="4.5546875" customWidth="1"/>
    <col min="2" max="2" width="38.44140625" customWidth="1"/>
    <col min="3" max="3" width="15.77734375" customWidth="1"/>
    <col min="4" max="4" width="13.77734375" bestFit="1" customWidth="1"/>
    <col min="5" max="5" width="14.5546875" bestFit="1" customWidth="1"/>
    <col min="6" max="6" width="15" bestFit="1" customWidth="1"/>
    <col min="7" max="7" width="16" bestFit="1" customWidth="1"/>
    <col min="8" max="8" width="16.77734375" bestFit="1" customWidth="1"/>
    <col min="9" max="10" width="13.77734375" bestFit="1" customWidth="1"/>
    <col min="11" max="11" width="14.21875" bestFit="1" customWidth="1"/>
    <col min="12" max="12" width="13.77734375" bestFit="1" customWidth="1"/>
    <col min="13" max="16" width="14.21875" bestFit="1" customWidth="1"/>
    <col min="17" max="17" width="13.77734375" bestFit="1" customWidth="1"/>
    <col min="18" max="18" width="13.5546875" bestFit="1" customWidth="1"/>
    <col min="19" max="23" width="14.21875" bestFit="1" customWidth="1"/>
    <col min="24" max="24" width="13.77734375" bestFit="1" customWidth="1"/>
    <col min="25" max="25" width="14.21875" bestFit="1" customWidth="1"/>
    <col min="26" max="26" width="13.77734375" bestFit="1" customWidth="1"/>
    <col min="27" max="29" width="14.21875" bestFit="1" customWidth="1"/>
    <col min="30" max="30" width="13.5546875" bestFit="1" customWidth="1"/>
    <col min="31" max="31" width="14.21875" bestFit="1" customWidth="1"/>
    <col min="32" max="32" width="13.77734375" bestFit="1" customWidth="1"/>
    <col min="33" max="34" width="14.21875" bestFit="1" customWidth="1"/>
    <col min="35" max="35" width="13.77734375" bestFit="1" customWidth="1"/>
    <col min="36" max="40" width="14.21875" bestFit="1" customWidth="1"/>
    <col min="41" max="41" width="13.77734375" bestFit="1" customWidth="1"/>
    <col min="42" max="42" width="14.21875" bestFit="1" customWidth="1"/>
    <col min="43" max="43" width="13.77734375" bestFit="1" customWidth="1"/>
    <col min="44" max="44" width="14.21875" bestFit="1" customWidth="1"/>
    <col min="45" max="45" width="13.77734375" bestFit="1" customWidth="1"/>
    <col min="46" max="46" width="14.21875" bestFit="1" customWidth="1"/>
    <col min="47" max="47" width="13.44140625" bestFit="1" customWidth="1"/>
    <col min="48" max="51" width="14.21875" bestFit="1" customWidth="1"/>
    <col min="52" max="52" width="13.77734375" bestFit="1" customWidth="1"/>
    <col min="53" max="53" width="12.77734375" bestFit="1" customWidth="1"/>
    <col min="54" max="71" width="13" customWidth="1"/>
  </cols>
  <sheetData>
    <row r="2" spans="2:5" x14ac:dyDescent="0.3">
      <c r="B2" s="45" t="s">
        <v>66</v>
      </c>
    </row>
    <row r="3" spans="2:5" x14ac:dyDescent="0.3">
      <c r="B3" s="44" t="s">
        <v>67</v>
      </c>
    </row>
    <row r="5" spans="2:5" ht="15" thickBot="1" x14ac:dyDescent="0.35">
      <c r="B5" s="27" t="s">
        <v>60</v>
      </c>
      <c r="C5" s="37"/>
      <c r="D5" s="154"/>
    </row>
    <row r="6" spans="2:5" hidden="1" outlineLevel="1" x14ac:dyDescent="0.3">
      <c r="B6" t="s">
        <v>6</v>
      </c>
      <c r="C6" s="39">
        <f>'Assumptions and Summary'!C5</f>
        <v>9.3600000000000003E-2</v>
      </c>
    </row>
    <row r="7" spans="2:5" hidden="1" outlineLevel="1" x14ac:dyDescent="0.3">
      <c r="B7" t="s">
        <v>63</v>
      </c>
      <c r="C7" s="46">
        <f>'Assumptions and Summary'!C6</f>
        <v>0.4</v>
      </c>
    </row>
    <row r="8" spans="2:5" hidden="1" outlineLevel="1" x14ac:dyDescent="0.3">
      <c r="B8" s="18" t="s">
        <v>3</v>
      </c>
      <c r="C8" s="39">
        <f>'Assumptions and Summary'!C7</f>
        <v>4.0399999999999998E-2</v>
      </c>
    </row>
    <row r="9" spans="2:5" hidden="1" outlineLevel="1" x14ac:dyDescent="0.3">
      <c r="B9" s="18" t="s">
        <v>64</v>
      </c>
      <c r="C9" s="46">
        <f>'Assumptions and Summary'!C8</f>
        <v>0.6</v>
      </c>
    </row>
    <row r="10" spans="2:5" hidden="1" outlineLevel="1" x14ac:dyDescent="0.3">
      <c r="B10" t="s">
        <v>4</v>
      </c>
      <c r="C10" s="38">
        <f>'Assumptions and Summary'!C9</f>
        <v>48</v>
      </c>
    </row>
    <row r="11" spans="2:5" hidden="1" outlineLevel="1" x14ac:dyDescent="0.3">
      <c r="B11" s="20" t="s">
        <v>5</v>
      </c>
      <c r="C11" s="144">
        <f>'Assumptions and Summary'!C10</f>
        <v>2.0833333333333332E-2</v>
      </c>
    </row>
    <row r="12" spans="2:5" hidden="1" outlineLevel="1" x14ac:dyDescent="0.3">
      <c r="B12" s="20" t="s">
        <v>131</v>
      </c>
      <c r="C12" s="144">
        <f>'Assumptions and Summary'!C11</f>
        <v>0.08</v>
      </c>
      <c r="E12" s="155"/>
    </row>
    <row r="13" spans="2:5" hidden="1" outlineLevel="1" x14ac:dyDescent="0.3">
      <c r="B13" s="2" t="s">
        <v>130</v>
      </c>
      <c r="C13" s="30">
        <f>'Assumptions and Summary'!C12</f>
        <v>0.26500000000000001</v>
      </c>
    </row>
    <row r="14" spans="2:5" collapsed="1" x14ac:dyDescent="0.3">
      <c r="C14" s="39"/>
    </row>
    <row r="15" spans="2:5" ht="15" thickBot="1" x14ac:dyDescent="0.35">
      <c r="B15" s="27" t="s">
        <v>61</v>
      </c>
      <c r="C15" s="40"/>
    </row>
    <row r="16" spans="2:5" hidden="1" outlineLevel="1" x14ac:dyDescent="0.3">
      <c r="B16" s="25" t="s">
        <v>59</v>
      </c>
      <c r="C16" s="22">
        <f>'Assumptions and Summary'!D17</f>
        <v>10000000</v>
      </c>
    </row>
    <row r="17" spans="2:53" hidden="1" outlineLevel="1" x14ac:dyDescent="0.3">
      <c r="B17" s="25" t="s">
        <v>18</v>
      </c>
      <c r="C17" s="22">
        <f>'Assumptions and Summary'!D18</f>
        <v>2500000</v>
      </c>
    </row>
    <row r="18" spans="2:53" hidden="1" outlineLevel="1" x14ac:dyDescent="0.3">
      <c r="B18" s="32" t="s">
        <v>19</v>
      </c>
      <c r="C18" s="33">
        <f>'Assumptions and Summary'!D19</f>
        <v>7500000</v>
      </c>
    </row>
    <row r="19" spans="2:53" collapsed="1" x14ac:dyDescent="0.3"/>
    <row r="20" spans="2:53" x14ac:dyDescent="0.3">
      <c r="C20" s="8" t="s">
        <v>68</v>
      </c>
      <c r="D20">
        <v>1</v>
      </c>
      <c r="E20">
        <f>D20+1</f>
        <v>2</v>
      </c>
      <c r="F20">
        <f t="shared" ref="F20:AZ20" si="0">E20+1</f>
        <v>3</v>
      </c>
      <c r="G20">
        <f t="shared" si="0"/>
        <v>4</v>
      </c>
      <c r="H20">
        <f t="shared" si="0"/>
        <v>5</v>
      </c>
      <c r="I20">
        <f t="shared" si="0"/>
        <v>6</v>
      </c>
      <c r="J20">
        <f t="shared" si="0"/>
        <v>7</v>
      </c>
      <c r="K20">
        <f t="shared" si="0"/>
        <v>8</v>
      </c>
      <c r="L20">
        <f t="shared" si="0"/>
        <v>9</v>
      </c>
      <c r="M20">
        <f t="shared" si="0"/>
        <v>10</v>
      </c>
      <c r="N20">
        <f t="shared" si="0"/>
        <v>11</v>
      </c>
      <c r="O20">
        <f t="shared" si="0"/>
        <v>12</v>
      </c>
      <c r="P20">
        <f t="shared" si="0"/>
        <v>13</v>
      </c>
      <c r="Q20">
        <f t="shared" si="0"/>
        <v>14</v>
      </c>
      <c r="R20">
        <f t="shared" si="0"/>
        <v>15</v>
      </c>
      <c r="S20">
        <f t="shared" si="0"/>
        <v>16</v>
      </c>
      <c r="T20">
        <f t="shared" si="0"/>
        <v>17</v>
      </c>
      <c r="U20">
        <f t="shared" si="0"/>
        <v>18</v>
      </c>
      <c r="V20">
        <f t="shared" si="0"/>
        <v>19</v>
      </c>
      <c r="W20">
        <f t="shared" si="0"/>
        <v>20</v>
      </c>
      <c r="X20">
        <f t="shared" si="0"/>
        <v>21</v>
      </c>
      <c r="Y20">
        <f t="shared" si="0"/>
        <v>22</v>
      </c>
      <c r="Z20">
        <f t="shared" si="0"/>
        <v>23</v>
      </c>
      <c r="AA20">
        <f t="shared" si="0"/>
        <v>24</v>
      </c>
      <c r="AB20">
        <f t="shared" si="0"/>
        <v>25</v>
      </c>
      <c r="AC20">
        <f t="shared" si="0"/>
        <v>26</v>
      </c>
      <c r="AD20">
        <f t="shared" si="0"/>
        <v>27</v>
      </c>
      <c r="AE20">
        <f t="shared" si="0"/>
        <v>28</v>
      </c>
      <c r="AF20">
        <f t="shared" si="0"/>
        <v>29</v>
      </c>
      <c r="AG20">
        <f t="shared" si="0"/>
        <v>30</v>
      </c>
      <c r="AH20">
        <f t="shared" si="0"/>
        <v>31</v>
      </c>
      <c r="AI20">
        <f t="shared" si="0"/>
        <v>32</v>
      </c>
      <c r="AJ20">
        <f t="shared" si="0"/>
        <v>33</v>
      </c>
      <c r="AK20">
        <f t="shared" si="0"/>
        <v>34</v>
      </c>
      <c r="AL20">
        <f t="shared" si="0"/>
        <v>35</v>
      </c>
      <c r="AM20">
        <f t="shared" si="0"/>
        <v>36</v>
      </c>
      <c r="AN20">
        <f t="shared" si="0"/>
        <v>37</v>
      </c>
      <c r="AO20">
        <f t="shared" si="0"/>
        <v>38</v>
      </c>
      <c r="AP20">
        <f t="shared" si="0"/>
        <v>39</v>
      </c>
      <c r="AQ20">
        <f t="shared" si="0"/>
        <v>40</v>
      </c>
      <c r="AR20">
        <f t="shared" si="0"/>
        <v>41</v>
      </c>
      <c r="AS20">
        <f t="shared" si="0"/>
        <v>42</v>
      </c>
      <c r="AT20">
        <f t="shared" si="0"/>
        <v>43</v>
      </c>
      <c r="AU20">
        <f t="shared" si="0"/>
        <v>44</v>
      </c>
      <c r="AV20">
        <f t="shared" si="0"/>
        <v>45</v>
      </c>
      <c r="AW20">
        <f t="shared" si="0"/>
        <v>46</v>
      </c>
      <c r="AX20">
        <f t="shared" si="0"/>
        <v>47</v>
      </c>
      <c r="AY20">
        <f t="shared" si="0"/>
        <v>48</v>
      </c>
      <c r="AZ20">
        <f t="shared" si="0"/>
        <v>49</v>
      </c>
    </row>
    <row r="21" spans="2:53" x14ac:dyDescent="0.3">
      <c r="B21" s="42"/>
      <c r="C21" s="42"/>
      <c r="D21" s="41">
        <v>2025</v>
      </c>
      <c r="E21" s="41">
        <v>2026</v>
      </c>
      <c r="F21" s="41">
        <v>2027</v>
      </c>
      <c r="G21" s="41">
        <v>2028</v>
      </c>
      <c r="H21" s="41">
        <v>2029</v>
      </c>
      <c r="I21" s="41">
        <v>2030</v>
      </c>
      <c r="J21" s="41">
        <v>2031</v>
      </c>
      <c r="K21" s="41">
        <v>2032</v>
      </c>
      <c r="L21" s="41">
        <v>2033</v>
      </c>
      <c r="M21" s="41">
        <v>2034</v>
      </c>
      <c r="N21" s="41">
        <v>2035</v>
      </c>
      <c r="O21" s="41">
        <v>2036</v>
      </c>
      <c r="P21" s="41">
        <v>2037</v>
      </c>
      <c r="Q21" s="41">
        <v>2038</v>
      </c>
      <c r="R21" s="41">
        <v>2039</v>
      </c>
      <c r="S21" s="41">
        <v>2040</v>
      </c>
      <c r="T21" s="41">
        <v>2041</v>
      </c>
      <c r="U21" s="41">
        <v>2042</v>
      </c>
      <c r="V21" s="41">
        <v>2043</v>
      </c>
      <c r="W21" s="41">
        <v>2044</v>
      </c>
      <c r="X21" s="41">
        <v>2045</v>
      </c>
      <c r="Y21" s="41">
        <v>2046</v>
      </c>
      <c r="Z21" s="41">
        <v>2047</v>
      </c>
      <c r="AA21" s="41">
        <v>2048</v>
      </c>
      <c r="AB21" s="41">
        <v>2049</v>
      </c>
      <c r="AC21" s="41">
        <v>2050</v>
      </c>
      <c r="AD21" s="41">
        <v>2051</v>
      </c>
      <c r="AE21" s="41">
        <v>2052</v>
      </c>
      <c r="AF21" s="41">
        <v>2053</v>
      </c>
      <c r="AG21" s="41">
        <v>2054</v>
      </c>
      <c r="AH21" s="41">
        <v>2055</v>
      </c>
      <c r="AI21" s="41">
        <v>2056</v>
      </c>
      <c r="AJ21" s="41">
        <v>2057</v>
      </c>
      <c r="AK21" s="41">
        <v>2058</v>
      </c>
      <c r="AL21" s="41">
        <v>2059</v>
      </c>
      <c r="AM21" s="41">
        <v>2060</v>
      </c>
      <c r="AN21" s="41">
        <v>2061</v>
      </c>
      <c r="AO21" s="41">
        <v>2062</v>
      </c>
      <c r="AP21" s="41">
        <v>2063</v>
      </c>
      <c r="AQ21" s="41">
        <v>2064</v>
      </c>
      <c r="AR21" s="41">
        <v>2065</v>
      </c>
      <c r="AS21" s="41">
        <v>2066</v>
      </c>
      <c r="AT21" s="41">
        <v>2067</v>
      </c>
      <c r="AU21" s="41">
        <v>2068</v>
      </c>
      <c r="AV21" s="41">
        <v>2069</v>
      </c>
      <c r="AW21" s="41">
        <v>2070</v>
      </c>
      <c r="AX21" s="41">
        <v>2071</v>
      </c>
      <c r="AY21" s="41">
        <v>2072</v>
      </c>
      <c r="AZ21" s="41">
        <v>2073</v>
      </c>
    </row>
    <row r="23" spans="2:53" x14ac:dyDescent="0.3">
      <c r="B23" s="8" t="s">
        <v>0</v>
      </c>
      <c r="D23" s="73">
        <f>C18</f>
        <v>7500000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</row>
    <row r="24" spans="2:53" x14ac:dyDescent="0.3">
      <c r="B24" s="8" t="s">
        <v>65</v>
      </c>
      <c r="D24" s="48">
        <f>$D$23-SUM($D27:D27)</f>
        <v>7421875</v>
      </c>
      <c r="E24" s="48">
        <f>$D$23-SUM($D27:E27)</f>
        <v>7265625</v>
      </c>
      <c r="F24" s="48">
        <f>$D$23-SUM($D27:F27)</f>
        <v>7109375</v>
      </c>
      <c r="G24" s="48">
        <f>$D$23-SUM($D27:G27)</f>
        <v>6953125</v>
      </c>
      <c r="H24" s="48">
        <f>$D$23-SUM($D27:H27)</f>
        <v>6796875</v>
      </c>
      <c r="I24" s="48">
        <f>$D$23-SUM($D27:I27)</f>
        <v>6640625</v>
      </c>
      <c r="J24" s="48">
        <f>$D$23-SUM($D27:J27)</f>
        <v>6484375</v>
      </c>
      <c r="K24" s="48">
        <f>$D$23-SUM($D27:K27)</f>
        <v>6328125</v>
      </c>
      <c r="L24" s="48">
        <f>$D$23-SUM($D27:L27)</f>
        <v>6171875</v>
      </c>
      <c r="M24" s="48">
        <f>$D$23-SUM($D27:M27)</f>
        <v>6015625</v>
      </c>
      <c r="N24" s="48">
        <f>$D$23-SUM($D27:N27)</f>
        <v>5859375</v>
      </c>
      <c r="O24" s="48">
        <f>$D$23-SUM($D27:O27)</f>
        <v>5703125</v>
      </c>
      <c r="P24" s="48">
        <f>$D$23-SUM($D27:P27)</f>
        <v>5546875</v>
      </c>
      <c r="Q24" s="48">
        <f>$D$23-SUM($D27:Q27)</f>
        <v>5390625</v>
      </c>
      <c r="R24" s="48">
        <f>$D$23-SUM($D27:R27)</f>
        <v>5234375</v>
      </c>
      <c r="S24" s="48">
        <f>$D$23-SUM($D27:S27)</f>
        <v>5078125</v>
      </c>
      <c r="T24" s="48">
        <f>$D$23-SUM($D27:T27)</f>
        <v>4921875</v>
      </c>
      <c r="U24" s="48">
        <f>$D$23-SUM($D27:U27)</f>
        <v>4765625</v>
      </c>
      <c r="V24" s="48">
        <f>$D$23-SUM($D27:V27)</f>
        <v>4609375</v>
      </c>
      <c r="W24" s="48">
        <f>$D$23-SUM($D27:W27)</f>
        <v>4453125</v>
      </c>
      <c r="X24" s="48">
        <f>$D$23-SUM($D27:X27)</f>
        <v>4296875</v>
      </c>
      <c r="Y24" s="48">
        <f>$D$23-SUM($D27:Y27)</f>
        <v>4140625</v>
      </c>
      <c r="Z24" s="48">
        <f>$D$23-SUM($D27:Z27)</f>
        <v>3984375</v>
      </c>
      <c r="AA24" s="48">
        <f>$D$23-SUM($D27:AA27)</f>
        <v>3828125</v>
      </c>
      <c r="AB24" s="48">
        <f>$D$23-SUM($D27:AB27)</f>
        <v>3671875</v>
      </c>
      <c r="AC24" s="48">
        <f>$D$23-SUM($D27:AC27)</f>
        <v>3515625</v>
      </c>
      <c r="AD24" s="48">
        <f>$D$23-SUM($D27:AD27)</f>
        <v>3359375</v>
      </c>
      <c r="AE24" s="48">
        <f>$D$23-SUM($D27:AE27)</f>
        <v>3203125</v>
      </c>
      <c r="AF24" s="48">
        <f>$D$23-SUM($D27:AF27)</f>
        <v>3046875</v>
      </c>
      <c r="AG24" s="48">
        <f>$D$23-SUM($D27:AG27)</f>
        <v>2890625</v>
      </c>
      <c r="AH24" s="48">
        <f>$D$23-SUM($D27:AH27)</f>
        <v>2734375</v>
      </c>
      <c r="AI24" s="48">
        <f>$D$23-SUM($D27:AI27)</f>
        <v>2578125</v>
      </c>
      <c r="AJ24" s="48">
        <f>$D$23-SUM($D27:AJ27)</f>
        <v>2421875</v>
      </c>
      <c r="AK24" s="48">
        <f>$D$23-SUM($D27:AK27)</f>
        <v>2265625</v>
      </c>
      <c r="AL24" s="48">
        <f>$D$23-SUM($D27:AL27)</f>
        <v>2109375</v>
      </c>
      <c r="AM24" s="48">
        <f>$D$23-SUM($D27:AM27)</f>
        <v>1953125</v>
      </c>
      <c r="AN24" s="48">
        <f>$D$23-SUM($D27:AN27)</f>
        <v>1796875</v>
      </c>
      <c r="AO24" s="48">
        <f>$D$23-SUM($D27:AO27)</f>
        <v>1640625</v>
      </c>
      <c r="AP24" s="48">
        <f>$D$23-SUM($D27:AP27)</f>
        <v>1484375</v>
      </c>
      <c r="AQ24" s="48">
        <f>$D$23-SUM($D27:AQ27)</f>
        <v>1328125</v>
      </c>
      <c r="AR24" s="48">
        <f>$D$23-SUM($D27:AR27)</f>
        <v>1171875</v>
      </c>
      <c r="AS24" s="48">
        <f>$D$23-SUM($D27:AS27)</f>
        <v>1015625</v>
      </c>
      <c r="AT24" s="48">
        <f>$D$23-SUM($D27:AT27)</f>
        <v>859375</v>
      </c>
      <c r="AU24" s="48">
        <f>$D$23-SUM($D27:AU27)</f>
        <v>703125</v>
      </c>
      <c r="AV24" s="48">
        <f>$D$23-SUM($D27:AV27)</f>
        <v>546875</v>
      </c>
      <c r="AW24" s="48">
        <f>$D$23-SUM($D27:AW27)</f>
        <v>390625</v>
      </c>
      <c r="AX24" s="48">
        <f>$D$23-SUM($D27:AX27)</f>
        <v>234375</v>
      </c>
      <c r="AY24" s="48">
        <f>$D$23-SUM($D27:AY27)</f>
        <v>78125</v>
      </c>
      <c r="AZ24" s="48">
        <f>$D$23-SUM($D27:AZ27)</f>
        <v>0</v>
      </c>
      <c r="BA24" s="49"/>
    </row>
    <row r="25" spans="2:53" x14ac:dyDescent="0.3">
      <c r="B25" s="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</row>
    <row r="26" spans="2:53" x14ac:dyDescent="0.3">
      <c r="B26" s="8" t="s">
        <v>7</v>
      </c>
      <c r="D26" s="50">
        <f>D23/2</f>
        <v>3750000</v>
      </c>
      <c r="E26" s="55">
        <f>D28+D23/2</f>
        <v>7421875</v>
      </c>
      <c r="F26" s="49">
        <f>E28</f>
        <v>7265625</v>
      </c>
      <c r="G26" s="49">
        <f t="shared" ref="G26:AH26" si="1">F28</f>
        <v>7109375</v>
      </c>
      <c r="H26" s="49">
        <f t="shared" si="1"/>
        <v>6953125</v>
      </c>
      <c r="I26" s="49">
        <f t="shared" si="1"/>
        <v>6796875</v>
      </c>
      <c r="J26" s="49">
        <f t="shared" si="1"/>
        <v>6640625</v>
      </c>
      <c r="K26" s="49">
        <f t="shared" si="1"/>
        <v>6484375</v>
      </c>
      <c r="L26" s="49">
        <f t="shared" si="1"/>
        <v>6328125</v>
      </c>
      <c r="M26" s="49">
        <f t="shared" si="1"/>
        <v>6171875</v>
      </c>
      <c r="N26" s="49">
        <f t="shared" si="1"/>
        <v>6015625</v>
      </c>
      <c r="O26" s="49">
        <f t="shared" si="1"/>
        <v>5859375</v>
      </c>
      <c r="P26" s="49">
        <f t="shared" si="1"/>
        <v>5703125</v>
      </c>
      <c r="Q26" s="49">
        <f t="shared" si="1"/>
        <v>5546875</v>
      </c>
      <c r="R26" s="49">
        <f t="shared" si="1"/>
        <v>5390625</v>
      </c>
      <c r="S26" s="49">
        <f t="shared" si="1"/>
        <v>5234375</v>
      </c>
      <c r="T26" s="49">
        <f t="shared" si="1"/>
        <v>5078125</v>
      </c>
      <c r="U26" s="49">
        <f t="shared" si="1"/>
        <v>4921875</v>
      </c>
      <c r="V26" s="49">
        <f t="shared" si="1"/>
        <v>4765625</v>
      </c>
      <c r="W26" s="49">
        <f t="shared" si="1"/>
        <v>4609375</v>
      </c>
      <c r="X26" s="49">
        <f t="shared" si="1"/>
        <v>4453125</v>
      </c>
      <c r="Y26" s="49">
        <f t="shared" si="1"/>
        <v>4296875</v>
      </c>
      <c r="Z26" s="49">
        <f t="shared" si="1"/>
        <v>4140625</v>
      </c>
      <c r="AA26" s="49">
        <f t="shared" si="1"/>
        <v>3984375</v>
      </c>
      <c r="AB26" s="49">
        <f t="shared" si="1"/>
        <v>3828125</v>
      </c>
      <c r="AC26" s="49">
        <f t="shared" si="1"/>
        <v>3671875</v>
      </c>
      <c r="AD26" s="49">
        <f t="shared" si="1"/>
        <v>3515625</v>
      </c>
      <c r="AE26" s="49">
        <f t="shared" si="1"/>
        <v>3359375</v>
      </c>
      <c r="AF26" s="49">
        <f t="shared" si="1"/>
        <v>3203125</v>
      </c>
      <c r="AG26" s="49">
        <f t="shared" si="1"/>
        <v>3046875</v>
      </c>
      <c r="AH26" s="49">
        <f t="shared" si="1"/>
        <v>2890625</v>
      </c>
      <c r="AI26" s="49">
        <f t="shared" ref="AI26" si="2">AH28</f>
        <v>2734375</v>
      </c>
      <c r="AJ26" s="49">
        <f t="shared" ref="AJ26" si="3">AI28</f>
        <v>2578125</v>
      </c>
      <c r="AK26" s="49">
        <f t="shared" ref="AK26" si="4">AJ28</f>
        <v>2421875</v>
      </c>
      <c r="AL26" s="49">
        <f t="shared" ref="AL26" si="5">AK28</f>
        <v>2265625</v>
      </c>
      <c r="AM26" s="49">
        <f t="shared" ref="AM26" si="6">AL28</f>
        <v>2109375</v>
      </c>
      <c r="AN26" s="49">
        <f t="shared" ref="AN26" si="7">AM28</f>
        <v>1953125</v>
      </c>
      <c r="AO26" s="49">
        <f t="shared" ref="AO26" si="8">AN28</f>
        <v>1796875</v>
      </c>
      <c r="AP26" s="49">
        <f t="shared" ref="AP26" si="9">AO28</f>
        <v>1640625</v>
      </c>
      <c r="AQ26" s="49">
        <f t="shared" ref="AQ26" si="10">AP28</f>
        <v>1484375</v>
      </c>
      <c r="AR26" s="49">
        <f t="shared" ref="AR26" si="11">AQ28</f>
        <v>1328125</v>
      </c>
      <c r="AS26" s="49">
        <f t="shared" ref="AS26" si="12">AR28</f>
        <v>1171875</v>
      </c>
      <c r="AT26" s="49">
        <f t="shared" ref="AT26" si="13">AS28</f>
        <v>1015625</v>
      </c>
      <c r="AU26" s="49">
        <f t="shared" ref="AU26" si="14">AT28</f>
        <v>859375</v>
      </c>
      <c r="AV26" s="49">
        <f t="shared" ref="AV26" si="15">AU28</f>
        <v>703125</v>
      </c>
      <c r="AW26" s="49">
        <f t="shared" ref="AW26" si="16">AV28</f>
        <v>546875</v>
      </c>
      <c r="AX26" s="49">
        <f t="shared" ref="AX26" si="17">AW28</f>
        <v>390625</v>
      </c>
      <c r="AY26" s="49">
        <f t="shared" ref="AY26" si="18">AX28</f>
        <v>234375</v>
      </c>
      <c r="AZ26" s="49">
        <f t="shared" ref="AZ26" si="19">AY28</f>
        <v>78125</v>
      </c>
      <c r="BA26" s="49"/>
    </row>
    <row r="27" spans="2:53" x14ac:dyDescent="0.3">
      <c r="B27" s="8" t="s">
        <v>1</v>
      </c>
      <c r="D27" s="55">
        <f>D26*$C$11</f>
        <v>78125</v>
      </c>
      <c r="E27" s="49">
        <f>MIN($D$23*$C$11,D24)</f>
        <v>156250</v>
      </c>
      <c r="F27" s="49">
        <f t="shared" ref="F27:AZ27" si="20">MIN($D$23*$C$11,E24)</f>
        <v>156250</v>
      </c>
      <c r="G27" s="49">
        <f t="shared" si="20"/>
        <v>156250</v>
      </c>
      <c r="H27" s="49">
        <f t="shared" si="20"/>
        <v>156250</v>
      </c>
      <c r="I27" s="49">
        <f t="shared" si="20"/>
        <v>156250</v>
      </c>
      <c r="J27" s="49">
        <f t="shared" si="20"/>
        <v>156250</v>
      </c>
      <c r="K27" s="49">
        <f t="shared" si="20"/>
        <v>156250</v>
      </c>
      <c r="L27" s="49">
        <f t="shared" si="20"/>
        <v>156250</v>
      </c>
      <c r="M27" s="49">
        <f t="shared" si="20"/>
        <v>156250</v>
      </c>
      <c r="N27" s="49">
        <f t="shared" si="20"/>
        <v>156250</v>
      </c>
      <c r="O27" s="49">
        <f t="shared" si="20"/>
        <v>156250</v>
      </c>
      <c r="P27" s="49">
        <f t="shared" si="20"/>
        <v>156250</v>
      </c>
      <c r="Q27" s="49">
        <f t="shared" si="20"/>
        <v>156250</v>
      </c>
      <c r="R27" s="49">
        <f t="shared" si="20"/>
        <v>156250</v>
      </c>
      <c r="S27" s="49">
        <f t="shared" si="20"/>
        <v>156250</v>
      </c>
      <c r="T27" s="49">
        <f t="shared" si="20"/>
        <v>156250</v>
      </c>
      <c r="U27" s="49">
        <f t="shared" si="20"/>
        <v>156250</v>
      </c>
      <c r="V27" s="49">
        <f t="shared" si="20"/>
        <v>156250</v>
      </c>
      <c r="W27" s="49">
        <f t="shared" si="20"/>
        <v>156250</v>
      </c>
      <c r="X27" s="49">
        <f t="shared" si="20"/>
        <v>156250</v>
      </c>
      <c r="Y27" s="49">
        <f t="shared" si="20"/>
        <v>156250</v>
      </c>
      <c r="Z27" s="49">
        <f t="shared" si="20"/>
        <v>156250</v>
      </c>
      <c r="AA27" s="49">
        <f t="shared" si="20"/>
        <v>156250</v>
      </c>
      <c r="AB27" s="49">
        <f t="shared" si="20"/>
        <v>156250</v>
      </c>
      <c r="AC27" s="49">
        <f t="shared" si="20"/>
        <v>156250</v>
      </c>
      <c r="AD27" s="49">
        <f t="shared" si="20"/>
        <v>156250</v>
      </c>
      <c r="AE27" s="49">
        <f t="shared" si="20"/>
        <v>156250</v>
      </c>
      <c r="AF27" s="49">
        <f t="shared" si="20"/>
        <v>156250</v>
      </c>
      <c r="AG27" s="49">
        <f t="shared" si="20"/>
        <v>156250</v>
      </c>
      <c r="AH27" s="49">
        <f t="shared" si="20"/>
        <v>156250</v>
      </c>
      <c r="AI27" s="49">
        <f t="shared" si="20"/>
        <v>156250</v>
      </c>
      <c r="AJ27" s="49">
        <f t="shared" si="20"/>
        <v>156250</v>
      </c>
      <c r="AK27" s="49">
        <f t="shared" si="20"/>
        <v>156250</v>
      </c>
      <c r="AL27" s="49">
        <f t="shared" si="20"/>
        <v>156250</v>
      </c>
      <c r="AM27" s="49">
        <f t="shared" si="20"/>
        <v>156250</v>
      </c>
      <c r="AN27" s="49">
        <f t="shared" si="20"/>
        <v>156250</v>
      </c>
      <c r="AO27" s="49">
        <f t="shared" si="20"/>
        <v>156250</v>
      </c>
      <c r="AP27" s="49">
        <f t="shared" si="20"/>
        <v>156250</v>
      </c>
      <c r="AQ27" s="49">
        <f t="shared" si="20"/>
        <v>156250</v>
      </c>
      <c r="AR27" s="49">
        <f t="shared" si="20"/>
        <v>156250</v>
      </c>
      <c r="AS27" s="49">
        <f t="shared" si="20"/>
        <v>156250</v>
      </c>
      <c r="AT27" s="49">
        <f t="shared" si="20"/>
        <v>156250</v>
      </c>
      <c r="AU27" s="49">
        <f t="shared" si="20"/>
        <v>156250</v>
      </c>
      <c r="AV27" s="49">
        <f t="shared" si="20"/>
        <v>156250</v>
      </c>
      <c r="AW27" s="49">
        <f t="shared" si="20"/>
        <v>156250</v>
      </c>
      <c r="AX27" s="49">
        <f t="shared" si="20"/>
        <v>156250</v>
      </c>
      <c r="AY27" s="49">
        <f t="shared" si="20"/>
        <v>156250</v>
      </c>
      <c r="AZ27" s="49">
        <f t="shared" si="20"/>
        <v>78125</v>
      </c>
      <c r="BA27" s="49"/>
    </row>
    <row r="28" spans="2:53" x14ac:dyDescent="0.3">
      <c r="B28" s="8" t="s">
        <v>8</v>
      </c>
      <c r="D28" s="49">
        <f>D26-D27</f>
        <v>3671875</v>
      </c>
      <c r="E28" s="49">
        <f>E26-E27</f>
        <v>7265625</v>
      </c>
      <c r="F28" s="49">
        <f>F26-F27</f>
        <v>7109375</v>
      </c>
      <c r="G28" s="49">
        <f t="shared" ref="G28:AG28" si="21">G26-G27</f>
        <v>6953125</v>
      </c>
      <c r="H28" s="49">
        <f t="shared" si="21"/>
        <v>6796875</v>
      </c>
      <c r="I28" s="49">
        <f t="shared" si="21"/>
        <v>6640625</v>
      </c>
      <c r="J28" s="49">
        <f t="shared" si="21"/>
        <v>6484375</v>
      </c>
      <c r="K28" s="49">
        <f t="shared" si="21"/>
        <v>6328125</v>
      </c>
      <c r="L28" s="49">
        <f t="shared" si="21"/>
        <v>6171875</v>
      </c>
      <c r="M28" s="49">
        <f t="shared" si="21"/>
        <v>6015625</v>
      </c>
      <c r="N28" s="49">
        <f t="shared" si="21"/>
        <v>5859375</v>
      </c>
      <c r="O28" s="49">
        <f t="shared" si="21"/>
        <v>5703125</v>
      </c>
      <c r="P28" s="49">
        <f t="shared" si="21"/>
        <v>5546875</v>
      </c>
      <c r="Q28" s="49">
        <f t="shared" si="21"/>
        <v>5390625</v>
      </c>
      <c r="R28" s="49">
        <f t="shared" si="21"/>
        <v>5234375</v>
      </c>
      <c r="S28" s="49">
        <f t="shared" si="21"/>
        <v>5078125</v>
      </c>
      <c r="T28" s="49">
        <f t="shared" si="21"/>
        <v>4921875</v>
      </c>
      <c r="U28" s="49">
        <f t="shared" si="21"/>
        <v>4765625</v>
      </c>
      <c r="V28" s="49">
        <f t="shared" si="21"/>
        <v>4609375</v>
      </c>
      <c r="W28" s="49">
        <f t="shared" si="21"/>
        <v>4453125</v>
      </c>
      <c r="X28" s="49">
        <f t="shared" si="21"/>
        <v>4296875</v>
      </c>
      <c r="Y28" s="49">
        <f t="shared" si="21"/>
        <v>4140625</v>
      </c>
      <c r="Z28" s="49">
        <f t="shared" si="21"/>
        <v>3984375</v>
      </c>
      <c r="AA28" s="49">
        <f t="shared" si="21"/>
        <v>3828125</v>
      </c>
      <c r="AB28" s="49">
        <f t="shared" si="21"/>
        <v>3671875</v>
      </c>
      <c r="AC28" s="49">
        <f t="shared" si="21"/>
        <v>3515625</v>
      </c>
      <c r="AD28" s="49">
        <f t="shared" si="21"/>
        <v>3359375</v>
      </c>
      <c r="AE28" s="49">
        <f t="shared" si="21"/>
        <v>3203125</v>
      </c>
      <c r="AF28" s="49">
        <f t="shared" si="21"/>
        <v>3046875</v>
      </c>
      <c r="AG28" s="49">
        <f t="shared" si="21"/>
        <v>2890625</v>
      </c>
      <c r="AH28" s="49">
        <f t="shared" ref="AH28:AZ28" si="22">AH26-AH27</f>
        <v>2734375</v>
      </c>
      <c r="AI28" s="49">
        <f t="shared" si="22"/>
        <v>2578125</v>
      </c>
      <c r="AJ28" s="49">
        <f t="shared" si="22"/>
        <v>2421875</v>
      </c>
      <c r="AK28" s="49">
        <f t="shared" si="22"/>
        <v>2265625</v>
      </c>
      <c r="AL28" s="49">
        <f t="shared" si="22"/>
        <v>2109375</v>
      </c>
      <c r="AM28" s="49">
        <f t="shared" si="22"/>
        <v>1953125</v>
      </c>
      <c r="AN28" s="49">
        <f t="shared" si="22"/>
        <v>1796875</v>
      </c>
      <c r="AO28" s="49">
        <f t="shared" si="22"/>
        <v>1640625</v>
      </c>
      <c r="AP28" s="49">
        <f t="shared" si="22"/>
        <v>1484375</v>
      </c>
      <c r="AQ28" s="49">
        <f t="shared" si="22"/>
        <v>1328125</v>
      </c>
      <c r="AR28" s="49">
        <f t="shared" si="22"/>
        <v>1171875</v>
      </c>
      <c r="AS28" s="49">
        <f t="shared" si="22"/>
        <v>1015625</v>
      </c>
      <c r="AT28" s="49">
        <f t="shared" si="22"/>
        <v>859375</v>
      </c>
      <c r="AU28" s="49">
        <f t="shared" si="22"/>
        <v>703125</v>
      </c>
      <c r="AV28" s="49">
        <f t="shared" si="22"/>
        <v>546875</v>
      </c>
      <c r="AW28" s="49">
        <f t="shared" si="22"/>
        <v>390625</v>
      </c>
      <c r="AX28" s="49">
        <f t="shared" si="22"/>
        <v>234375</v>
      </c>
      <c r="AY28" s="49">
        <f t="shared" si="22"/>
        <v>78125</v>
      </c>
      <c r="AZ28" s="49">
        <f t="shared" si="22"/>
        <v>0</v>
      </c>
      <c r="BA28" s="49"/>
    </row>
    <row r="29" spans="2:53" x14ac:dyDescent="0.3">
      <c r="B29" s="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</row>
    <row r="30" spans="2:53" x14ac:dyDescent="0.3">
      <c r="B30" s="8" t="s">
        <v>9</v>
      </c>
      <c r="D30" s="49">
        <f>(D26+D28)/2</f>
        <v>3710937.5</v>
      </c>
      <c r="E30" s="49">
        <f>(E26+E28)/2</f>
        <v>7343750</v>
      </c>
      <c r="F30" s="49">
        <f>(F26+F28)/2</f>
        <v>7187500</v>
      </c>
      <c r="G30" s="49">
        <f t="shared" ref="G30:AH30" si="23">(G26+G28)/2</f>
        <v>7031250</v>
      </c>
      <c r="H30" s="49">
        <f t="shared" si="23"/>
        <v>6875000</v>
      </c>
      <c r="I30" s="49">
        <f t="shared" si="23"/>
        <v>6718750</v>
      </c>
      <c r="J30" s="49">
        <f t="shared" si="23"/>
        <v>6562500</v>
      </c>
      <c r="K30" s="49">
        <f t="shared" si="23"/>
        <v>6406250</v>
      </c>
      <c r="L30" s="49">
        <f t="shared" si="23"/>
        <v>6250000</v>
      </c>
      <c r="M30" s="49">
        <f t="shared" si="23"/>
        <v>6093750</v>
      </c>
      <c r="N30" s="49">
        <f t="shared" si="23"/>
        <v>5937500</v>
      </c>
      <c r="O30" s="49">
        <f t="shared" si="23"/>
        <v>5781250</v>
      </c>
      <c r="P30" s="49">
        <f t="shared" si="23"/>
        <v>5625000</v>
      </c>
      <c r="Q30" s="49">
        <f t="shared" si="23"/>
        <v>5468750</v>
      </c>
      <c r="R30" s="49">
        <f t="shared" si="23"/>
        <v>5312500</v>
      </c>
      <c r="S30" s="49">
        <f t="shared" si="23"/>
        <v>5156250</v>
      </c>
      <c r="T30" s="49">
        <f t="shared" si="23"/>
        <v>5000000</v>
      </c>
      <c r="U30" s="49">
        <f t="shared" si="23"/>
        <v>4843750</v>
      </c>
      <c r="V30" s="49">
        <f t="shared" si="23"/>
        <v>4687500</v>
      </c>
      <c r="W30" s="49">
        <f t="shared" si="23"/>
        <v>4531250</v>
      </c>
      <c r="X30" s="49">
        <f t="shared" si="23"/>
        <v>4375000</v>
      </c>
      <c r="Y30" s="49">
        <f t="shared" si="23"/>
        <v>4218750</v>
      </c>
      <c r="Z30" s="49">
        <f t="shared" si="23"/>
        <v>4062500</v>
      </c>
      <c r="AA30" s="49">
        <f t="shared" si="23"/>
        <v>3906250</v>
      </c>
      <c r="AB30" s="49">
        <f t="shared" si="23"/>
        <v>3750000</v>
      </c>
      <c r="AC30" s="49">
        <f t="shared" si="23"/>
        <v>3593750</v>
      </c>
      <c r="AD30" s="49">
        <f t="shared" si="23"/>
        <v>3437500</v>
      </c>
      <c r="AE30" s="49">
        <f t="shared" si="23"/>
        <v>3281250</v>
      </c>
      <c r="AF30" s="49">
        <f t="shared" si="23"/>
        <v>3125000</v>
      </c>
      <c r="AG30" s="49">
        <f t="shared" si="23"/>
        <v>2968750</v>
      </c>
      <c r="AH30" s="49">
        <f t="shared" si="23"/>
        <v>2812500</v>
      </c>
      <c r="AI30" s="49">
        <f t="shared" ref="AI30:AZ30" si="24">(AI26+AI28)/2</f>
        <v>2656250</v>
      </c>
      <c r="AJ30" s="49">
        <f t="shared" si="24"/>
        <v>2500000</v>
      </c>
      <c r="AK30" s="49">
        <f t="shared" si="24"/>
        <v>2343750</v>
      </c>
      <c r="AL30" s="49">
        <f t="shared" si="24"/>
        <v>2187500</v>
      </c>
      <c r="AM30" s="49">
        <f t="shared" si="24"/>
        <v>2031250</v>
      </c>
      <c r="AN30" s="49">
        <f t="shared" si="24"/>
        <v>1875000</v>
      </c>
      <c r="AO30" s="49">
        <f t="shared" si="24"/>
        <v>1718750</v>
      </c>
      <c r="AP30" s="49">
        <f t="shared" si="24"/>
        <v>1562500</v>
      </c>
      <c r="AQ30" s="49">
        <f t="shared" si="24"/>
        <v>1406250</v>
      </c>
      <c r="AR30" s="49">
        <f t="shared" si="24"/>
        <v>1250000</v>
      </c>
      <c r="AS30" s="49">
        <f t="shared" si="24"/>
        <v>1093750</v>
      </c>
      <c r="AT30" s="49">
        <f t="shared" si="24"/>
        <v>937500</v>
      </c>
      <c r="AU30" s="49">
        <f t="shared" si="24"/>
        <v>781250</v>
      </c>
      <c r="AV30" s="49">
        <f t="shared" si="24"/>
        <v>625000</v>
      </c>
      <c r="AW30" s="49">
        <f t="shared" si="24"/>
        <v>468750</v>
      </c>
      <c r="AX30" s="49">
        <f t="shared" si="24"/>
        <v>312500</v>
      </c>
      <c r="AY30" s="49">
        <f t="shared" si="24"/>
        <v>156250</v>
      </c>
      <c r="AZ30" s="49">
        <f t="shared" si="24"/>
        <v>39062.5</v>
      </c>
      <c r="BA30" s="49"/>
    </row>
    <row r="31" spans="2:53" x14ac:dyDescent="0.3">
      <c r="B31" s="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</row>
    <row r="32" spans="2:53" x14ac:dyDescent="0.3">
      <c r="B32" s="8" t="s">
        <v>10</v>
      </c>
      <c r="D32" s="49">
        <f t="shared" ref="D32:AI32" si="25">D27</f>
        <v>78125</v>
      </c>
      <c r="E32" s="49">
        <f t="shared" si="25"/>
        <v>156250</v>
      </c>
      <c r="F32" s="49">
        <f t="shared" si="25"/>
        <v>156250</v>
      </c>
      <c r="G32" s="49">
        <f t="shared" si="25"/>
        <v>156250</v>
      </c>
      <c r="H32" s="49">
        <f t="shared" si="25"/>
        <v>156250</v>
      </c>
      <c r="I32" s="49">
        <f t="shared" si="25"/>
        <v>156250</v>
      </c>
      <c r="J32" s="49">
        <f t="shared" si="25"/>
        <v>156250</v>
      </c>
      <c r="K32" s="49">
        <f t="shared" si="25"/>
        <v>156250</v>
      </c>
      <c r="L32" s="49">
        <f t="shared" si="25"/>
        <v>156250</v>
      </c>
      <c r="M32" s="49">
        <f t="shared" si="25"/>
        <v>156250</v>
      </c>
      <c r="N32" s="49">
        <f t="shared" si="25"/>
        <v>156250</v>
      </c>
      <c r="O32" s="49">
        <f t="shared" si="25"/>
        <v>156250</v>
      </c>
      <c r="P32" s="49">
        <f t="shared" si="25"/>
        <v>156250</v>
      </c>
      <c r="Q32" s="49">
        <f t="shared" si="25"/>
        <v>156250</v>
      </c>
      <c r="R32" s="49">
        <f t="shared" si="25"/>
        <v>156250</v>
      </c>
      <c r="S32" s="49">
        <f t="shared" si="25"/>
        <v>156250</v>
      </c>
      <c r="T32" s="49">
        <f t="shared" si="25"/>
        <v>156250</v>
      </c>
      <c r="U32" s="49">
        <f t="shared" si="25"/>
        <v>156250</v>
      </c>
      <c r="V32" s="49">
        <f t="shared" si="25"/>
        <v>156250</v>
      </c>
      <c r="W32" s="49">
        <f t="shared" si="25"/>
        <v>156250</v>
      </c>
      <c r="X32" s="49">
        <f t="shared" si="25"/>
        <v>156250</v>
      </c>
      <c r="Y32" s="49">
        <f t="shared" si="25"/>
        <v>156250</v>
      </c>
      <c r="Z32" s="49">
        <f t="shared" si="25"/>
        <v>156250</v>
      </c>
      <c r="AA32" s="49">
        <f t="shared" si="25"/>
        <v>156250</v>
      </c>
      <c r="AB32" s="49">
        <f t="shared" si="25"/>
        <v>156250</v>
      </c>
      <c r="AC32" s="49">
        <f t="shared" si="25"/>
        <v>156250</v>
      </c>
      <c r="AD32" s="49">
        <f t="shared" si="25"/>
        <v>156250</v>
      </c>
      <c r="AE32" s="49">
        <f t="shared" si="25"/>
        <v>156250</v>
      </c>
      <c r="AF32" s="49">
        <f t="shared" si="25"/>
        <v>156250</v>
      </c>
      <c r="AG32" s="49">
        <f t="shared" si="25"/>
        <v>156250</v>
      </c>
      <c r="AH32" s="49">
        <f t="shared" si="25"/>
        <v>156250</v>
      </c>
      <c r="AI32" s="49">
        <f t="shared" si="25"/>
        <v>156250</v>
      </c>
      <c r="AJ32" s="49">
        <f t="shared" ref="AJ32:AZ32" si="26">AJ27</f>
        <v>156250</v>
      </c>
      <c r="AK32" s="49">
        <f t="shared" si="26"/>
        <v>156250</v>
      </c>
      <c r="AL32" s="49">
        <f t="shared" si="26"/>
        <v>156250</v>
      </c>
      <c r="AM32" s="49">
        <f t="shared" si="26"/>
        <v>156250</v>
      </c>
      <c r="AN32" s="49">
        <f t="shared" si="26"/>
        <v>156250</v>
      </c>
      <c r="AO32" s="49">
        <f t="shared" si="26"/>
        <v>156250</v>
      </c>
      <c r="AP32" s="49">
        <f t="shared" si="26"/>
        <v>156250</v>
      </c>
      <c r="AQ32" s="49">
        <f t="shared" si="26"/>
        <v>156250</v>
      </c>
      <c r="AR32" s="49">
        <f t="shared" si="26"/>
        <v>156250</v>
      </c>
      <c r="AS32" s="49">
        <f t="shared" si="26"/>
        <v>156250</v>
      </c>
      <c r="AT32" s="49">
        <f t="shared" si="26"/>
        <v>156250</v>
      </c>
      <c r="AU32" s="49">
        <f t="shared" si="26"/>
        <v>156250</v>
      </c>
      <c r="AV32" s="49">
        <f t="shared" si="26"/>
        <v>156250</v>
      </c>
      <c r="AW32" s="49">
        <f t="shared" si="26"/>
        <v>156250</v>
      </c>
      <c r="AX32" s="49">
        <f t="shared" si="26"/>
        <v>156250</v>
      </c>
      <c r="AY32" s="49">
        <f t="shared" si="26"/>
        <v>156250</v>
      </c>
      <c r="AZ32" s="49">
        <f t="shared" si="26"/>
        <v>78125</v>
      </c>
      <c r="BA32" s="49"/>
    </row>
    <row r="33" spans="2:53" x14ac:dyDescent="0.3">
      <c r="B33" s="8" t="s">
        <v>3</v>
      </c>
      <c r="D33" s="49">
        <f>(D30*$C9)*$C$8</f>
        <v>89953.125</v>
      </c>
      <c r="E33" s="49">
        <f t="shared" ref="E33:AZ33" si="27">(E30*$C9)*$C$8</f>
        <v>178012.5</v>
      </c>
      <c r="F33" s="49">
        <f t="shared" si="27"/>
        <v>174225</v>
      </c>
      <c r="G33" s="49">
        <f t="shared" si="27"/>
        <v>170437.5</v>
      </c>
      <c r="H33" s="49">
        <f t="shared" si="27"/>
        <v>166650</v>
      </c>
      <c r="I33" s="49">
        <f t="shared" si="27"/>
        <v>162862.5</v>
      </c>
      <c r="J33" s="49">
        <f t="shared" si="27"/>
        <v>159075</v>
      </c>
      <c r="K33" s="49">
        <f t="shared" si="27"/>
        <v>155287.5</v>
      </c>
      <c r="L33" s="49">
        <f t="shared" si="27"/>
        <v>151500</v>
      </c>
      <c r="M33" s="49">
        <f t="shared" si="27"/>
        <v>147712.5</v>
      </c>
      <c r="N33" s="49">
        <f t="shared" si="27"/>
        <v>143925</v>
      </c>
      <c r="O33" s="49">
        <f t="shared" si="27"/>
        <v>140137.5</v>
      </c>
      <c r="P33" s="49">
        <f t="shared" si="27"/>
        <v>136350</v>
      </c>
      <c r="Q33" s="49">
        <f t="shared" si="27"/>
        <v>132562.5</v>
      </c>
      <c r="R33" s="49">
        <f t="shared" si="27"/>
        <v>128775</v>
      </c>
      <c r="S33" s="49">
        <f t="shared" si="27"/>
        <v>124987.5</v>
      </c>
      <c r="T33" s="49">
        <f t="shared" si="27"/>
        <v>121200</v>
      </c>
      <c r="U33" s="49">
        <f t="shared" si="27"/>
        <v>117412.5</v>
      </c>
      <c r="V33" s="49">
        <f t="shared" si="27"/>
        <v>113625</v>
      </c>
      <c r="W33" s="49">
        <f t="shared" si="27"/>
        <v>109837.5</v>
      </c>
      <c r="X33" s="49">
        <f t="shared" si="27"/>
        <v>106050</v>
      </c>
      <c r="Y33" s="49">
        <f t="shared" si="27"/>
        <v>102262.5</v>
      </c>
      <c r="Z33" s="49">
        <f t="shared" si="27"/>
        <v>98475</v>
      </c>
      <c r="AA33" s="49">
        <f t="shared" si="27"/>
        <v>94687.5</v>
      </c>
      <c r="AB33" s="49">
        <f t="shared" si="27"/>
        <v>90900</v>
      </c>
      <c r="AC33" s="49">
        <f t="shared" si="27"/>
        <v>87112.5</v>
      </c>
      <c r="AD33" s="49">
        <f t="shared" si="27"/>
        <v>83325</v>
      </c>
      <c r="AE33" s="49">
        <f t="shared" si="27"/>
        <v>79537.5</v>
      </c>
      <c r="AF33" s="49">
        <f t="shared" si="27"/>
        <v>75750</v>
      </c>
      <c r="AG33" s="49">
        <f t="shared" si="27"/>
        <v>71962.5</v>
      </c>
      <c r="AH33" s="49">
        <f t="shared" si="27"/>
        <v>68175</v>
      </c>
      <c r="AI33" s="49">
        <f t="shared" si="27"/>
        <v>64387.5</v>
      </c>
      <c r="AJ33" s="49">
        <f t="shared" si="27"/>
        <v>60600</v>
      </c>
      <c r="AK33" s="49">
        <f t="shared" si="27"/>
        <v>56812.5</v>
      </c>
      <c r="AL33" s="49">
        <f t="shared" si="27"/>
        <v>53025</v>
      </c>
      <c r="AM33" s="49">
        <f t="shared" si="27"/>
        <v>49237.5</v>
      </c>
      <c r="AN33" s="49">
        <f t="shared" si="27"/>
        <v>45450</v>
      </c>
      <c r="AO33" s="49">
        <f t="shared" si="27"/>
        <v>41662.5</v>
      </c>
      <c r="AP33" s="49">
        <f t="shared" si="27"/>
        <v>37875</v>
      </c>
      <c r="AQ33" s="49">
        <f t="shared" si="27"/>
        <v>34087.5</v>
      </c>
      <c r="AR33" s="49">
        <f t="shared" si="27"/>
        <v>30300</v>
      </c>
      <c r="AS33" s="49">
        <f t="shared" si="27"/>
        <v>26512.5</v>
      </c>
      <c r="AT33" s="49">
        <f t="shared" si="27"/>
        <v>22725</v>
      </c>
      <c r="AU33" s="49">
        <f t="shared" si="27"/>
        <v>18937.5</v>
      </c>
      <c r="AV33" s="49">
        <f t="shared" si="27"/>
        <v>15150</v>
      </c>
      <c r="AW33" s="49">
        <f t="shared" si="27"/>
        <v>11362.5</v>
      </c>
      <c r="AX33" s="49">
        <f t="shared" si="27"/>
        <v>7575</v>
      </c>
      <c r="AY33" s="49">
        <f t="shared" si="27"/>
        <v>3787.5</v>
      </c>
      <c r="AZ33" s="49">
        <f t="shared" si="27"/>
        <v>946.875</v>
      </c>
      <c r="BA33" s="49"/>
    </row>
    <row r="34" spans="2:53" x14ac:dyDescent="0.3">
      <c r="B34" s="8" t="s">
        <v>6</v>
      </c>
      <c r="C34" s="19"/>
      <c r="D34" s="49">
        <f>(D30*$C7)*$C$6</f>
        <v>138937.5</v>
      </c>
      <c r="E34" s="49">
        <f t="shared" ref="E34:AZ34" si="28">(E30*$C7)*$C$6</f>
        <v>274950</v>
      </c>
      <c r="F34" s="49">
        <f t="shared" si="28"/>
        <v>269100</v>
      </c>
      <c r="G34" s="49">
        <f t="shared" si="28"/>
        <v>263250</v>
      </c>
      <c r="H34" s="49">
        <f t="shared" si="28"/>
        <v>257400</v>
      </c>
      <c r="I34" s="49">
        <f t="shared" si="28"/>
        <v>251550</v>
      </c>
      <c r="J34" s="49">
        <f t="shared" si="28"/>
        <v>245700</v>
      </c>
      <c r="K34" s="49">
        <f t="shared" si="28"/>
        <v>239850</v>
      </c>
      <c r="L34" s="49">
        <f t="shared" si="28"/>
        <v>234000</v>
      </c>
      <c r="M34" s="49">
        <f t="shared" si="28"/>
        <v>228150</v>
      </c>
      <c r="N34" s="49">
        <f t="shared" si="28"/>
        <v>222300</v>
      </c>
      <c r="O34" s="49">
        <f t="shared" si="28"/>
        <v>216450</v>
      </c>
      <c r="P34" s="49">
        <f t="shared" si="28"/>
        <v>210600</v>
      </c>
      <c r="Q34" s="49">
        <f t="shared" si="28"/>
        <v>204750</v>
      </c>
      <c r="R34" s="49">
        <f t="shared" si="28"/>
        <v>198900</v>
      </c>
      <c r="S34" s="49">
        <f t="shared" si="28"/>
        <v>193050</v>
      </c>
      <c r="T34" s="49">
        <f t="shared" si="28"/>
        <v>187200</v>
      </c>
      <c r="U34" s="49">
        <f t="shared" si="28"/>
        <v>181350</v>
      </c>
      <c r="V34" s="49">
        <f t="shared" si="28"/>
        <v>175500</v>
      </c>
      <c r="W34" s="49">
        <f t="shared" si="28"/>
        <v>169650</v>
      </c>
      <c r="X34" s="49">
        <f t="shared" si="28"/>
        <v>163800</v>
      </c>
      <c r="Y34" s="49">
        <f t="shared" si="28"/>
        <v>157950</v>
      </c>
      <c r="Z34" s="49">
        <f t="shared" si="28"/>
        <v>152100</v>
      </c>
      <c r="AA34" s="49">
        <f t="shared" si="28"/>
        <v>146250</v>
      </c>
      <c r="AB34" s="49">
        <f t="shared" si="28"/>
        <v>140400</v>
      </c>
      <c r="AC34" s="49">
        <f t="shared" si="28"/>
        <v>134550</v>
      </c>
      <c r="AD34" s="49">
        <f t="shared" si="28"/>
        <v>128700</v>
      </c>
      <c r="AE34" s="49">
        <f t="shared" si="28"/>
        <v>122850</v>
      </c>
      <c r="AF34" s="49">
        <f t="shared" si="28"/>
        <v>117000</v>
      </c>
      <c r="AG34" s="49">
        <f t="shared" si="28"/>
        <v>111150</v>
      </c>
      <c r="AH34" s="49">
        <f t="shared" si="28"/>
        <v>105300</v>
      </c>
      <c r="AI34" s="49">
        <f t="shared" si="28"/>
        <v>99450</v>
      </c>
      <c r="AJ34" s="49">
        <f t="shared" si="28"/>
        <v>93600</v>
      </c>
      <c r="AK34" s="49">
        <f t="shared" si="28"/>
        <v>87750</v>
      </c>
      <c r="AL34" s="49">
        <f t="shared" si="28"/>
        <v>81900</v>
      </c>
      <c r="AM34" s="49">
        <f t="shared" si="28"/>
        <v>76050</v>
      </c>
      <c r="AN34" s="49">
        <f t="shared" si="28"/>
        <v>70200</v>
      </c>
      <c r="AO34" s="49">
        <f t="shared" si="28"/>
        <v>64350</v>
      </c>
      <c r="AP34" s="49">
        <f t="shared" si="28"/>
        <v>58500</v>
      </c>
      <c r="AQ34" s="49">
        <f t="shared" si="28"/>
        <v>52650</v>
      </c>
      <c r="AR34" s="49">
        <f t="shared" si="28"/>
        <v>46800</v>
      </c>
      <c r="AS34" s="49">
        <f t="shared" si="28"/>
        <v>40950</v>
      </c>
      <c r="AT34" s="49">
        <f t="shared" si="28"/>
        <v>35100</v>
      </c>
      <c r="AU34" s="49">
        <f t="shared" si="28"/>
        <v>29250</v>
      </c>
      <c r="AV34" s="49">
        <f t="shared" si="28"/>
        <v>23400</v>
      </c>
      <c r="AW34" s="49">
        <f t="shared" si="28"/>
        <v>17550</v>
      </c>
      <c r="AX34" s="49">
        <f t="shared" si="28"/>
        <v>11700</v>
      </c>
      <c r="AY34" s="49">
        <f t="shared" si="28"/>
        <v>5850</v>
      </c>
      <c r="AZ34" s="49">
        <f t="shared" si="28"/>
        <v>1462.5</v>
      </c>
      <c r="BA34" s="49"/>
    </row>
    <row r="35" spans="2:53" x14ac:dyDescent="0.3">
      <c r="B35" s="8"/>
      <c r="C35" s="1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</row>
    <row r="36" spans="2:53" x14ac:dyDescent="0.3">
      <c r="B36" s="8" t="s">
        <v>11</v>
      </c>
      <c r="C36" s="19"/>
      <c r="D36" s="58">
        <f>D26</f>
        <v>3750000</v>
      </c>
      <c r="E36" s="55">
        <f>D38+D23/2</f>
        <v>6900000</v>
      </c>
      <c r="F36" s="49">
        <f>E38</f>
        <v>6348000</v>
      </c>
      <c r="G36" s="49">
        <f t="shared" ref="G36:O36" si="29">F38</f>
        <v>5840160</v>
      </c>
      <c r="H36" s="49">
        <f t="shared" si="29"/>
        <v>5372947.2000000002</v>
      </c>
      <c r="I36" s="49">
        <f t="shared" si="29"/>
        <v>4943111.4240000006</v>
      </c>
      <c r="J36" s="49">
        <f t="shared" si="29"/>
        <v>4547662.5100800004</v>
      </c>
      <c r="K36" s="49">
        <f t="shared" si="29"/>
        <v>4183849.5092736003</v>
      </c>
      <c r="L36" s="49">
        <f t="shared" si="29"/>
        <v>3849141.548531712</v>
      </c>
      <c r="M36" s="49">
        <f t="shared" si="29"/>
        <v>3541210.2246491751</v>
      </c>
      <c r="N36" s="49">
        <f t="shared" si="29"/>
        <v>3257913.406677241</v>
      </c>
      <c r="O36" s="49">
        <f t="shared" si="29"/>
        <v>2997280.3341430617</v>
      </c>
      <c r="P36" s="49">
        <f>O38</f>
        <v>2757497.9074116168</v>
      </c>
      <c r="Q36" s="49">
        <f t="shared" ref="Q36:AH36" si="30">P38</f>
        <v>2536898.0748186875</v>
      </c>
      <c r="R36" s="49">
        <f t="shared" si="30"/>
        <v>2333946.2288331925</v>
      </c>
      <c r="S36" s="49">
        <f t="shared" si="30"/>
        <v>2147230.530526537</v>
      </c>
      <c r="T36" s="49">
        <f t="shared" si="30"/>
        <v>1975452.0880844141</v>
      </c>
      <c r="U36" s="49">
        <f t="shared" si="30"/>
        <v>1817415.9210376609</v>
      </c>
      <c r="V36" s="49">
        <f t="shared" si="30"/>
        <v>1672022.647354648</v>
      </c>
      <c r="W36" s="49">
        <f t="shared" si="30"/>
        <v>1538260.8355662762</v>
      </c>
      <c r="X36" s="49">
        <f t="shared" si="30"/>
        <v>1415199.9687209742</v>
      </c>
      <c r="Y36" s="49">
        <f t="shared" si="30"/>
        <v>1301983.9712232961</v>
      </c>
      <c r="Z36" s="49">
        <f t="shared" si="30"/>
        <v>1197825.2535254324</v>
      </c>
      <c r="AA36" s="49">
        <f t="shared" si="30"/>
        <v>1101999.2332433979</v>
      </c>
      <c r="AB36" s="49">
        <f t="shared" si="30"/>
        <v>1013839.2945839261</v>
      </c>
      <c r="AC36" s="49">
        <f t="shared" si="30"/>
        <v>932732.15101721196</v>
      </c>
      <c r="AD36" s="49">
        <f t="shared" si="30"/>
        <v>858113.57893583504</v>
      </c>
      <c r="AE36" s="49">
        <f t="shared" si="30"/>
        <v>789464.49262096826</v>
      </c>
      <c r="AF36" s="49">
        <f t="shared" si="30"/>
        <v>726307.33321129077</v>
      </c>
      <c r="AG36" s="49">
        <f t="shared" si="30"/>
        <v>668202.7465543875</v>
      </c>
      <c r="AH36" s="49">
        <f t="shared" si="30"/>
        <v>614746.52683003654</v>
      </c>
      <c r="AI36" s="49">
        <f t="shared" ref="AI36" si="31">AH38</f>
        <v>565566.80468363361</v>
      </c>
      <c r="AJ36" s="49">
        <f t="shared" ref="AJ36" si="32">AI38</f>
        <v>520321.46030894294</v>
      </c>
      <c r="AK36" s="49">
        <f t="shared" ref="AK36" si="33">AJ38</f>
        <v>478695.74348422751</v>
      </c>
      <c r="AL36" s="49">
        <f t="shared" ref="AL36" si="34">AK38</f>
        <v>440400.08400548931</v>
      </c>
      <c r="AM36" s="49">
        <f t="shared" ref="AM36" si="35">AL38</f>
        <v>405168.07728505018</v>
      </c>
      <c r="AN36" s="49">
        <f t="shared" ref="AN36" si="36">AM38</f>
        <v>372754.63110224617</v>
      </c>
      <c r="AO36" s="49">
        <f t="shared" ref="AO36" si="37">AN38</f>
        <v>342934.2606140665</v>
      </c>
      <c r="AP36" s="49">
        <f t="shared" ref="AP36" si="38">AO38</f>
        <v>315499.51976494119</v>
      </c>
      <c r="AQ36" s="49">
        <f t="shared" ref="AQ36" si="39">AP38</f>
        <v>290259.55818374589</v>
      </c>
      <c r="AR36" s="49">
        <f t="shared" ref="AR36" si="40">AQ38</f>
        <v>267038.79352904623</v>
      </c>
      <c r="AS36" s="49">
        <f t="shared" ref="AS36" si="41">AR38</f>
        <v>245675.69004672254</v>
      </c>
      <c r="AT36" s="49">
        <f t="shared" ref="AT36" si="42">AS38</f>
        <v>226021.63484298473</v>
      </c>
      <c r="AU36" s="49">
        <f t="shared" ref="AU36" si="43">AT38</f>
        <v>207939.90405554595</v>
      </c>
      <c r="AV36" s="49">
        <f t="shared" ref="AV36" si="44">AU38</f>
        <v>191304.71173110226</v>
      </c>
      <c r="AW36" s="49">
        <f t="shared" ref="AW36" si="45">AV38</f>
        <v>176000.33479261407</v>
      </c>
      <c r="AX36" s="49">
        <f t="shared" ref="AX36" si="46">AW38</f>
        <v>161920.30800920495</v>
      </c>
      <c r="AY36" s="49">
        <f t="shared" ref="AY36" si="47">AX38</f>
        <v>148966.68336846854</v>
      </c>
      <c r="AZ36" s="49">
        <f t="shared" ref="AZ36" si="48">AY38</f>
        <v>137049.34869899106</v>
      </c>
      <c r="BA36" s="49"/>
    </row>
    <row r="37" spans="2:53" x14ac:dyDescent="0.3">
      <c r="B37" s="8" t="s">
        <v>17</v>
      </c>
      <c r="C37" s="114"/>
      <c r="D37" s="55">
        <f>(D26*C12)*2</f>
        <v>600000</v>
      </c>
      <c r="E37" s="49">
        <f>E36*$C$12</f>
        <v>552000</v>
      </c>
      <c r="F37" s="49">
        <f t="shared" ref="F37:AZ37" si="49">F36*$C$12</f>
        <v>507840</v>
      </c>
      <c r="G37" s="49">
        <f t="shared" si="49"/>
        <v>467212.79999999999</v>
      </c>
      <c r="H37" s="49">
        <f t="shared" si="49"/>
        <v>429835.77600000001</v>
      </c>
      <c r="I37" s="49">
        <f t="shared" si="49"/>
        <v>395448.91392000008</v>
      </c>
      <c r="J37" s="49">
        <f t="shared" si="49"/>
        <v>363813.00080640003</v>
      </c>
      <c r="K37" s="49">
        <f t="shared" si="49"/>
        <v>334707.96074188803</v>
      </c>
      <c r="L37" s="49">
        <f t="shared" si="49"/>
        <v>307931.32388253696</v>
      </c>
      <c r="M37" s="49">
        <f t="shared" si="49"/>
        <v>283296.81797193404</v>
      </c>
      <c r="N37" s="49">
        <f t="shared" si="49"/>
        <v>260633.07253417929</v>
      </c>
      <c r="O37" s="49">
        <f t="shared" si="49"/>
        <v>239782.42673144492</v>
      </c>
      <c r="P37" s="50">
        <f t="shared" si="49"/>
        <v>220599.83259292934</v>
      </c>
      <c r="Q37" s="49">
        <f t="shared" si="49"/>
        <v>202951.84598549502</v>
      </c>
      <c r="R37" s="49">
        <f t="shared" si="49"/>
        <v>186715.69830665539</v>
      </c>
      <c r="S37" s="49">
        <f t="shared" si="49"/>
        <v>171778.44244212296</v>
      </c>
      <c r="T37" s="49">
        <f t="shared" si="49"/>
        <v>158036.16704675314</v>
      </c>
      <c r="U37" s="49">
        <f t="shared" si="49"/>
        <v>145393.27368301287</v>
      </c>
      <c r="V37" s="49">
        <f t="shared" si="49"/>
        <v>133761.81178837185</v>
      </c>
      <c r="W37" s="49">
        <f t="shared" si="49"/>
        <v>123060.86684530209</v>
      </c>
      <c r="X37" s="49">
        <f t="shared" si="49"/>
        <v>113215.99749767793</v>
      </c>
      <c r="Y37" s="49">
        <f t="shared" si="49"/>
        <v>104158.7176978637</v>
      </c>
      <c r="Z37" s="49">
        <f t="shared" si="49"/>
        <v>95826.020282034602</v>
      </c>
      <c r="AA37" s="49">
        <f t="shared" si="49"/>
        <v>88159.938659471838</v>
      </c>
      <c r="AB37" s="49">
        <f t="shared" si="49"/>
        <v>81107.14356671409</v>
      </c>
      <c r="AC37" s="49">
        <f t="shared" si="49"/>
        <v>74618.572081376959</v>
      </c>
      <c r="AD37" s="49">
        <f t="shared" si="49"/>
        <v>68649.0863148668</v>
      </c>
      <c r="AE37" s="49">
        <f t="shared" si="49"/>
        <v>63157.159409677464</v>
      </c>
      <c r="AF37" s="49">
        <f t="shared" si="49"/>
        <v>58104.586656903266</v>
      </c>
      <c r="AG37" s="49">
        <f t="shared" si="49"/>
        <v>53456.219724351002</v>
      </c>
      <c r="AH37" s="49">
        <f t="shared" si="49"/>
        <v>49179.722146402928</v>
      </c>
      <c r="AI37" s="49">
        <f t="shared" si="49"/>
        <v>45245.344374690692</v>
      </c>
      <c r="AJ37" s="49">
        <f t="shared" si="49"/>
        <v>41625.716824715433</v>
      </c>
      <c r="AK37" s="49">
        <f t="shared" si="49"/>
        <v>38295.659478738198</v>
      </c>
      <c r="AL37" s="49">
        <f t="shared" si="49"/>
        <v>35232.006720439145</v>
      </c>
      <c r="AM37" s="49">
        <f t="shared" si="49"/>
        <v>32413.446182804015</v>
      </c>
      <c r="AN37" s="49">
        <f t="shared" si="49"/>
        <v>29820.370488179695</v>
      </c>
      <c r="AO37" s="49">
        <f t="shared" si="49"/>
        <v>27434.740849125319</v>
      </c>
      <c r="AP37" s="49">
        <f t="shared" si="49"/>
        <v>25239.961581195297</v>
      </c>
      <c r="AQ37" s="49">
        <f t="shared" si="49"/>
        <v>23220.764654699673</v>
      </c>
      <c r="AR37" s="49">
        <f t="shared" si="49"/>
        <v>21363.103482323699</v>
      </c>
      <c r="AS37" s="49">
        <f t="shared" si="49"/>
        <v>19654.055203737804</v>
      </c>
      <c r="AT37" s="49">
        <f t="shared" si="49"/>
        <v>18081.730787438777</v>
      </c>
      <c r="AU37" s="49">
        <f t="shared" si="49"/>
        <v>16635.192324443677</v>
      </c>
      <c r="AV37" s="49">
        <f t="shared" si="49"/>
        <v>15304.376938488182</v>
      </c>
      <c r="AW37" s="49">
        <f t="shared" si="49"/>
        <v>14080.026783409126</v>
      </c>
      <c r="AX37" s="49">
        <f t="shared" si="49"/>
        <v>12953.624640736396</v>
      </c>
      <c r="AY37" s="49">
        <f t="shared" si="49"/>
        <v>11917.334669477483</v>
      </c>
      <c r="AZ37" s="49">
        <f t="shared" si="49"/>
        <v>10963.947895919286</v>
      </c>
      <c r="BA37" s="49"/>
    </row>
    <row r="38" spans="2:53" x14ac:dyDescent="0.3">
      <c r="B38" s="8" t="s">
        <v>12</v>
      </c>
      <c r="C38" s="19"/>
      <c r="D38" s="49">
        <f>IF((D36-D37)&gt;0,D36-D37,0)</f>
        <v>3150000</v>
      </c>
      <c r="E38" s="49">
        <f t="shared" ref="E38:AZ38" si="50">IF((E36-E37)&gt;0,E36-E37,0)</f>
        <v>6348000</v>
      </c>
      <c r="F38" s="49">
        <f t="shared" si="50"/>
        <v>5840160</v>
      </c>
      <c r="G38" s="49">
        <f t="shared" si="50"/>
        <v>5372947.2000000002</v>
      </c>
      <c r="H38" s="49">
        <f t="shared" si="50"/>
        <v>4943111.4240000006</v>
      </c>
      <c r="I38" s="49">
        <f t="shared" si="50"/>
        <v>4547662.5100800004</v>
      </c>
      <c r="J38" s="49">
        <f t="shared" si="50"/>
        <v>4183849.5092736003</v>
      </c>
      <c r="K38" s="49">
        <f t="shared" si="50"/>
        <v>3849141.548531712</v>
      </c>
      <c r="L38" s="49">
        <f t="shared" si="50"/>
        <v>3541210.2246491751</v>
      </c>
      <c r="M38" s="49">
        <f t="shared" si="50"/>
        <v>3257913.406677241</v>
      </c>
      <c r="N38" s="49">
        <f t="shared" si="50"/>
        <v>2997280.3341430617</v>
      </c>
      <c r="O38" s="49">
        <f t="shared" si="50"/>
        <v>2757497.9074116168</v>
      </c>
      <c r="P38" s="49">
        <f t="shared" si="50"/>
        <v>2536898.0748186875</v>
      </c>
      <c r="Q38" s="49">
        <f t="shared" si="50"/>
        <v>2333946.2288331925</v>
      </c>
      <c r="R38" s="49">
        <f t="shared" si="50"/>
        <v>2147230.530526537</v>
      </c>
      <c r="S38" s="49">
        <f t="shared" si="50"/>
        <v>1975452.0880844141</v>
      </c>
      <c r="T38" s="49">
        <f t="shared" si="50"/>
        <v>1817415.9210376609</v>
      </c>
      <c r="U38" s="49">
        <f t="shared" si="50"/>
        <v>1672022.647354648</v>
      </c>
      <c r="V38" s="49">
        <f t="shared" si="50"/>
        <v>1538260.8355662762</v>
      </c>
      <c r="W38" s="49">
        <f t="shared" si="50"/>
        <v>1415199.9687209742</v>
      </c>
      <c r="X38" s="49">
        <f t="shared" si="50"/>
        <v>1301983.9712232961</v>
      </c>
      <c r="Y38" s="49">
        <f t="shared" si="50"/>
        <v>1197825.2535254324</v>
      </c>
      <c r="Z38" s="49">
        <f t="shared" si="50"/>
        <v>1101999.2332433979</v>
      </c>
      <c r="AA38" s="49">
        <f t="shared" si="50"/>
        <v>1013839.2945839261</v>
      </c>
      <c r="AB38" s="49">
        <f t="shared" si="50"/>
        <v>932732.15101721196</v>
      </c>
      <c r="AC38" s="49">
        <f t="shared" si="50"/>
        <v>858113.57893583504</v>
      </c>
      <c r="AD38" s="49">
        <f t="shared" si="50"/>
        <v>789464.49262096826</v>
      </c>
      <c r="AE38" s="49">
        <f t="shared" si="50"/>
        <v>726307.33321129077</v>
      </c>
      <c r="AF38" s="49">
        <f t="shared" si="50"/>
        <v>668202.7465543875</v>
      </c>
      <c r="AG38" s="49">
        <f t="shared" si="50"/>
        <v>614746.52683003654</v>
      </c>
      <c r="AH38" s="49">
        <f t="shared" si="50"/>
        <v>565566.80468363361</v>
      </c>
      <c r="AI38" s="49">
        <f t="shared" si="50"/>
        <v>520321.46030894294</v>
      </c>
      <c r="AJ38" s="49">
        <f t="shared" si="50"/>
        <v>478695.74348422751</v>
      </c>
      <c r="AK38" s="49">
        <f t="shared" si="50"/>
        <v>440400.08400548931</v>
      </c>
      <c r="AL38" s="49">
        <f t="shared" si="50"/>
        <v>405168.07728505018</v>
      </c>
      <c r="AM38" s="49">
        <f t="shared" si="50"/>
        <v>372754.63110224617</v>
      </c>
      <c r="AN38" s="49">
        <f t="shared" si="50"/>
        <v>342934.2606140665</v>
      </c>
      <c r="AO38" s="49">
        <f t="shared" si="50"/>
        <v>315499.51976494119</v>
      </c>
      <c r="AP38" s="49">
        <f t="shared" si="50"/>
        <v>290259.55818374589</v>
      </c>
      <c r="AQ38" s="49">
        <f t="shared" si="50"/>
        <v>267038.79352904623</v>
      </c>
      <c r="AR38" s="49">
        <f t="shared" si="50"/>
        <v>245675.69004672254</v>
      </c>
      <c r="AS38" s="49">
        <f t="shared" si="50"/>
        <v>226021.63484298473</v>
      </c>
      <c r="AT38" s="49">
        <f t="shared" si="50"/>
        <v>207939.90405554595</v>
      </c>
      <c r="AU38" s="49">
        <f t="shared" si="50"/>
        <v>191304.71173110226</v>
      </c>
      <c r="AV38" s="49">
        <f t="shared" si="50"/>
        <v>176000.33479261407</v>
      </c>
      <c r="AW38" s="49">
        <f t="shared" si="50"/>
        <v>161920.30800920495</v>
      </c>
      <c r="AX38" s="49">
        <f t="shared" si="50"/>
        <v>148966.68336846854</v>
      </c>
      <c r="AY38" s="49">
        <f t="shared" si="50"/>
        <v>137049.34869899106</v>
      </c>
      <c r="AZ38" s="49">
        <f t="shared" si="50"/>
        <v>126085.40080307177</v>
      </c>
      <c r="BA38" s="49"/>
    </row>
    <row r="39" spans="2:53" x14ac:dyDescent="0.3">
      <c r="B39" s="8"/>
      <c r="C39" s="1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</row>
    <row r="40" spans="2:53" x14ac:dyDescent="0.3">
      <c r="B40" s="8" t="s">
        <v>13</v>
      </c>
      <c r="C40" s="19"/>
      <c r="D40" s="49">
        <f>D34+D32-D37</f>
        <v>-382937.5</v>
      </c>
      <c r="E40" s="49">
        <f t="shared" ref="E40:AZ40" si="51">E34+E32-E37</f>
        <v>-120800</v>
      </c>
      <c r="F40" s="49">
        <f t="shared" si="51"/>
        <v>-82490</v>
      </c>
      <c r="G40" s="49">
        <f t="shared" si="51"/>
        <v>-47712.799999999988</v>
      </c>
      <c r="H40" s="49">
        <f t="shared" si="51"/>
        <v>-16185.776000000013</v>
      </c>
      <c r="I40" s="49">
        <f t="shared" si="51"/>
        <v>12351.086079999921</v>
      </c>
      <c r="J40" s="49">
        <f t="shared" si="51"/>
        <v>38136.999193599971</v>
      </c>
      <c r="K40" s="49">
        <f t="shared" si="51"/>
        <v>61392.039258111967</v>
      </c>
      <c r="L40" s="49">
        <f t="shared" si="51"/>
        <v>82318.676117463037</v>
      </c>
      <c r="M40" s="49">
        <f t="shared" si="51"/>
        <v>101103.18202806596</v>
      </c>
      <c r="N40" s="49">
        <f t="shared" si="51"/>
        <v>117916.92746582071</v>
      </c>
      <c r="O40" s="49">
        <f t="shared" si="51"/>
        <v>132917.57326855508</v>
      </c>
      <c r="P40" s="49">
        <f t="shared" si="51"/>
        <v>146250.16740707066</v>
      </c>
      <c r="Q40" s="49">
        <f t="shared" si="51"/>
        <v>158048.15401450498</v>
      </c>
      <c r="R40" s="49">
        <f t="shared" si="51"/>
        <v>168434.30169334461</v>
      </c>
      <c r="S40" s="49">
        <f t="shared" si="51"/>
        <v>177521.55755787704</v>
      </c>
      <c r="T40" s="49">
        <f t="shared" si="51"/>
        <v>185413.83295324686</v>
      </c>
      <c r="U40" s="49">
        <f t="shared" si="51"/>
        <v>192206.72631698713</v>
      </c>
      <c r="V40" s="49">
        <f t="shared" si="51"/>
        <v>197988.18821162815</v>
      </c>
      <c r="W40" s="49">
        <f t="shared" si="51"/>
        <v>202839.13315469789</v>
      </c>
      <c r="X40" s="49">
        <f t="shared" si="51"/>
        <v>206834.00250232208</v>
      </c>
      <c r="Y40" s="49">
        <f t="shared" si="51"/>
        <v>210041.2823021363</v>
      </c>
      <c r="Z40" s="49">
        <f t="shared" si="51"/>
        <v>212523.97971796541</v>
      </c>
      <c r="AA40" s="49">
        <f t="shared" si="51"/>
        <v>214340.06134052816</v>
      </c>
      <c r="AB40" s="49">
        <f t="shared" si="51"/>
        <v>215542.85643328592</v>
      </c>
      <c r="AC40" s="49">
        <f t="shared" si="51"/>
        <v>216181.42791862303</v>
      </c>
      <c r="AD40" s="49">
        <f t="shared" si="51"/>
        <v>216300.91368513322</v>
      </c>
      <c r="AE40" s="49">
        <f t="shared" si="51"/>
        <v>215942.84059032254</v>
      </c>
      <c r="AF40" s="49">
        <f t="shared" si="51"/>
        <v>215145.41334309673</v>
      </c>
      <c r="AG40" s="49">
        <f t="shared" si="51"/>
        <v>213943.78027564898</v>
      </c>
      <c r="AH40" s="49">
        <f t="shared" si="51"/>
        <v>212370.27785359707</v>
      </c>
      <c r="AI40" s="49">
        <f t="shared" si="51"/>
        <v>210454.6556253093</v>
      </c>
      <c r="AJ40" s="49">
        <f t="shared" si="51"/>
        <v>208224.28317528457</v>
      </c>
      <c r="AK40" s="49">
        <f t="shared" si="51"/>
        <v>205704.34052126179</v>
      </c>
      <c r="AL40" s="49">
        <f t="shared" si="51"/>
        <v>202917.99327956085</v>
      </c>
      <c r="AM40" s="49">
        <f t="shared" si="51"/>
        <v>199886.55381719599</v>
      </c>
      <c r="AN40" s="49">
        <f t="shared" si="51"/>
        <v>196629.6295118203</v>
      </c>
      <c r="AO40" s="49">
        <f t="shared" si="51"/>
        <v>193165.25915087468</v>
      </c>
      <c r="AP40" s="49">
        <f t="shared" si="51"/>
        <v>189510.0384188047</v>
      </c>
      <c r="AQ40" s="49">
        <f t="shared" si="51"/>
        <v>185679.23534530032</v>
      </c>
      <c r="AR40" s="49">
        <f t="shared" si="51"/>
        <v>181686.8965176763</v>
      </c>
      <c r="AS40" s="49">
        <f t="shared" si="51"/>
        <v>177545.94479626219</v>
      </c>
      <c r="AT40" s="49">
        <f t="shared" si="51"/>
        <v>173268.26921256122</v>
      </c>
      <c r="AU40" s="49">
        <f t="shared" si="51"/>
        <v>168864.80767555634</v>
      </c>
      <c r="AV40" s="49">
        <f t="shared" si="51"/>
        <v>164345.62306151181</v>
      </c>
      <c r="AW40" s="49">
        <f t="shared" si="51"/>
        <v>159719.97321659088</v>
      </c>
      <c r="AX40" s="49">
        <f t="shared" si="51"/>
        <v>154996.37535926359</v>
      </c>
      <c r="AY40" s="49">
        <f t="shared" si="51"/>
        <v>150182.66533052252</v>
      </c>
      <c r="AZ40" s="49">
        <f t="shared" si="51"/>
        <v>68623.552104080707</v>
      </c>
      <c r="BA40" s="49"/>
    </row>
    <row r="41" spans="2:53" x14ac:dyDescent="0.3">
      <c r="B41" s="8" t="s">
        <v>2</v>
      </c>
      <c r="C41" s="113"/>
      <c r="D41" s="49">
        <f>(D40*$C$13)/(1-$C$13)</f>
        <v>-138065.90136054423</v>
      </c>
      <c r="E41" s="49">
        <f>(E40*$C$13)/(1-$C$13)</f>
        <v>-43553.741496598639</v>
      </c>
      <c r="F41" s="49">
        <f t="shared" ref="F41:H41" si="52">(F40*$C$13)/(1-$C$13)</f>
        <v>-29741.292517006805</v>
      </c>
      <c r="G41" s="49">
        <f t="shared" si="52"/>
        <v>-17202.57414965986</v>
      </c>
      <c r="H41" s="49">
        <f t="shared" si="52"/>
        <v>-5835.6879455782364</v>
      </c>
      <c r="I41" s="49">
        <f t="shared" ref="I41" si="53">(I40*$C$13)/(1-$C$13)</f>
        <v>4453.1126682992917</v>
      </c>
      <c r="J41" s="49">
        <f t="shared" ref="J41" si="54">(J40*$C$13)/(1-$C$13)</f>
        <v>13750.074539189107</v>
      </c>
      <c r="K41" s="49">
        <f t="shared" ref="K41" si="55">(K40*$C$13)/(1-$C$13)</f>
        <v>22134.544766530165</v>
      </c>
      <c r="L41" s="49">
        <f t="shared" ref="L41" si="56">(L40*$C$13)/(1-$C$13)</f>
        <v>29679.522681806407</v>
      </c>
      <c r="M41" s="49">
        <f t="shared" ref="M41" si="57">(M40*$C$13)/(1-$C$13)</f>
        <v>36452.167669982962</v>
      </c>
      <c r="N41" s="49">
        <f t="shared" ref="N41" si="58">(N40*$C$13)/(1-$C$13)</f>
        <v>42514.266365227879</v>
      </c>
      <c r="O41" s="49">
        <f t="shared" ref="O41" si="59">(O40*$C$13)/(1-$C$13)</f>
        <v>47922.662470975643</v>
      </c>
      <c r="P41" s="49">
        <f t="shared" ref="P41" si="60">(P40*$C$13)/(1-$C$13)</f>
        <v>52729.652194386021</v>
      </c>
      <c r="Q41" s="49">
        <f t="shared" ref="Q41" si="61">(Q40*$C$13)/(1-$C$13)</f>
        <v>56983.34804604602</v>
      </c>
      <c r="R41" s="49">
        <f t="shared" ref="R41" si="62">(R40*$C$13)/(1-$C$13)</f>
        <v>60728.013535695674</v>
      </c>
      <c r="S41" s="49">
        <f t="shared" ref="S41" si="63">(S40*$C$13)/(1-$C$13)</f>
        <v>64004.371092295805</v>
      </c>
      <c r="T41" s="49">
        <f t="shared" ref="T41" si="64">(T40*$C$13)/(1-$C$13)</f>
        <v>66849.885350490367</v>
      </c>
      <c r="U41" s="49">
        <f t="shared" ref="U41" si="65">(U40*$C$13)/(1-$C$13)</f>
        <v>69299.023774151836</v>
      </c>
      <c r="V41" s="49">
        <f t="shared" ref="V41" si="66">(V40*$C$13)/(1-$C$13)</f>
        <v>71383.496430042796</v>
      </c>
      <c r="W41" s="49">
        <f t="shared" ref="W41" si="67">(W40*$C$13)/(1-$C$13)</f>
        <v>73132.476579584953</v>
      </c>
      <c r="X41" s="49">
        <f t="shared" ref="X41" si="68">(X40*$C$13)/(1-$C$13)</f>
        <v>74572.803623286192</v>
      </c>
      <c r="Y41" s="49">
        <f t="shared" ref="Y41" si="69">(Y40*$C$13)/(1-$C$13)</f>
        <v>75729.16980961377</v>
      </c>
      <c r="Z41" s="49">
        <f t="shared" ref="Z41" si="70">(Z40*$C$13)/(1-$C$13)</f>
        <v>76624.292007157608</v>
      </c>
      <c r="AA41" s="49">
        <f t="shared" ref="AA41" si="71">(AA40*$C$13)/(1-$C$13)</f>
        <v>77279.06973502037</v>
      </c>
      <c r="AB41" s="49">
        <f t="shared" ref="AB41" si="72">(AB40*$C$13)/(1-$C$13)</f>
        <v>77712.73055077657</v>
      </c>
      <c r="AC41" s="49">
        <f t="shared" ref="AC41" si="73">(AC40*$C$13)/(1-$C$13)</f>
        <v>77942.963807394699</v>
      </c>
      <c r="AD41" s="49">
        <f t="shared" ref="AD41" si="74">(AD40*$C$13)/(1-$C$13)</f>
        <v>77986.043709605859</v>
      </c>
      <c r="AE41" s="49">
        <f t="shared" ref="AE41" si="75">(AE40*$C$13)/(1-$C$13)</f>
        <v>77856.942525762555</v>
      </c>
      <c r="AF41" s="49">
        <f t="shared" ref="AF41" si="76">(AF40*$C$13)/(1-$C$13)</f>
        <v>77569.434742749174</v>
      </c>
      <c r="AG41" s="49">
        <f t="shared" ref="AG41" si="77">(AG40*$C$13)/(1-$C$13)</f>
        <v>77136.192888499296</v>
      </c>
      <c r="AH41" s="49">
        <f t="shared" ref="AH41" si="78">(AH40*$C$13)/(1-$C$13)</f>
        <v>76568.87568871188</v>
      </c>
      <c r="AI41" s="49">
        <f t="shared" ref="AI41" si="79">(AI40*$C$13)/(1-$C$13)</f>
        <v>75878.209171029885</v>
      </c>
      <c r="AJ41" s="49">
        <f t="shared" ref="AJ41" si="80">(AJ40*$C$13)/(1-$C$13)</f>
        <v>75074.061280884926</v>
      </c>
      <c r="AK41" s="49">
        <f t="shared" ref="AK41" si="81">(AK40*$C$13)/(1-$C$13)</f>
        <v>74165.510528073995</v>
      </c>
      <c r="AL41" s="49">
        <f t="shared" ref="AL41" si="82">(AL40*$C$13)/(1-$C$13)</f>
        <v>73160.909141610377</v>
      </c>
      <c r="AM41" s="49">
        <f t="shared" ref="AM41" si="83">(AM40*$C$13)/(1-$C$13)</f>
        <v>72067.941172186314</v>
      </c>
      <c r="AN41" s="49">
        <f t="shared" ref="AN41" si="84">(AN40*$C$13)/(1-$C$13)</f>
        <v>70893.675946438612</v>
      </c>
      <c r="AO41" s="49">
        <f t="shared" ref="AO41" si="85">(AO40*$C$13)/(1-$C$13)</f>
        <v>69644.617244873196</v>
      </c>
      <c r="AP41" s="49">
        <f t="shared" ref="AP41" si="86">(AP40*$C$13)/(1-$C$13)</f>
        <v>68326.748545555442</v>
      </c>
      <c r="AQ41" s="49">
        <f t="shared" ref="AQ41" si="87">(AQ40*$C$13)/(1-$C$13)</f>
        <v>66945.574648305555</v>
      </c>
      <c r="AR41" s="49">
        <f t="shared" ref="AR41" si="88">(AR40*$C$13)/(1-$C$13)</f>
        <v>65506.159968958127</v>
      </c>
      <c r="AS41" s="49">
        <f t="shared" ref="AS41" si="89">(AS40*$C$13)/(1-$C$13)</f>
        <v>64013.163770080937</v>
      </c>
      <c r="AT41" s="49">
        <f t="shared" ref="AT41" si="90">(AT40*$C$13)/(1-$C$13)</f>
        <v>62470.872573236367</v>
      </c>
      <c r="AU41" s="49">
        <f t="shared" ref="AU41" si="91">(AU40*$C$13)/(1-$C$13)</f>
        <v>60883.229978261821</v>
      </c>
      <c r="AV41" s="49">
        <f t="shared" ref="AV41" si="92">(AV40*$C$13)/(1-$C$13)</f>
        <v>59253.864097007667</v>
      </c>
      <c r="AW41" s="49">
        <f t="shared" ref="AW41" si="93">(AW40*$C$13)/(1-$C$13)</f>
        <v>57586.112792376305</v>
      </c>
      <c r="AX41" s="49">
        <f t="shared" ref="AX41" si="94">(AX40*$C$13)/(1-$C$13)</f>
        <v>55883.046898237895</v>
      </c>
      <c r="AY41" s="49">
        <f t="shared" ref="AY41" si="95">(AY40*$C$13)/(1-$C$13)</f>
        <v>54147.49158175302</v>
      </c>
      <c r="AZ41" s="49">
        <f t="shared" ref="AZ41" si="96">(AZ40*$C$13)/(1-$C$13)</f>
        <v>24741.824908274</v>
      </c>
      <c r="BA41" s="49"/>
    </row>
    <row r="42" spans="2:53" x14ac:dyDescent="0.3">
      <c r="B42" s="8"/>
      <c r="C42" s="1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</row>
    <row r="43" spans="2:53" x14ac:dyDescent="0.3">
      <c r="B43" s="4" t="s">
        <v>14</v>
      </c>
      <c r="D43" s="56">
        <f>D32+D33+D34+D41</f>
        <v>168949.72363945577</v>
      </c>
      <c r="E43" s="56">
        <f>E32+E33+E34+E41</f>
        <v>565658.75850340142</v>
      </c>
      <c r="F43" s="56">
        <f t="shared" ref="F43:AG43" si="97">F32+F33+F34+F41</f>
        <v>569833.70748299314</v>
      </c>
      <c r="G43" s="56">
        <f t="shared" si="97"/>
        <v>572734.92585034017</v>
      </c>
      <c r="H43" s="56">
        <f t="shared" si="97"/>
        <v>574464.31205442175</v>
      </c>
      <c r="I43" s="56">
        <f t="shared" si="97"/>
        <v>575115.61266829935</v>
      </c>
      <c r="J43" s="56">
        <f t="shared" si="97"/>
        <v>574775.07453918911</v>
      </c>
      <c r="K43" s="56">
        <f t="shared" si="97"/>
        <v>573522.04476653016</v>
      </c>
      <c r="L43" s="56">
        <f t="shared" si="97"/>
        <v>571429.52268180635</v>
      </c>
      <c r="M43" s="56">
        <f t="shared" si="97"/>
        <v>568564.667669983</v>
      </c>
      <c r="N43" s="56">
        <f t="shared" si="97"/>
        <v>564989.26636522787</v>
      </c>
      <c r="O43" s="56">
        <f t="shared" si="97"/>
        <v>560760.16247097566</v>
      </c>
      <c r="P43" s="56">
        <f t="shared" si="97"/>
        <v>555929.652194386</v>
      </c>
      <c r="Q43" s="56">
        <f t="shared" si="97"/>
        <v>550545.84804604598</v>
      </c>
      <c r="R43" s="56">
        <f t="shared" si="97"/>
        <v>544653.01353569562</v>
      </c>
      <c r="S43" s="56">
        <f t="shared" si="97"/>
        <v>538291.87109229586</v>
      </c>
      <c r="T43" s="56">
        <f t="shared" si="97"/>
        <v>531499.88535049034</v>
      </c>
      <c r="U43" s="56">
        <f t="shared" si="97"/>
        <v>524311.52377415181</v>
      </c>
      <c r="V43" s="56">
        <f t="shared" si="97"/>
        <v>516758.49643004278</v>
      </c>
      <c r="W43" s="56">
        <f t="shared" si="97"/>
        <v>508869.97657958494</v>
      </c>
      <c r="X43" s="56">
        <f t="shared" si="97"/>
        <v>500672.80362328619</v>
      </c>
      <c r="Y43" s="56">
        <f t="shared" si="97"/>
        <v>492191.66980961378</v>
      </c>
      <c r="Z43" s="56">
        <f t="shared" si="97"/>
        <v>483449.29200715758</v>
      </c>
      <c r="AA43" s="56">
        <f t="shared" si="97"/>
        <v>474466.5697350204</v>
      </c>
      <c r="AB43" s="56">
        <f t="shared" si="97"/>
        <v>465262.73055077659</v>
      </c>
      <c r="AC43" s="56">
        <f t="shared" si="97"/>
        <v>455855.46380739473</v>
      </c>
      <c r="AD43" s="56">
        <f>AD32+AD33+AD34+AD41</f>
        <v>446261.04370960587</v>
      </c>
      <c r="AE43" s="56">
        <f t="shared" si="97"/>
        <v>436494.44252576254</v>
      </c>
      <c r="AF43" s="56">
        <f t="shared" si="97"/>
        <v>426569.4347427492</v>
      </c>
      <c r="AG43" s="56">
        <f t="shared" si="97"/>
        <v>416498.6928884993</v>
      </c>
      <c r="AH43" s="56">
        <f t="shared" ref="AH43:AZ43" si="98">AH32+AH33+AH34+AH41</f>
        <v>406293.87568871188</v>
      </c>
      <c r="AI43" s="56">
        <f t="shared" si="98"/>
        <v>395965.70917102986</v>
      </c>
      <c r="AJ43" s="56">
        <f t="shared" si="98"/>
        <v>385524.0612808849</v>
      </c>
      <c r="AK43" s="56">
        <f t="shared" si="98"/>
        <v>374978.010528074</v>
      </c>
      <c r="AL43" s="56">
        <f t="shared" si="98"/>
        <v>364335.90914161038</v>
      </c>
      <c r="AM43" s="56">
        <f t="shared" si="98"/>
        <v>353605.44117218629</v>
      </c>
      <c r="AN43" s="56">
        <f t="shared" si="98"/>
        <v>342793.67594643863</v>
      </c>
      <c r="AO43" s="56">
        <f t="shared" si="98"/>
        <v>331907.1172448732</v>
      </c>
      <c r="AP43" s="56">
        <f t="shared" si="98"/>
        <v>320951.74854555546</v>
      </c>
      <c r="AQ43" s="56">
        <f t="shared" si="98"/>
        <v>309933.07464830554</v>
      </c>
      <c r="AR43" s="56">
        <f t="shared" si="98"/>
        <v>298856.15996895812</v>
      </c>
      <c r="AS43" s="56">
        <f t="shared" si="98"/>
        <v>287725.66377008095</v>
      </c>
      <c r="AT43" s="56">
        <f t="shared" si="98"/>
        <v>276545.87257323635</v>
      </c>
      <c r="AU43" s="56">
        <f t="shared" si="98"/>
        <v>265320.72997826181</v>
      </c>
      <c r="AV43" s="56">
        <f t="shared" si="98"/>
        <v>254053.86409700767</v>
      </c>
      <c r="AW43" s="56">
        <f t="shared" si="98"/>
        <v>242748.61279237631</v>
      </c>
      <c r="AX43" s="56">
        <f t="shared" si="98"/>
        <v>231408.0468982379</v>
      </c>
      <c r="AY43" s="56">
        <f t="shared" si="98"/>
        <v>220034.99158175301</v>
      </c>
      <c r="AZ43" s="56">
        <f t="shared" si="98"/>
        <v>105276.19990827399</v>
      </c>
      <c r="BA43" s="56"/>
    </row>
    <row r="44" spans="2:53" x14ac:dyDescent="0.3">
      <c r="B44" s="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</row>
    <row r="45" spans="2:53" x14ac:dyDescent="0.3">
      <c r="B45" s="4" t="s">
        <v>15</v>
      </c>
      <c r="D45" s="56">
        <f>'Assumptions and Summary'!C25</f>
        <v>175000</v>
      </c>
      <c r="E45" s="56">
        <f>'Assumptions and Summary'!D25</f>
        <v>787500</v>
      </c>
      <c r="F45" s="56">
        <f>'Assumptions and Summary'!E25</f>
        <v>962500</v>
      </c>
      <c r="G45" s="56">
        <f>'Assumptions and Summary'!F25</f>
        <v>1400000</v>
      </c>
      <c r="H45" s="56">
        <f>'Assumptions and Summary'!G25</f>
        <v>1662500</v>
      </c>
      <c r="I45" s="56">
        <v>0</v>
      </c>
      <c r="J45" s="56">
        <f t="shared" ref="J45:M45" si="99">I45</f>
        <v>0</v>
      </c>
      <c r="K45" s="56">
        <f t="shared" si="99"/>
        <v>0</v>
      </c>
      <c r="L45" s="56">
        <f t="shared" si="99"/>
        <v>0</v>
      </c>
      <c r="M45" s="56">
        <f t="shared" si="99"/>
        <v>0</v>
      </c>
      <c r="N45" s="56">
        <f>M45/2</f>
        <v>0</v>
      </c>
      <c r="O45" s="56">
        <f t="shared" ref="O45:AG45" si="100">N45/2</f>
        <v>0</v>
      </c>
      <c r="P45" s="56">
        <f t="shared" si="100"/>
        <v>0</v>
      </c>
      <c r="Q45" s="56">
        <f t="shared" si="100"/>
        <v>0</v>
      </c>
      <c r="R45" s="56">
        <f t="shared" si="100"/>
        <v>0</v>
      </c>
      <c r="S45" s="56">
        <f t="shared" si="100"/>
        <v>0</v>
      </c>
      <c r="T45" s="56">
        <f t="shared" si="100"/>
        <v>0</v>
      </c>
      <c r="U45" s="56">
        <f t="shared" si="100"/>
        <v>0</v>
      </c>
      <c r="V45" s="56">
        <f t="shared" si="100"/>
        <v>0</v>
      </c>
      <c r="W45" s="56">
        <f t="shared" si="100"/>
        <v>0</v>
      </c>
      <c r="X45" s="56">
        <f t="shared" si="100"/>
        <v>0</v>
      </c>
      <c r="Y45" s="56">
        <f t="shared" si="100"/>
        <v>0</v>
      </c>
      <c r="Z45" s="56">
        <f t="shared" si="100"/>
        <v>0</v>
      </c>
      <c r="AA45" s="56">
        <f t="shared" si="100"/>
        <v>0</v>
      </c>
      <c r="AB45" s="56">
        <f t="shared" si="100"/>
        <v>0</v>
      </c>
      <c r="AC45" s="56">
        <f t="shared" si="100"/>
        <v>0</v>
      </c>
      <c r="AD45" s="56">
        <f t="shared" si="100"/>
        <v>0</v>
      </c>
      <c r="AE45" s="56">
        <f t="shared" si="100"/>
        <v>0</v>
      </c>
      <c r="AF45" s="56">
        <f t="shared" si="100"/>
        <v>0</v>
      </c>
      <c r="AG45" s="56">
        <f t="shared" si="100"/>
        <v>0</v>
      </c>
      <c r="AH45" s="56">
        <f t="shared" ref="AH45" si="101">AG45/2</f>
        <v>0</v>
      </c>
      <c r="AI45" s="56">
        <f t="shared" ref="AI45" si="102">AH45/2</f>
        <v>0</v>
      </c>
      <c r="AJ45" s="56">
        <f t="shared" ref="AJ45" si="103">AI45/2</f>
        <v>0</v>
      </c>
      <c r="AK45" s="56">
        <f t="shared" ref="AK45" si="104">AJ45/2</f>
        <v>0</v>
      </c>
      <c r="AL45" s="56">
        <f t="shared" ref="AL45" si="105">AK45/2</f>
        <v>0</v>
      </c>
      <c r="AM45" s="56">
        <f t="shared" ref="AM45" si="106">AL45/2</f>
        <v>0</v>
      </c>
      <c r="AN45" s="56">
        <f t="shared" ref="AN45" si="107">AM45/2</f>
        <v>0</v>
      </c>
      <c r="AO45" s="56">
        <f t="shared" ref="AO45" si="108">AN45/2</f>
        <v>0</v>
      </c>
      <c r="AP45" s="56">
        <f t="shared" ref="AP45" si="109">AO45/2</f>
        <v>0</v>
      </c>
      <c r="AQ45" s="56">
        <f t="shared" ref="AQ45" si="110">AP45/2</f>
        <v>0</v>
      </c>
      <c r="AR45" s="56">
        <f t="shared" ref="AR45" si="111">AQ45/2</f>
        <v>0</v>
      </c>
      <c r="AS45" s="56">
        <f t="shared" ref="AS45" si="112">AR45/2</f>
        <v>0</v>
      </c>
      <c r="AT45" s="56">
        <f t="shared" ref="AT45" si="113">AS45/2</f>
        <v>0</v>
      </c>
      <c r="AU45" s="56">
        <f t="shared" ref="AU45" si="114">AT45/2</f>
        <v>0</v>
      </c>
      <c r="AV45" s="56">
        <f t="shared" ref="AV45" si="115">AU45/2</f>
        <v>0</v>
      </c>
      <c r="AW45" s="56">
        <f t="shared" ref="AW45" si="116">AV45/2</f>
        <v>0</v>
      </c>
      <c r="AX45" s="56">
        <f t="shared" ref="AX45" si="117">AW45/2</f>
        <v>0</v>
      </c>
      <c r="AY45" s="56">
        <f t="shared" ref="AY45" si="118">AX45/2</f>
        <v>0</v>
      </c>
      <c r="AZ45" s="56">
        <f t="shared" ref="AZ45" si="119">AY45/2</f>
        <v>0</v>
      </c>
      <c r="BA45" s="56"/>
    </row>
    <row r="46" spans="2:53" x14ac:dyDescent="0.3">
      <c r="B46" s="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</row>
    <row r="47" spans="2:53" x14ac:dyDescent="0.3">
      <c r="B47" s="4" t="s">
        <v>16</v>
      </c>
      <c r="D47" s="56">
        <f>D43-D45</f>
        <v>-6050.2763605442306</v>
      </c>
      <c r="E47" s="56">
        <f t="shared" ref="E47:AG47" si="120">E43-E45</f>
        <v>-221841.24149659858</v>
      </c>
      <c r="F47" s="56">
        <f t="shared" si="120"/>
        <v>-392666.29251700686</v>
      </c>
      <c r="G47" s="56">
        <f t="shared" si="120"/>
        <v>-827265.07414965983</v>
      </c>
      <c r="H47" s="56">
        <f t="shared" si="120"/>
        <v>-1088035.6879455782</v>
      </c>
      <c r="I47" s="56">
        <f t="shared" si="120"/>
        <v>575115.61266829935</v>
      </c>
      <c r="J47" s="56">
        <f t="shared" si="120"/>
        <v>574775.07453918911</v>
      </c>
      <c r="K47" s="56">
        <f t="shared" si="120"/>
        <v>573522.04476653016</v>
      </c>
      <c r="L47" s="56">
        <f t="shared" si="120"/>
        <v>571429.52268180635</v>
      </c>
      <c r="M47" s="56">
        <f t="shared" si="120"/>
        <v>568564.667669983</v>
      </c>
      <c r="N47" s="56">
        <f t="shared" si="120"/>
        <v>564989.26636522787</v>
      </c>
      <c r="O47" s="56">
        <f t="shared" si="120"/>
        <v>560760.16247097566</v>
      </c>
      <c r="P47" s="56">
        <f t="shared" si="120"/>
        <v>555929.652194386</v>
      </c>
      <c r="Q47" s="56">
        <f t="shared" si="120"/>
        <v>550545.84804604598</v>
      </c>
      <c r="R47" s="56">
        <f t="shared" si="120"/>
        <v>544653.01353569562</v>
      </c>
      <c r="S47" s="56">
        <f t="shared" si="120"/>
        <v>538291.87109229586</v>
      </c>
      <c r="T47" s="56">
        <f t="shared" si="120"/>
        <v>531499.88535049034</v>
      </c>
      <c r="U47" s="56">
        <f t="shared" si="120"/>
        <v>524311.52377415181</v>
      </c>
      <c r="V47" s="56">
        <f t="shared" si="120"/>
        <v>516758.49643004278</v>
      </c>
      <c r="W47" s="56">
        <f t="shared" si="120"/>
        <v>508869.97657958494</v>
      </c>
      <c r="X47" s="56">
        <f t="shared" si="120"/>
        <v>500672.80362328619</v>
      </c>
      <c r="Y47" s="56">
        <f t="shared" si="120"/>
        <v>492191.66980961378</v>
      </c>
      <c r="Z47" s="56">
        <f t="shared" si="120"/>
        <v>483449.29200715758</v>
      </c>
      <c r="AA47" s="56">
        <f t="shared" si="120"/>
        <v>474466.5697350204</v>
      </c>
      <c r="AB47" s="56">
        <f t="shared" si="120"/>
        <v>465262.73055077659</v>
      </c>
      <c r="AC47" s="56">
        <f t="shared" si="120"/>
        <v>455855.46380739473</v>
      </c>
      <c r="AD47" s="56">
        <f t="shared" si="120"/>
        <v>446261.04370960587</v>
      </c>
      <c r="AE47" s="56">
        <f t="shared" si="120"/>
        <v>436494.44252576254</v>
      </c>
      <c r="AF47" s="56">
        <f t="shared" si="120"/>
        <v>426569.4347427492</v>
      </c>
      <c r="AG47" s="56">
        <f t="shared" si="120"/>
        <v>416498.6928884993</v>
      </c>
      <c r="AH47" s="56">
        <f t="shared" ref="AH47:AZ47" si="121">AH43-AH45</f>
        <v>406293.87568871188</v>
      </c>
      <c r="AI47" s="56">
        <f t="shared" si="121"/>
        <v>395965.70917102986</v>
      </c>
      <c r="AJ47" s="56">
        <f t="shared" si="121"/>
        <v>385524.0612808849</v>
      </c>
      <c r="AK47" s="56">
        <f t="shared" si="121"/>
        <v>374978.010528074</v>
      </c>
      <c r="AL47" s="56">
        <f t="shared" si="121"/>
        <v>364335.90914161038</v>
      </c>
      <c r="AM47" s="56">
        <f t="shared" si="121"/>
        <v>353605.44117218629</v>
      </c>
      <c r="AN47" s="56">
        <f t="shared" si="121"/>
        <v>342793.67594643863</v>
      </c>
      <c r="AO47" s="56">
        <f t="shared" si="121"/>
        <v>331907.1172448732</v>
      </c>
      <c r="AP47" s="56">
        <f t="shared" si="121"/>
        <v>320951.74854555546</v>
      </c>
      <c r="AQ47" s="56">
        <f t="shared" si="121"/>
        <v>309933.07464830554</v>
      </c>
      <c r="AR47" s="56">
        <f t="shared" si="121"/>
        <v>298856.15996895812</v>
      </c>
      <c r="AS47" s="56">
        <f t="shared" si="121"/>
        <v>287725.66377008095</v>
      </c>
      <c r="AT47" s="56">
        <f t="shared" si="121"/>
        <v>276545.87257323635</v>
      </c>
      <c r="AU47" s="56">
        <f t="shared" si="121"/>
        <v>265320.72997826181</v>
      </c>
      <c r="AV47" s="56">
        <f t="shared" si="121"/>
        <v>254053.86409700767</v>
      </c>
      <c r="AW47" s="56">
        <f t="shared" si="121"/>
        <v>242748.61279237631</v>
      </c>
      <c r="AX47" s="56">
        <f t="shared" si="121"/>
        <v>231408.0468982379</v>
      </c>
      <c r="AY47" s="56">
        <f t="shared" si="121"/>
        <v>220034.99158175301</v>
      </c>
      <c r="AZ47" s="56">
        <f t="shared" si="121"/>
        <v>105276.19990827399</v>
      </c>
      <c r="BA47" s="56"/>
    </row>
    <row r="48" spans="2:53" x14ac:dyDescent="0.3">
      <c r="B48" s="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</row>
    <row r="49" spans="2:4" x14ac:dyDescent="0.3">
      <c r="B49" s="8" t="s">
        <v>38</v>
      </c>
      <c r="C49" s="3">
        <f>NPV(WACC,D43:AZ43)</f>
        <v>7591927.3693343885</v>
      </c>
      <c r="D49" s="14"/>
    </row>
    <row r="50" spans="2:4" x14ac:dyDescent="0.3">
      <c r="B50" s="8" t="s">
        <v>40</v>
      </c>
      <c r="C50" s="3">
        <f>NPV(WACC,D45:AZ45)</f>
        <v>4002239.4564930042</v>
      </c>
      <c r="D50" s="14"/>
    </row>
    <row r="51" spans="2:4" x14ac:dyDescent="0.3">
      <c r="B51" s="8" t="s">
        <v>42</v>
      </c>
      <c r="C51" s="3">
        <f>C49-C50</f>
        <v>3589687.9128413843</v>
      </c>
      <c r="D51" s="14"/>
    </row>
    <row r="52" spans="2:4" x14ac:dyDescent="0.3">
      <c r="B52" s="8"/>
      <c r="C52" s="3"/>
    </row>
    <row r="53" spans="2:4" x14ac:dyDescent="0.3">
      <c r="B53" s="8" t="s">
        <v>47</v>
      </c>
      <c r="C53" s="3">
        <f>NPV(WACC,D34:AZ34)</f>
        <v>2968232.7297321851</v>
      </c>
      <c r="D53" s="14"/>
    </row>
    <row r="54" spans="2:4" x14ac:dyDescent="0.3">
      <c r="B54" s="8" t="s">
        <v>132</v>
      </c>
      <c r="C54" s="3">
        <v>0</v>
      </c>
      <c r="D54" s="14"/>
    </row>
    <row r="55" spans="2:4" x14ac:dyDescent="0.3">
      <c r="B55" s="8" t="s">
        <v>49</v>
      </c>
      <c r="C55" s="3">
        <f>C53-C54</f>
        <v>2968232.7297321851</v>
      </c>
      <c r="D55" s="14"/>
    </row>
    <row r="57" spans="2:4" x14ac:dyDescent="0.3">
      <c r="B57" s="8" t="s">
        <v>22</v>
      </c>
    </row>
    <row r="58" spans="2:4" x14ac:dyDescent="0.3">
      <c r="B58" s="8" t="s">
        <v>136</v>
      </c>
      <c r="C58" s="3">
        <f>SUM(D43:H43)</f>
        <v>2451641.4275306123</v>
      </c>
    </row>
    <row r="59" spans="2:4" x14ac:dyDescent="0.3">
      <c r="B59" s="8" t="s">
        <v>137</v>
      </c>
      <c r="C59" s="3">
        <f>SUM(I43:M43)</f>
        <v>2863406.9223258081</v>
      </c>
    </row>
    <row r="60" spans="2:4" x14ac:dyDescent="0.3">
      <c r="B60" s="8" t="s">
        <v>4</v>
      </c>
      <c r="C60" s="3">
        <f>SUM(D43:AZ43)</f>
        <v>21077638.954031046</v>
      </c>
    </row>
    <row r="62" spans="2:4" x14ac:dyDescent="0.3">
      <c r="B62" s="8"/>
      <c r="C62" s="15"/>
    </row>
    <row r="63" spans="2:4" x14ac:dyDescent="0.3">
      <c r="B63" s="8"/>
      <c r="C63" s="15"/>
    </row>
    <row r="64" spans="2:4" x14ac:dyDescent="0.3">
      <c r="B64" s="8"/>
      <c r="C64" s="15"/>
    </row>
    <row r="66" spans="2:3" x14ac:dyDescent="0.3">
      <c r="B66" s="8"/>
      <c r="C66" s="15"/>
    </row>
    <row r="67" spans="2:3" x14ac:dyDescent="0.3">
      <c r="B67" s="8"/>
      <c r="C67" s="15"/>
    </row>
    <row r="68" spans="2:3" x14ac:dyDescent="0.3">
      <c r="B68" s="8"/>
      <c r="C68" s="15"/>
    </row>
    <row r="70" spans="2:3" x14ac:dyDescent="0.3">
      <c r="B70" s="8"/>
      <c r="C70" s="3"/>
    </row>
    <row r="72" spans="2:3" x14ac:dyDescent="0.3">
      <c r="B72" s="8"/>
      <c r="C72" s="3"/>
    </row>
    <row r="73" spans="2:3" x14ac:dyDescent="0.3">
      <c r="B73" s="8"/>
      <c r="C73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4DAD-F7F1-4FAC-877E-7D31C9279B75}">
  <dimension ref="B2:C11"/>
  <sheetViews>
    <sheetView showGridLines="0" zoomScale="80" zoomScaleNormal="80" workbookViewId="0"/>
  </sheetViews>
  <sheetFormatPr defaultRowHeight="14.4" x14ac:dyDescent="0.3"/>
  <cols>
    <col min="1" max="1" width="5.5546875" customWidth="1"/>
    <col min="2" max="2" width="3.77734375" customWidth="1"/>
    <col min="3" max="3" width="159" customWidth="1"/>
  </cols>
  <sheetData>
    <row r="2" spans="2:3" x14ac:dyDescent="0.3">
      <c r="B2" s="115" t="s">
        <v>32</v>
      </c>
      <c r="C2" s="116"/>
    </row>
    <row r="3" spans="2:3" x14ac:dyDescent="0.3">
      <c r="B3" s="61"/>
      <c r="C3" s="10"/>
    </row>
    <row r="4" spans="2:3" ht="15" thickBot="1" x14ac:dyDescent="0.35">
      <c r="B4" s="65" t="s">
        <v>69</v>
      </c>
      <c r="C4" s="27" t="s">
        <v>70</v>
      </c>
    </row>
    <row r="5" spans="2:3" x14ac:dyDescent="0.3">
      <c r="B5" s="84">
        <v>1</v>
      </c>
      <c r="C5" s="86" t="s">
        <v>73</v>
      </c>
    </row>
    <row r="6" spans="2:3" x14ac:dyDescent="0.3">
      <c r="B6" s="84">
        <v>2</v>
      </c>
      <c r="C6" s="63" t="s">
        <v>74</v>
      </c>
    </row>
    <row r="7" spans="2:3" x14ac:dyDescent="0.3">
      <c r="B7" s="84">
        <v>3</v>
      </c>
      <c r="C7" s="63" t="s">
        <v>75</v>
      </c>
    </row>
    <row r="8" spans="2:3" x14ac:dyDescent="0.3">
      <c r="B8" s="84">
        <v>4</v>
      </c>
      <c r="C8" s="63" t="s">
        <v>72</v>
      </c>
    </row>
    <row r="9" spans="2:3" x14ac:dyDescent="0.3">
      <c r="B9" s="84">
        <v>5</v>
      </c>
      <c r="C9" s="63" t="s">
        <v>76</v>
      </c>
    </row>
    <row r="10" spans="2:3" x14ac:dyDescent="0.3">
      <c r="B10" s="84">
        <v>6</v>
      </c>
      <c r="C10" s="63" t="s">
        <v>77</v>
      </c>
    </row>
    <row r="11" spans="2:3" x14ac:dyDescent="0.3">
      <c r="B11" s="85">
        <v>7</v>
      </c>
      <c r="C11" s="64" t="s">
        <v>138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0EAA7E-365B-40DE-B8BA-E4C1C713E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15B346-A770-4908-BE55-5F13F7E89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6E262F-FCE6-4C23-916C-8C7B12D16CEC}">
  <ds:schemaRefs>
    <ds:schemaRef ds:uri="http://schemas.openxmlformats.org/package/2006/metadata/core-properties"/>
    <ds:schemaRef ds:uri="http://schemas.microsoft.com/office/2006/documentManagement/types"/>
    <ds:schemaRef ds:uri="d178a8d1-16ff-473a-8ed0-d41f4478457a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sharepoint/v3/fields"/>
    <ds:schemaRef ds:uri="12f68b52-648b-46a0-8463-d3282342a499"/>
  </ds:schemaRefs>
</ds:datastoreItem>
</file>

<file path=docMetadata/LabelInfo.xml><?xml version="1.0" encoding="utf-8"?>
<clbl:labelList xmlns:clbl="http://schemas.microsoft.com/office/2020/mipLabelMetadata">
  <clbl:label id="{dffd51a4-5314-4c60-bce6-0affc34d9cd7}" enabled="1" method="Standard" siteId="{4a156c19-bc94-41ac-aacf-95468649086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Tables</vt:lpstr>
      <vt:lpstr>Assumptions and Summary</vt:lpstr>
      <vt:lpstr>5yr Deferral BCA</vt:lpstr>
      <vt:lpstr>Avoidance BCA</vt:lpstr>
      <vt:lpstr>Assumptions</vt:lpstr>
      <vt:lpstr>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Brandon Ott</dc:creator>
  <cp:lastModifiedBy>cfleury@TorontoHydro.com</cp:lastModifiedBy>
  <dcterms:created xsi:type="dcterms:W3CDTF">2023-06-16T16:08:33Z</dcterms:created>
  <dcterms:modified xsi:type="dcterms:W3CDTF">2024-04-22T22:09:08Z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2024-04-02T15:59:51Z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7182c9ed-bcb0-45d6-a88d-00825fbfbe85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0x0101002EDAACFF67256049A485179023DD9F32</vt:lpwstr>
  </property>
</Properties>
</file>