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threadedComments/threadedComment1.xml" ContentType="application/vnd.ms-excel.threadedcomments+xml"/>
  <Override PartName="/xl/comments6.xml" ContentType="application/vnd.openxmlformats-officedocument.spreadsheetml.comments+xml"/>
  <Override PartName="/xl/threadedComments/threadedComment2.xml" ContentType="application/vnd.ms-excel.threadedcomments+xml"/>
  <Override PartName="/xl/comments7.xml" ContentType="application/vnd.openxmlformats-officedocument.spreadsheetml.comments+xml"/>
  <Override PartName="/xl/threadedComments/threadedComment3.xml" ContentType="application/vnd.ms-excel.threadedcomments+xml"/>
  <Override PartName="/xl/comments8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FINANCE\Rate Submission\2024 Cost of Service\3. Interrogatories\Submission 20240119\"/>
    </mc:Choice>
  </mc:AlternateContent>
  <xr:revisionPtr revIDLastSave="0" documentId="13_ncr:1_{3BB46E14-BE03-4619-A43F-C54D5F6051A2}" xr6:coauthVersionLast="47" xr6:coauthVersionMax="47" xr10:uidLastSave="{00000000-0000-0000-0000-000000000000}"/>
  <bookViews>
    <workbookView xWindow="-28920" yWindow="-120" windowWidth="29040" windowHeight="15840" tabRatio="781" xr2:uid="{11433E51-E828-4E59-8F6D-A90DC4F1C704}"/>
  </bookViews>
  <sheets>
    <sheet name="CAM 2016" sheetId="2" r:id="rId1"/>
    <sheet name="CAM 2017" sheetId="3" r:id="rId2"/>
    <sheet name="CAM 2018" sheetId="4" r:id="rId3"/>
    <sheet name="CAM 2019" sheetId="5" r:id="rId4"/>
    <sheet name="CAM 2020" sheetId="6" r:id="rId5"/>
    <sheet name="CAM 2021" sheetId="7" r:id="rId6"/>
    <sheet name="CAM 2022" sheetId="8" r:id="rId7"/>
    <sheet name="CAM 2023" sheetId="9" state="hidden" r:id="rId8"/>
    <sheet name="OEB costs" sheetId="10" r:id="rId9"/>
    <sheet name="CAM var 56550 entries" sheetId="11" state="hidden" r:id="rId10"/>
  </sheets>
  <externalReferences>
    <externalReference r:id="rId11"/>
    <externalReference r:id="rId12"/>
    <externalReference r:id="rId13"/>
    <externalReference r:id="rId14"/>
  </externalReferences>
  <definedNames>
    <definedName name="_xlnm._FilterDatabase" localSheetId="9" hidden="1">'CAM var 56550 entries'!$A$1:$K$57</definedName>
    <definedName name="_xlnm._FilterDatabase" localSheetId="8" hidden="1">'OEB costs'!$A$1:$G$1</definedName>
    <definedName name="_xlnm.Print_Area" localSheetId="3">'CAM 2019'!$A:$M</definedName>
    <definedName name="_xlnm.Print_Area" localSheetId="4">'CAM 2020'!$A$1:$M$71</definedName>
    <definedName name="_xlnm.Print_Area" localSheetId="5">'CAM 2021'!$A$1:$M$88</definedName>
    <definedName name="_xlnm.Print_Area" localSheetId="6">'CAM 2022'!$A$1:$M$85</definedName>
    <definedName name="_xlnm.Print_Area" localSheetId="7">'CAM 2023'!$A$1:$M$83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6" i="8" l="1"/>
  <c r="D73" i="7"/>
  <c r="D72" i="6"/>
  <c r="D71" i="5"/>
  <c r="D64" i="4"/>
  <c r="D52" i="3"/>
  <c r="N60" i="2"/>
  <c r="N59" i="2"/>
  <c r="N58" i="2"/>
  <c r="N57" i="2"/>
  <c r="N56" i="2"/>
  <c r="N52" i="2"/>
  <c r="N50" i="2"/>
  <c r="N65" i="3"/>
  <c r="N64" i="3"/>
  <c r="N63" i="3"/>
  <c r="N62" i="3"/>
  <c r="N61" i="3"/>
  <c r="N57" i="3"/>
  <c r="N55" i="3"/>
  <c r="N77" i="4"/>
  <c r="N76" i="4"/>
  <c r="N75" i="4"/>
  <c r="N74" i="4"/>
  <c r="N73" i="4"/>
  <c r="N69" i="4"/>
  <c r="N67" i="4"/>
  <c r="N84" i="5"/>
  <c r="N83" i="5"/>
  <c r="N82" i="5"/>
  <c r="N81" i="5"/>
  <c r="N80" i="5"/>
  <c r="N76" i="5"/>
  <c r="N74" i="5"/>
  <c r="N85" i="6"/>
  <c r="N84" i="6"/>
  <c r="N83" i="6"/>
  <c r="N82" i="6"/>
  <c r="N81" i="6"/>
  <c r="N77" i="6"/>
  <c r="N75" i="6"/>
  <c r="N86" i="7"/>
  <c r="N85" i="7"/>
  <c r="N84" i="7"/>
  <c r="N83" i="7"/>
  <c r="N82" i="7"/>
  <c r="N78" i="7"/>
  <c r="N76" i="7"/>
  <c r="N95" i="8"/>
  <c r="N96" i="9"/>
  <c r="N95" i="9"/>
  <c r="N94" i="9"/>
  <c r="N97" i="9"/>
  <c r="N93" i="9"/>
  <c r="N89" i="9"/>
  <c r="N87" i="9"/>
  <c r="O40" i="9"/>
  <c r="N104" i="9" s="1"/>
  <c r="N105" i="9" s="1"/>
  <c r="N93" i="7"/>
  <c r="N94" i="7"/>
  <c r="N93" i="6"/>
  <c r="N94" i="6"/>
  <c r="N92" i="5"/>
  <c r="N93" i="5" s="1"/>
  <c r="N85" i="4"/>
  <c r="N86" i="4" s="1"/>
  <c r="N73" i="3"/>
  <c r="N74" i="3"/>
  <c r="K96" i="9" l="1"/>
  <c r="J97" i="9" s="1"/>
  <c r="H96" i="9"/>
  <c r="G97" i="9" s="1"/>
  <c r="E96" i="9"/>
  <c r="D97" i="9" s="1"/>
  <c r="C96" i="9"/>
  <c r="B97" i="9" s="1"/>
  <c r="K85" i="7"/>
  <c r="J86" i="7" s="1"/>
  <c r="H85" i="7"/>
  <c r="G86" i="7" s="1"/>
  <c r="E85" i="7"/>
  <c r="D86" i="7" s="1"/>
  <c r="C85" i="7"/>
  <c r="B86" i="7" s="1"/>
  <c r="K84" i="6"/>
  <c r="J85" i="6" s="1"/>
  <c r="H84" i="6"/>
  <c r="G85" i="6" s="1"/>
  <c r="E84" i="6"/>
  <c r="D85" i="6" s="1"/>
  <c r="C84" i="6"/>
  <c r="B85" i="6" s="1"/>
  <c r="K83" i="5"/>
  <c r="J84" i="5" s="1"/>
  <c r="H83" i="5"/>
  <c r="G84" i="5" s="1"/>
  <c r="E83" i="5"/>
  <c r="D84" i="5" s="1"/>
  <c r="C83" i="5"/>
  <c r="B84" i="5" s="1"/>
  <c r="K76" i="4"/>
  <c r="J77" i="4" s="1"/>
  <c r="H76" i="4"/>
  <c r="G77" i="4" s="1"/>
  <c r="E76" i="4"/>
  <c r="D77" i="4" s="1"/>
  <c r="C76" i="4"/>
  <c r="B77" i="4" s="1"/>
  <c r="K64" i="3"/>
  <c r="J65" i="3" s="1"/>
  <c r="H64" i="3"/>
  <c r="G65" i="3" s="1"/>
  <c r="E64" i="3"/>
  <c r="D65" i="3" s="1"/>
  <c r="B65" i="3"/>
  <c r="C64" i="3"/>
  <c r="B35" i="3"/>
  <c r="B26" i="2"/>
  <c r="C22" i="2"/>
  <c r="J85" i="9"/>
  <c r="K89" i="9" s="1"/>
  <c r="K88" i="9" s="1"/>
  <c r="J90" i="9" s="1"/>
  <c r="K24" i="9" s="1"/>
  <c r="G85" i="9"/>
  <c r="H89" i="9" s="1"/>
  <c r="D85" i="9"/>
  <c r="E89" i="9" s="1"/>
  <c r="B85" i="9"/>
  <c r="C95" i="9" s="1"/>
  <c r="C94" i="9" s="1"/>
  <c r="D84" i="9"/>
  <c r="J87" i="8"/>
  <c r="G87" i="8"/>
  <c r="D87" i="8"/>
  <c r="B87" i="8"/>
  <c r="J74" i="7"/>
  <c r="E95" i="9" l="1"/>
  <c r="E94" i="9" s="1"/>
  <c r="E88" i="9"/>
  <c r="D90" i="9" s="1"/>
  <c r="F24" i="9" s="1"/>
  <c r="D87" i="9"/>
  <c r="C26" i="2"/>
  <c r="K95" i="9"/>
  <c r="K94" i="9" s="1"/>
  <c r="H88" i="9"/>
  <c r="G90" i="9" s="1"/>
  <c r="H24" i="9" s="1"/>
  <c r="G87" i="9"/>
  <c r="H95" i="9"/>
  <c r="H94" i="9" s="1"/>
  <c r="C89" i="9"/>
  <c r="C88" i="9" s="1"/>
  <c r="J87" i="9"/>
  <c r="C97" i="8"/>
  <c r="K91" i="8"/>
  <c r="H91" i="8"/>
  <c r="E97" i="8"/>
  <c r="E96" i="8" s="1"/>
  <c r="E98" i="8" s="1"/>
  <c r="D99" i="8" s="1"/>
  <c r="B90" i="9" l="1"/>
  <c r="N88" i="9"/>
  <c r="C96" i="8"/>
  <c r="B87" i="9"/>
  <c r="D22" i="2"/>
  <c r="G89" i="8"/>
  <c r="H90" i="8"/>
  <c r="G92" i="8" s="1"/>
  <c r="H24" i="8" s="1"/>
  <c r="J89" i="8"/>
  <c r="K90" i="8"/>
  <c r="J92" i="8" s="1"/>
  <c r="K24" i="8" s="1"/>
  <c r="K97" i="8"/>
  <c r="K96" i="8" s="1"/>
  <c r="K98" i="8" s="1"/>
  <c r="J99" i="8" s="1"/>
  <c r="C91" i="8"/>
  <c r="N91" i="8" s="1"/>
  <c r="E91" i="8"/>
  <c r="H97" i="8"/>
  <c r="H96" i="8" s="1"/>
  <c r="H98" i="8" s="1"/>
  <c r="G99" i="8" s="1"/>
  <c r="H84" i="7"/>
  <c r="H83" i="7" s="1"/>
  <c r="D74" i="7"/>
  <c r="E84" i="7" s="1"/>
  <c r="E83" i="7" s="1"/>
  <c r="B74" i="7"/>
  <c r="K78" i="7"/>
  <c r="H78" i="7"/>
  <c r="C78" i="7"/>
  <c r="B76" i="7"/>
  <c r="K84" i="7"/>
  <c r="K83" i="7" s="1"/>
  <c r="C84" i="7"/>
  <c r="C83" i="7" s="1"/>
  <c r="J73" i="6"/>
  <c r="K83" i="6" s="1"/>
  <c r="K82" i="6" s="1"/>
  <c r="G73" i="6"/>
  <c r="H77" i="6" s="1"/>
  <c r="H76" i="6" s="1"/>
  <c r="G78" i="6" s="1"/>
  <c r="H24" i="6" s="1"/>
  <c r="D73" i="6"/>
  <c r="E83" i="6" s="1"/>
  <c r="E82" i="6" s="1"/>
  <c r="B73" i="6"/>
  <c r="C83" i="6" s="1"/>
  <c r="C82" i="6" s="1"/>
  <c r="J72" i="5"/>
  <c r="K82" i="5" s="1"/>
  <c r="K81" i="5" s="1"/>
  <c r="G72" i="5"/>
  <c r="H82" i="5" s="1"/>
  <c r="H81" i="5" s="1"/>
  <c r="D72" i="5"/>
  <c r="E82" i="5" s="1"/>
  <c r="E81" i="5" s="1"/>
  <c r="B72" i="5"/>
  <c r="C82" i="5" s="1"/>
  <c r="C81" i="5" s="1"/>
  <c r="J65" i="4"/>
  <c r="G65" i="4"/>
  <c r="D65" i="4"/>
  <c r="E75" i="4" s="1"/>
  <c r="E74" i="4" s="1"/>
  <c r="B65" i="4"/>
  <c r="C69" i="4"/>
  <c r="B67" i="4" s="1"/>
  <c r="K69" i="4"/>
  <c r="K68" i="4" s="1"/>
  <c r="H75" i="4"/>
  <c r="H74" i="4" s="1"/>
  <c r="C75" i="4"/>
  <c r="C74" i="4" s="1"/>
  <c r="K56" i="3"/>
  <c r="H56" i="3"/>
  <c r="E56" i="3"/>
  <c r="C56" i="3"/>
  <c r="C63" i="3"/>
  <c r="C62" i="3" s="1"/>
  <c r="C57" i="3"/>
  <c r="B55" i="3"/>
  <c r="J53" i="3"/>
  <c r="K63" i="3" s="1"/>
  <c r="K62" i="3" s="1"/>
  <c r="G53" i="3"/>
  <c r="H63" i="3" s="1"/>
  <c r="H62" i="3" s="1"/>
  <c r="D53" i="3"/>
  <c r="E57" i="3" s="1"/>
  <c r="B53" i="3"/>
  <c r="K52" i="2"/>
  <c r="J50" i="2" s="1"/>
  <c r="J48" i="2"/>
  <c r="K58" i="2" s="1"/>
  <c r="K57" i="2" s="1"/>
  <c r="G48" i="2"/>
  <c r="H58" i="2" s="1"/>
  <c r="H57" i="2" s="1"/>
  <c r="D48" i="2"/>
  <c r="E58" i="2" s="1"/>
  <c r="E57" i="2" s="1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3" i="10"/>
  <c r="D2" i="10"/>
  <c r="B38" i="9"/>
  <c r="C34" i="9" s="1"/>
  <c r="O35" i="9"/>
  <c r="C7" i="9"/>
  <c r="C6" i="9"/>
  <c r="C5" i="9"/>
  <c r="C4" i="9"/>
  <c r="B24" i="9" l="1"/>
  <c r="O24" i="9" s="1"/>
  <c r="N90" i="9"/>
  <c r="B58" i="3"/>
  <c r="N56" i="3"/>
  <c r="N97" i="8"/>
  <c r="C98" i="8"/>
  <c r="N96" i="8"/>
  <c r="E52" i="2"/>
  <c r="K51" i="2"/>
  <c r="J53" i="2" s="1"/>
  <c r="K23" i="2" s="1"/>
  <c r="H52" i="2"/>
  <c r="G50" i="2" s="1"/>
  <c r="C77" i="7"/>
  <c r="H77" i="7"/>
  <c r="G79" i="7" s="1"/>
  <c r="H24" i="7" s="1"/>
  <c r="K77" i="7"/>
  <c r="J79" i="7" s="1"/>
  <c r="K24" i="7" s="1"/>
  <c r="E77" i="6"/>
  <c r="H83" i="6"/>
  <c r="H82" i="6" s="1"/>
  <c r="D26" i="2"/>
  <c r="J76" i="7"/>
  <c r="E90" i="8"/>
  <c r="D92" i="8" s="1"/>
  <c r="F24" i="8" s="1"/>
  <c r="D89" i="8"/>
  <c r="C90" i="8"/>
  <c r="B89" i="8"/>
  <c r="E78" i="7"/>
  <c r="G76" i="7"/>
  <c r="G75" i="6"/>
  <c r="C77" i="6"/>
  <c r="K77" i="6"/>
  <c r="C76" i="5"/>
  <c r="H76" i="5"/>
  <c r="E76" i="5"/>
  <c r="K76" i="5"/>
  <c r="C68" i="4"/>
  <c r="J67" i="4"/>
  <c r="J70" i="4"/>
  <c r="K25" i="4" s="1"/>
  <c r="K75" i="4"/>
  <c r="K74" i="4" s="1"/>
  <c r="E69" i="4"/>
  <c r="E68" i="4" s="1"/>
  <c r="H69" i="4"/>
  <c r="H68" i="4" s="1"/>
  <c r="H51" i="2"/>
  <c r="G53" i="2" s="1"/>
  <c r="H23" i="2" s="1"/>
  <c r="D58" i="3"/>
  <c r="E25" i="3" s="1"/>
  <c r="D55" i="3"/>
  <c r="H57" i="3"/>
  <c r="E63" i="3"/>
  <c r="E62" i="3" s="1"/>
  <c r="K57" i="3"/>
  <c r="E51" i="2"/>
  <c r="D50" i="2"/>
  <c r="C38" i="9"/>
  <c r="D34" i="9" s="1"/>
  <c r="C40" i="9"/>
  <c r="B40" i="9"/>
  <c r="B79" i="7" l="1"/>
  <c r="B70" i="4"/>
  <c r="N68" i="4"/>
  <c r="B25" i="3"/>
  <c r="D53" i="2"/>
  <c r="N51" i="2"/>
  <c r="B92" i="8"/>
  <c r="N90" i="8"/>
  <c r="N98" i="8"/>
  <c r="B99" i="8"/>
  <c r="N99" i="8" s="1"/>
  <c r="N89" i="8"/>
  <c r="E76" i="6"/>
  <c r="D78" i="6" s="1"/>
  <c r="E24" i="6" s="1"/>
  <c r="D75" i="6"/>
  <c r="E22" i="2"/>
  <c r="E77" i="7"/>
  <c r="D79" i="7" s="1"/>
  <c r="E24" i="7" s="1"/>
  <c r="D76" i="7"/>
  <c r="C76" i="6"/>
  <c r="B75" i="6"/>
  <c r="K76" i="6"/>
  <c r="J78" i="6" s="1"/>
  <c r="K24" i="6" s="1"/>
  <c r="J75" i="6"/>
  <c r="H75" i="5"/>
  <c r="G77" i="5" s="1"/>
  <c r="H24" i="5" s="1"/>
  <c r="G74" i="5"/>
  <c r="K75" i="5"/>
  <c r="J77" i="5" s="1"/>
  <c r="K24" i="5" s="1"/>
  <c r="J74" i="5"/>
  <c r="E75" i="5"/>
  <c r="D77" i="5" s="1"/>
  <c r="E24" i="5" s="1"/>
  <c r="D74" i="5"/>
  <c r="C75" i="5"/>
  <c r="B74" i="5"/>
  <c r="G70" i="4"/>
  <c r="G25" i="4" s="1"/>
  <c r="G67" i="4"/>
  <c r="D70" i="4"/>
  <c r="E25" i="4" s="1"/>
  <c r="D67" i="4"/>
  <c r="J55" i="3"/>
  <c r="J58" i="3"/>
  <c r="K25" i="3" s="1"/>
  <c r="G55" i="3"/>
  <c r="G58" i="3"/>
  <c r="H25" i="3" s="1"/>
  <c r="D38" i="9"/>
  <c r="E34" i="9" s="1"/>
  <c r="D40" i="9"/>
  <c r="B41" i="9"/>
  <c r="N77" i="7" l="1"/>
  <c r="B24" i="7"/>
  <c r="O24" i="7" s="1"/>
  <c r="N79" i="7"/>
  <c r="B78" i="6"/>
  <c r="N76" i="6"/>
  <c r="B77" i="5"/>
  <c r="N75" i="5"/>
  <c r="N70" i="4"/>
  <c r="B25" i="4"/>
  <c r="O25" i="4" s="1"/>
  <c r="O25" i="3"/>
  <c r="N58" i="3"/>
  <c r="E23" i="2"/>
  <c r="O23" i="2" s="1"/>
  <c r="N53" i="2"/>
  <c r="N92" i="8"/>
  <c r="B24" i="8"/>
  <c r="O24" i="8" s="1"/>
  <c r="C41" i="9"/>
  <c r="D41" i="9"/>
  <c r="E41" i="9" s="1"/>
  <c r="E40" i="9"/>
  <c r="E38" i="9"/>
  <c r="F34" i="9" s="1"/>
  <c r="N78" i="6" l="1"/>
  <c r="B24" i="6"/>
  <c r="O24" i="6" s="1"/>
  <c r="B24" i="5"/>
  <c r="N77" i="5"/>
  <c r="E26" i="2"/>
  <c r="E31" i="2" s="1"/>
  <c r="F22" i="2"/>
  <c r="F40" i="9"/>
  <c r="F38" i="9"/>
  <c r="G34" i="9" s="1"/>
  <c r="F26" i="2" l="1"/>
  <c r="G40" i="9"/>
  <c r="G38" i="9"/>
  <c r="H34" i="9" s="1"/>
  <c r="F41" i="9"/>
  <c r="G41" i="9" l="1"/>
  <c r="G22" i="2"/>
  <c r="H38" i="9"/>
  <c r="I34" i="9" s="1"/>
  <c r="H40" i="9"/>
  <c r="H41" i="9" l="1"/>
  <c r="G26" i="2"/>
  <c r="I38" i="9"/>
  <c r="J34" i="9" s="1"/>
  <c r="I40" i="9"/>
  <c r="I41" i="9" l="1"/>
  <c r="H22" i="2"/>
  <c r="J38" i="9"/>
  <c r="K34" i="9" s="1"/>
  <c r="J40" i="9"/>
  <c r="H26" i="2" l="1"/>
  <c r="J41" i="9"/>
  <c r="K38" i="9"/>
  <c r="L34" i="9" s="1"/>
  <c r="K40" i="9"/>
  <c r="I22" i="2" l="1"/>
  <c r="L40" i="9"/>
  <c r="L38" i="9"/>
  <c r="M34" i="9" s="1"/>
  <c r="K41" i="9"/>
  <c r="L41" i="9" l="1"/>
  <c r="I26" i="2"/>
  <c r="M38" i="9"/>
  <c r="M40" i="9"/>
  <c r="J22" i="2" l="1"/>
  <c r="M41" i="9"/>
  <c r="J26" i="2" l="1"/>
  <c r="K22" i="2" l="1"/>
  <c r="K26" i="2" l="1"/>
  <c r="L22" i="2" l="1"/>
  <c r="L26" i="2" l="1"/>
  <c r="M22" i="2" l="1"/>
  <c r="M26" i="2" l="1"/>
  <c r="B24" i="3" l="1"/>
  <c r="B30" i="3" l="1"/>
  <c r="B28" i="3"/>
  <c r="C24" i="3" l="1"/>
  <c r="B40" i="8"/>
  <c r="B38" i="8"/>
  <c r="C34" i="8" s="1"/>
  <c r="K35" i="8"/>
  <c r="C7" i="8"/>
  <c r="C6" i="8"/>
  <c r="C5" i="8"/>
  <c r="C4" i="8"/>
  <c r="B41" i="8" l="1"/>
  <c r="O35" i="8"/>
  <c r="C30" i="3"/>
  <c r="C28" i="3"/>
  <c r="C38" i="8"/>
  <c r="D34" i="8" s="1"/>
  <c r="C40" i="8"/>
  <c r="D24" i="3" l="1"/>
  <c r="D40" i="8"/>
  <c r="D38" i="8"/>
  <c r="E34" i="8" s="1"/>
  <c r="C41" i="8"/>
  <c r="D41" i="8" s="1"/>
  <c r="D28" i="3" l="1"/>
  <c r="D30" i="3"/>
  <c r="E40" i="8"/>
  <c r="E38" i="8"/>
  <c r="F34" i="8" s="1"/>
  <c r="E24" i="3" l="1"/>
  <c r="F40" i="8"/>
  <c r="F38" i="8"/>
  <c r="G34" i="8" s="1"/>
  <c r="E41" i="8"/>
  <c r="F41" i="8" s="1"/>
  <c r="E28" i="3" l="1"/>
  <c r="E30" i="3"/>
  <c r="G40" i="8"/>
  <c r="G38" i="8"/>
  <c r="H34" i="8" s="1"/>
  <c r="F24" i="3" l="1"/>
  <c r="H38" i="8"/>
  <c r="I34" i="8" s="1"/>
  <c r="H40" i="8"/>
  <c r="G41" i="8"/>
  <c r="F30" i="3" l="1"/>
  <c r="F28" i="3"/>
  <c r="I38" i="8"/>
  <c r="J34" i="8" s="1"/>
  <c r="I40" i="8"/>
  <c r="H41" i="8"/>
  <c r="G24" i="3" l="1"/>
  <c r="J38" i="8"/>
  <c r="K34" i="8" s="1"/>
  <c r="J40" i="8"/>
  <c r="I41" i="8"/>
  <c r="G30" i="3" l="1"/>
  <c r="G28" i="3"/>
  <c r="J41" i="8"/>
  <c r="K38" i="8"/>
  <c r="L34" i="8" s="1"/>
  <c r="K40" i="8"/>
  <c r="H24" i="3" l="1"/>
  <c r="L40" i="8"/>
  <c r="L38" i="8"/>
  <c r="M34" i="8" s="1"/>
  <c r="K41" i="8"/>
  <c r="L41" i="8" s="1"/>
  <c r="H30" i="3" l="1"/>
  <c r="H28" i="3"/>
  <c r="M40" i="8"/>
  <c r="M38" i="8"/>
  <c r="O40" i="8" l="1"/>
  <c r="N106" i="8" s="1"/>
  <c r="I24" i="3"/>
  <c r="M41" i="8"/>
  <c r="N107" i="8" l="1"/>
  <c r="I30" i="3"/>
  <c r="I28" i="3"/>
  <c r="J24" i="3" l="1"/>
  <c r="J28" i="3" l="1"/>
  <c r="J30" i="3"/>
  <c r="K24" i="3" l="1"/>
  <c r="K28" i="3" l="1"/>
  <c r="K30" i="3"/>
  <c r="L24" i="3" l="1"/>
  <c r="L28" i="3" l="1"/>
  <c r="L30" i="3"/>
  <c r="B38" i="7"/>
  <c r="C34" i="7" s="1"/>
  <c r="O35" i="7"/>
  <c r="C7" i="7"/>
  <c r="C6" i="7"/>
  <c r="C5" i="7"/>
  <c r="C4" i="7"/>
  <c r="M24" i="3" l="1"/>
  <c r="B40" i="7"/>
  <c r="C40" i="7"/>
  <c r="C38" i="7"/>
  <c r="D34" i="7" s="1"/>
  <c r="B41" i="7"/>
  <c r="M28" i="3" l="1"/>
  <c r="M30" i="3"/>
  <c r="C41" i="7"/>
  <c r="D40" i="7"/>
  <c r="D38" i="7"/>
  <c r="E34" i="7" s="1"/>
  <c r="O30" i="3" l="1"/>
  <c r="N69" i="3" s="1"/>
  <c r="N70" i="3" s="1"/>
  <c r="B24" i="4"/>
  <c r="E40" i="7"/>
  <c r="E38" i="7"/>
  <c r="F34" i="7" s="1"/>
  <c r="D41" i="7"/>
  <c r="B28" i="4" l="1"/>
  <c r="B30" i="4"/>
  <c r="E41" i="7"/>
  <c r="F38" i="7"/>
  <c r="G34" i="7" s="1"/>
  <c r="F40" i="7"/>
  <c r="C24" i="4" l="1"/>
  <c r="G38" i="7"/>
  <c r="H34" i="7" s="1"/>
  <c r="G40" i="7"/>
  <c r="F41" i="7"/>
  <c r="G41" i="7" s="1"/>
  <c r="C28" i="4" l="1"/>
  <c r="C30" i="4"/>
  <c r="H38" i="7"/>
  <c r="I34" i="7" s="1"/>
  <c r="H40" i="7"/>
  <c r="H41" i="7" s="1"/>
  <c r="D24" i="4" l="1"/>
  <c r="I40" i="7"/>
  <c r="I38" i="7"/>
  <c r="J34" i="7" s="1"/>
  <c r="D28" i="4" l="1"/>
  <c r="D30" i="4"/>
  <c r="I41" i="7"/>
  <c r="J40" i="7"/>
  <c r="J38" i="7"/>
  <c r="K34" i="7" s="1"/>
  <c r="E24" i="4" l="1"/>
  <c r="K40" i="7"/>
  <c r="K38" i="7"/>
  <c r="L34" i="7" s="1"/>
  <c r="J41" i="7"/>
  <c r="E30" i="4" l="1"/>
  <c r="E28" i="4"/>
  <c r="K41" i="7"/>
  <c r="L40" i="7"/>
  <c r="L38" i="7"/>
  <c r="M34" i="7" s="1"/>
  <c r="L41" i="7"/>
  <c r="F24" i="4" l="1"/>
  <c r="M38" i="7"/>
  <c r="M40" i="7"/>
  <c r="F30" i="4" l="1"/>
  <c r="F28" i="4"/>
  <c r="O40" i="7"/>
  <c r="M41" i="7"/>
  <c r="G24" i="4" l="1"/>
  <c r="G30" i="4" l="1"/>
  <c r="G28" i="4"/>
  <c r="H24" i="4" l="1"/>
  <c r="H30" i="4" l="1"/>
  <c r="H28" i="4"/>
  <c r="I24" i="4" l="1"/>
  <c r="I30" i="4" l="1"/>
  <c r="I28" i="4"/>
  <c r="J24" i="4" l="1"/>
  <c r="J28" i="4" l="1"/>
  <c r="J30" i="4"/>
  <c r="K24" i="4" l="1"/>
  <c r="O35" i="6"/>
  <c r="B34" i="6"/>
  <c r="B40" i="6" s="1"/>
  <c r="C7" i="6"/>
  <c r="C6" i="6"/>
  <c r="C5" i="6"/>
  <c r="C4" i="6"/>
  <c r="K28" i="4" l="1"/>
  <c r="K30" i="4"/>
  <c r="B41" i="6"/>
  <c r="B38" i="6"/>
  <c r="C34" i="6" s="1"/>
  <c r="L24" i="4" l="1"/>
  <c r="C40" i="6"/>
  <c r="C41" i="6" s="1"/>
  <c r="C38" i="6"/>
  <c r="D34" i="6" s="1"/>
  <c r="L28" i="4" l="1"/>
  <c r="L30" i="4"/>
  <c r="D38" i="6"/>
  <c r="E34" i="6" s="1"/>
  <c r="D40" i="6"/>
  <c r="M24" i="4" l="1"/>
  <c r="E38" i="6"/>
  <c r="F34" i="6" s="1"/>
  <c r="E40" i="6"/>
  <c r="D41" i="6"/>
  <c r="M28" i="4" l="1"/>
  <c r="M30" i="4"/>
  <c r="E41" i="6"/>
  <c r="F38" i="6"/>
  <c r="G34" i="6" s="1"/>
  <c r="F40" i="6"/>
  <c r="O30" i="4" l="1"/>
  <c r="N81" i="4" s="1"/>
  <c r="N82" i="4" s="1"/>
  <c r="B23" i="5"/>
  <c r="B27" i="5" s="1"/>
  <c r="C23" i="5" s="1"/>
  <c r="C27" i="5" s="1"/>
  <c r="D23" i="5" s="1"/>
  <c r="D27" i="5" s="1"/>
  <c r="E23" i="5" s="1"/>
  <c r="E27" i="5" s="1"/>
  <c r="F23" i="5" s="1"/>
  <c r="F27" i="5" s="1"/>
  <c r="G23" i="5" s="1"/>
  <c r="G27" i="5" s="1"/>
  <c r="H23" i="5" s="1"/>
  <c r="H27" i="5" s="1"/>
  <c r="I23" i="5" s="1"/>
  <c r="I27" i="5" s="1"/>
  <c r="J23" i="5" s="1"/>
  <c r="J27" i="5" s="1"/>
  <c r="K23" i="5" s="1"/>
  <c r="K27" i="5" s="1"/>
  <c r="L23" i="5" s="1"/>
  <c r="L27" i="5" s="1"/>
  <c r="M23" i="5" s="1"/>
  <c r="M27" i="5" s="1"/>
  <c r="B23" i="6" s="1"/>
  <c r="F41" i="6"/>
  <c r="G38" i="6"/>
  <c r="H34" i="6" s="1"/>
  <c r="G40" i="6"/>
  <c r="B29" i="6" l="1"/>
  <c r="B27" i="6"/>
  <c r="H40" i="6"/>
  <c r="H38" i="6"/>
  <c r="I34" i="6" s="1"/>
  <c r="G41" i="6"/>
  <c r="C23" i="6" l="1"/>
  <c r="I38" i="6"/>
  <c r="J34" i="6" s="1"/>
  <c r="I40" i="6"/>
  <c r="H41" i="6"/>
  <c r="C27" i="6" l="1"/>
  <c r="C29" i="6"/>
  <c r="J40" i="6"/>
  <c r="J38" i="6"/>
  <c r="K34" i="6" s="1"/>
  <c r="I41" i="6"/>
  <c r="D23" i="6" l="1"/>
  <c r="K40" i="6"/>
  <c r="K38" i="6"/>
  <c r="L34" i="6" s="1"/>
  <c r="J41" i="6"/>
  <c r="D27" i="6" l="1"/>
  <c r="D29" i="6"/>
  <c r="K41" i="6"/>
  <c r="L38" i="6"/>
  <c r="M34" i="6" s="1"/>
  <c r="L40" i="6"/>
  <c r="E23" i="6" l="1"/>
  <c r="M38" i="6"/>
  <c r="M40" i="6"/>
  <c r="L41" i="6"/>
  <c r="M41" i="6" s="1"/>
  <c r="E27" i="6" l="1"/>
  <c r="E29" i="6"/>
  <c r="O40" i="6"/>
  <c r="F23" i="6" l="1"/>
  <c r="F27" i="6" l="1"/>
  <c r="F29" i="6"/>
  <c r="G23" i="6" l="1"/>
  <c r="G29" i="6" l="1"/>
  <c r="G27" i="6"/>
  <c r="H23" i="6" l="1"/>
  <c r="H27" i="6" l="1"/>
  <c r="H29" i="6"/>
  <c r="O35" i="5"/>
  <c r="B34" i="5"/>
  <c r="B40" i="5" s="1"/>
  <c r="O24" i="5"/>
  <c r="C7" i="5"/>
  <c r="C6" i="5"/>
  <c r="C5" i="5"/>
  <c r="C4" i="5"/>
  <c r="I23" i="6" l="1"/>
  <c r="E29" i="5"/>
  <c r="F29" i="5"/>
  <c r="G29" i="5"/>
  <c r="B38" i="5"/>
  <c r="C34" i="5" s="1"/>
  <c r="C38" i="5" s="1"/>
  <c r="D34" i="5" s="1"/>
  <c r="B29" i="5"/>
  <c r="C29" i="5"/>
  <c r="D29" i="5"/>
  <c r="H29" i="5"/>
  <c r="I29" i="5"/>
  <c r="J29" i="5"/>
  <c r="K29" i="5"/>
  <c r="L29" i="5"/>
  <c r="M29" i="5"/>
  <c r="C40" i="5"/>
  <c r="B41" i="5"/>
  <c r="C41" i="5" s="1"/>
  <c r="I27" i="6" l="1"/>
  <c r="I29" i="6"/>
  <c r="D38" i="5"/>
  <c r="E34" i="5" s="1"/>
  <c r="D40" i="5"/>
  <c r="J23" i="6" l="1"/>
  <c r="D41" i="5"/>
  <c r="E38" i="5"/>
  <c r="F34" i="5" s="1"/>
  <c r="E40" i="5"/>
  <c r="J29" i="6" l="1"/>
  <c r="J27" i="6"/>
  <c r="E41" i="5"/>
  <c r="F38" i="5"/>
  <c r="F40" i="5"/>
  <c r="K23" i="6" l="1"/>
  <c r="G34" i="5"/>
  <c r="G40" i="5"/>
  <c r="G38" i="5"/>
  <c r="F41" i="5"/>
  <c r="K27" i="6" l="1"/>
  <c r="K29" i="6"/>
  <c r="H34" i="5"/>
  <c r="H40" i="5" s="1"/>
  <c r="G41" i="5"/>
  <c r="L23" i="6" l="1"/>
  <c r="H41" i="5"/>
  <c r="H38" i="5"/>
  <c r="L29" i="6" l="1"/>
  <c r="L27" i="6"/>
  <c r="I34" i="5"/>
  <c r="M23" i="6" l="1"/>
  <c r="I38" i="5"/>
  <c r="I40" i="5"/>
  <c r="M27" i="6" l="1"/>
  <c r="M29" i="6"/>
  <c r="J34" i="5"/>
  <c r="I41" i="5"/>
  <c r="O29" i="6" l="1"/>
  <c r="N89" i="6" s="1"/>
  <c r="N90" i="6" s="1"/>
  <c r="B23" i="7"/>
  <c r="J38" i="5"/>
  <c r="J40" i="5"/>
  <c r="B29" i="7" l="1"/>
  <c r="B27" i="7"/>
  <c r="J41" i="5"/>
  <c r="K34" i="5"/>
  <c r="O29" i="5"/>
  <c r="N88" i="5" s="1"/>
  <c r="N89" i="5" s="1"/>
  <c r="C23" i="7" l="1"/>
  <c r="K38" i="5"/>
  <c r="K40" i="5"/>
  <c r="K41" i="5"/>
  <c r="C27" i="7" l="1"/>
  <c r="C29" i="7"/>
  <c r="L34" i="5"/>
  <c r="D23" i="7" l="1"/>
  <c r="L38" i="5"/>
  <c r="L40" i="5"/>
  <c r="D27" i="7" l="1"/>
  <c r="D29" i="7"/>
  <c r="L41" i="5"/>
  <c r="M34" i="5"/>
  <c r="E23" i="7" l="1"/>
  <c r="M38" i="5"/>
  <c r="M40" i="5"/>
  <c r="M41" i="5"/>
  <c r="E27" i="7" l="1"/>
  <c r="E29" i="7"/>
  <c r="O40" i="5"/>
  <c r="F23" i="7" l="1"/>
  <c r="F27" i="7" l="1"/>
  <c r="F29" i="7"/>
  <c r="B39" i="4"/>
  <c r="C35" i="4" s="1"/>
  <c r="O36" i="4"/>
  <c r="B35" i="4"/>
  <c r="B41" i="4" s="1"/>
  <c r="C8" i="4"/>
  <c r="C7" i="4"/>
  <c r="C6" i="4"/>
  <c r="C5" i="4"/>
  <c r="C3" i="4"/>
  <c r="G23" i="7" l="1"/>
  <c r="C41" i="4"/>
  <c r="C39" i="4"/>
  <c r="D35" i="4" s="1"/>
  <c r="B42" i="4"/>
  <c r="C42" i="4" s="1"/>
  <c r="G27" i="7" l="1"/>
  <c r="G29" i="7"/>
  <c r="D41" i="4"/>
  <c r="D39" i="4"/>
  <c r="E35" i="4" s="1"/>
  <c r="H23" i="7" l="1"/>
  <c r="D42" i="4"/>
  <c r="E42" i="4" s="1"/>
  <c r="E41" i="4"/>
  <c r="E39" i="4"/>
  <c r="F35" i="4" s="1"/>
  <c r="H27" i="7" l="1"/>
  <c r="H29" i="7"/>
  <c r="F41" i="4"/>
  <c r="F42" i="4" s="1"/>
  <c r="F39" i="4"/>
  <c r="G35" i="4" s="1"/>
  <c r="I23" i="7" l="1"/>
  <c r="G39" i="4"/>
  <c r="H35" i="4" s="1"/>
  <c r="G41" i="4"/>
  <c r="G42" i="4" s="1"/>
  <c r="I27" i="7" l="1"/>
  <c r="I29" i="7"/>
  <c r="H39" i="4"/>
  <c r="I35" i="4" s="1"/>
  <c r="H41" i="4"/>
  <c r="H42" i="4" s="1"/>
  <c r="J23" i="7" l="1"/>
  <c r="I42" i="4"/>
  <c r="I39" i="4"/>
  <c r="J35" i="4" s="1"/>
  <c r="I41" i="4"/>
  <c r="J27" i="7" l="1"/>
  <c r="J29" i="7"/>
  <c r="J42" i="4"/>
  <c r="J39" i="4"/>
  <c r="K35" i="4" s="1"/>
  <c r="J41" i="4"/>
  <c r="K23" i="7" l="1"/>
  <c r="K41" i="4"/>
  <c r="K42" i="4" s="1"/>
  <c r="K39" i="4"/>
  <c r="L35" i="4" s="1"/>
  <c r="K29" i="7" l="1"/>
  <c r="K27" i="7"/>
  <c r="L41" i="4"/>
  <c r="L42" i="4" s="1"/>
  <c r="L39" i="4"/>
  <c r="M35" i="4" s="1"/>
  <c r="L23" i="7" l="1"/>
  <c r="M39" i="4"/>
  <c r="M41" i="4"/>
  <c r="O41" i="4" s="1"/>
  <c r="L29" i="7" l="1"/>
  <c r="L27" i="7"/>
  <c r="M42" i="4"/>
  <c r="M23" i="7" l="1"/>
  <c r="M29" i="7" l="1"/>
  <c r="M27" i="7"/>
  <c r="B41" i="3"/>
  <c r="B42" i="3" s="1"/>
  <c r="K36" i="3"/>
  <c r="O36" i="3" s="1"/>
  <c r="B39" i="3"/>
  <c r="C35" i="3" s="1"/>
  <c r="C8" i="3"/>
  <c r="C7" i="3"/>
  <c r="C6" i="3"/>
  <c r="C5" i="3"/>
  <c r="C3" i="3"/>
  <c r="B23" i="8" l="1"/>
  <c r="O29" i="7"/>
  <c r="N89" i="7" s="1"/>
  <c r="N90" i="7" s="1"/>
  <c r="C41" i="3"/>
  <c r="C42" i="3" s="1"/>
  <c r="C39" i="3"/>
  <c r="D35" i="3" s="1"/>
  <c r="B29" i="8" l="1"/>
  <c r="B27" i="8"/>
  <c r="D39" i="3"/>
  <c r="E35" i="3" s="1"/>
  <c r="D41" i="3"/>
  <c r="D42" i="3" s="1"/>
  <c r="C23" i="8" l="1"/>
  <c r="E41" i="3"/>
  <c r="E39" i="3"/>
  <c r="F35" i="3" s="1"/>
  <c r="C27" i="8" l="1"/>
  <c r="C29" i="8"/>
  <c r="F39" i="3"/>
  <c r="G35" i="3" s="1"/>
  <c r="F41" i="3"/>
  <c r="E42" i="3"/>
  <c r="F42" i="3" s="1"/>
  <c r="D23" i="8" l="1"/>
  <c r="G41" i="3"/>
  <c r="G39" i="3"/>
  <c r="H35" i="3" s="1"/>
  <c r="D27" i="8" l="1"/>
  <c r="D29" i="8"/>
  <c r="G42" i="3"/>
  <c r="H41" i="3"/>
  <c r="H39" i="3"/>
  <c r="I35" i="3" s="1"/>
  <c r="E23" i="8" l="1"/>
  <c r="H42" i="3"/>
  <c r="I39" i="3"/>
  <c r="J35" i="3" s="1"/>
  <c r="I41" i="3"/>
  <c r="I42" i="3" s="1"/>
  <c r="E29" i="8" l="1"/>
  <c r="E27" i="8"/>
  <c r="J39" i="3"/>
  <c r="K35" i="3" s="1"/>
  <c r="J41" i="3"/>
  <c r="J42" i="3" s="1"/>
  <c r="F23" i="8" l="1"/>
  <c r="K39" i="3"/>
  <c r="L35" i="3" s="1"/>
  <c r="K41" i="3"/>
  <c r="K42" i="3" s="1"/>
  <c r="F29" i="8" l="1"/>
  <c r="F27" i="8"/>
  <c r="L39" i="3"/>
  <c r="M35" i="3" s="1"/>
  <c r="L41" i="3"/>
  <c r="L42" i="3" s="1"/>
  <c r="G23" i="8" l="1"/>
  <c r="M41" i="3"/>
  <c r="O41" i="3" s="1"/>
  <c r="M39" i="3"/>
  <c r="G29" i="8" l="1"/>
  <c r="G27" i="8"/>
  <c r="M42" i="3"/>
  <c r="H23" i="8" l="1"/>
  <c r="H27" i="8" l="1"/>
  <c r="H29" i="8"/>
  <c r="B39" i="2"/>
  <c r="O36" i="2"/>
  <c r="C8" i="2"/>
  <c r="C7" i="2"/>
  <c r="C6" i="2"/>
  <c r="C5" i="2"/>
  <c r="C3" i="2"/>
  <c r="B28" i="2" s="1"/>
  <c r="C35" i="2" l="1"/>
  <c r="B44" i="2"/>
  <c r="L28" i="2"/>
  <c r="M28" i="2"/>
  <c r="C31" i="2"/>
  <c r="I28" i="2"/>
  <c r="J28" i="2"/>
  <c r="K28" i="2"/>
  <c r="I23" i="8"/>
  <c r="C28" i="2"/>
  <c r="C29" i="2" s="1"/>
  <c r="D28" i="2"/>
  <c r="E28" i="2"/>
  <c r="F28" i="2"/>
  <c r="G28" i="2"/>
  <c r="H28" i="2"/>
  <c r="B41" i="2"/>
  <c r="C41" i="2"/>
  <c r="C39" i="2"/>
  <c r="D35" i="2" s="1"/>
  <c r="D41" i="2" s="1"/>
  <c r="D29" i="2" l="1"/>
  <c r="I27" i="8"/>
  <c r="I29" i="8"/>
  <c r="O28" i="2"/>
  <c r="N61" i="2" s="1"/>
  <c r="N62" i="2" s="1"/>
  <c r="C42" i="2"/>
  <c r="D42" i="2" s="1"/>
  <c r="D39" i="2"/>
  <c r="E35" i="2" s="1"/>
  <c r="E41" i="2" s="1"/>
  <c r="C44" i="2" l="1"/>
  <c r="J23" i="8"/>
  <c r="D44" i="2"/>
  <c r="D31" i="2"/>
  <c r="E29" i="2"/>
  <c r="E42" i="2"/>
  <c r="E39" i="2"/>
  <c r="F35" i="2" s="1"/>
  <c r="F41" i="2" s="1"/>
  <c r="J29" i="8" l="1"/>
  <c r="J27" i="8"/>
  <c r="E44" i="2"/>
  <c r="F29" i="2"/>
  <c r="F31" i="2" s="1"/>
  <c r="F42" i="2"/>
  <c r="F39" i="2"/>
  <c r="G35" i="2" s="1"/>
  <c r="G41" i="2" s="1"/>
  <c r="K23" i="8" l="1"/>
  <c r="F44" i="2"/>
  <c r="G29" i="2"/>
  <c r="G31" i="2" s="1"/>
  <c r="G42" i="2"/>
  <c r="G39" i="2"/>
  <c r="H35" i="2" s="1"/>
  <c r="H41" i="2" s="1"/>
  <c r="G44" i="2" l="1"/>
  <c r="H29" i="2"/>
  <c r="H31" i="2" s="1"/>
  <c r="K29" i="8"/>
  <c r="K27" i="8"/>
  <c r="H42" i="2"/>
  <c r="H39" i="2"/>
  <c r="I35" i="2" s="1"/>
  <c r="I41" i="2" s="1"/>
  <c r="L23" i="8" l="1"/>
  <c r="H44" i="2"/>
  <c r="I29" i="2"/>
  <c r="I31" i="2" s="1"/>
  <c r="I42" i="2"/>
  <c r="I39" i="2"/>
  <c r="J35" i="2" s="1"/>
  <c r="J41" i="2" s="1"/>
  <c r="I44" i="2" l="1"/>
  <c r="J29" i="2"/>
  <c r="J31" i="2" s="1"/>
  <c r="L29" i="8"/>
  <c r="L27" i="8"/>
  <c r="J42" i="2"/>
  <c r="J39" i="2"/>
  <c r="K35" i="2" s="1"/>
  <c r="K41" i="2" s="1"/>
  <c r="M23" i="8" l="1"/>
  <c r="J44" i="2"/>
  <c r="K29" i="2"/>
  <c r="K31" i="2" s="1"/>
  <c r="K42" i="2"/>
  <c r="K39" i="2"/>
  <c r="L35" i="2" s="1"/>
  <c r="L41" i="2" s="1"/>
  <c r="K44" i="2" l="1"/>
  <c r="L29" i="2"/>
  <c r="L31" i="2" s="1"/>
  <c r="M29" i="8"/>
  <c r="M27" i="8"/>
  <c r="L42" i="2"/>
  <c r="L39" i="2"/>
  <c r="M35" i="2" s="1"/>
  <c r="M41" i="2" s="1"/>
  <c r="O41" i="2" s="1"/>
  <c r="N65" i="2" s="1"/>
  <c r="N66" i="2" s="1"/>
  <c r="O29" i="8" l="1"/>
  <c r="N102" i="8" s="1"/>
  <c r="B23" i="9"/>
  <c r="L44" i="2"/>
  <c r="M29" i="2"/>
  <c r="M42" i="2"/>
  <c r="M39" i="2"/>
  <c r="B31" i="3" l="1"/>
  <c r="M31" i="2"/>
  <c r="N103" i="8"/>
  <c r="M44" i="2"/>
  <c r="B29" i="9"/>
  <c r="B27" i="9"/>
  <c r="C23" i="9" s="1"/>
  <c r="B44" i="3" l="1"/>
  <c r="C31" i="3"/>
  <c r="C29" i="9"/>
  <c r="C27" i="9"/>
  <c r="C44" i="3" l="1"/>
  <c r="D31" i="3"/>
  <c r="D23" i="9"/>
  <c r="D44" i="3" l="1"/>
  <c r="E31" i="3"/>
  <c r="D29" i="9"/>
  <c r="D27" i="9"/>
  <c r="E44" i="3" l="1"/>
  <c r="F31" i="3"/>
  <c r="E23" i="9"/>
  <c r="F44" i="3" l="1"/>
  <c r="G31" i="3"/>
  <c r="E29" i="9"/>
  <c r="E27" i="9"/>
  <c r="G44" i="3" l="1"/>
  <c r="H31" i="3"/>
  <c r="F23" i="9"/>
  <c r="H44" i="3" l="1"/>
  <c r="I31" i="3"/>
  <c r="F27" i="9"/>
  <c r="F29" i="9"/>
  <c r="I44" i="3" l="1"/>
  <c r="J31" i="3"/>
  <c r="G23" i="9"/>
  <c r="J44" i="3" l="1"/>
  <c r="K31" i="3"/>
  <c r="G27" i="9"/>
  <c r="G29" i="9"/>
  <c r="K44" i="3" l="1"/>
  <c r="L31" i="3"/>
  <c r="H23" i="9"/>
  <c r="L44" i="3" l="1"/>
  <c r="M31" i="3"/>
  <c r="H27" i="9"/>
  <c r="H29" i="9"/>
  <c r="B31" i="4" l="1"/>
  <c r="M44" i="3"/>
  <c r="N46" i="3"/>
  <c r="I23" i="9"/>
  <c r="B55" i="4" l="1"/>
  <c r="C31" i="4"/>
  <c r="I29" i="9"/>
  <c r="I27" i="9"/>
  <c r="C55" i="4" l="1"/>
  <c r="D31" i="4"/>
  <c r="J23" i="9"/>
  <c r="D55" i="4" l="1"/>
  <c r="E31" i="4"/>
  <c r="J27" i="9"/>
  <c r="J29" i="9"/>
  <c r="E55" i="4" l="1"/>
  <c r="F31" i="4"/>
  <c r="K23" i="9"/>
  <c r="F55" i="4" l="1"/>
  <c r="G31" i="4"/>
  <c r="K29" i="9"/>
  <c r="K27" i="9"/>
  <c r="G55" i="4" l="1"/>
  <c r="H31" i="4"/>
  <c r="L23" i="9"/>
  <c r="H55" i="4" l="1"/>
  <c r="I31" i="4"/>
  <c r="L27" i="9"/>
  <c r="L29" i="9"/>
  <c r="I55" i="4" l="1"/>
  <c r="J31" i="4"/>
  <c r="M23" i="9"/>
  <c r="J55" i="4" l="1"/>
  <c r="K31" i="4"/>
  <c r="M27" i="9"/>
  <c r="M29" i="9"/>
  <c r="K55" i="4" l="1"/>
  <c r="L31" i="4"/>
  <c r="O29" i="9"/>
  <c r="N100" i="9" s="1"/>
  <c r="N101" i="9" s="1"/>
  <c r="L55" i="4" l="1"/>
  <c r="M31" i="4"/>
  <c r="B30" i="5" l="1"/>
  <c r="M55" i="4"/>
  <c r="N57" i="4"/>
  <c r="C30" i="5" l="1"/>
  <c r="B54" i="5"/>
  <c r="D30" i="5" l="1"/>
  <c r="C54" i="5"/>
  <c r="E30" i="5" l="1"/>
  <c r="D54" i="5"/>
  <c r="F30" i="5" l="1"/>
  <c r="E54" i="5"/>
  <c r="G30" i="5" l="1"/>
  <c r="F54" i="5"/>
  <c r="H30" i="5" l="1"/>
  <c r="G54" i="5"/>
  <c r="I30" i="5" l="1"/>
  <c r="H54" i="5"/>
  <c r="J30" i="5" l="1"/>
  <c r="I54" i="5"/>
  <c r="K30" i="5" l="1"/>
  <c r="J54" i="5"/>
  <c r="L30" i="5" l="1"/>
  <c r="K54" i="5"/>
  <c r="M30" i="5" l="1"/>
  <c r="L54" i="5"/>
  <c r="B30" i="6" l="1"/>
  <c r="M54" i="5"/>
  <c r="N56" i="5"/>
  <c r="B54" i="6" l="1"/>
  <c r="C30" i="6"/>
  <c r="C54" i="6" l="1"/>
  <c r="D30" i="6"/>
  <c r="D54" i="6" l="1"/>
  <c r="E30" i="6"/>
  <c r="E54" i="6" l="1"/>
  <c r="F30" i="6"/>
  <c r="F54" i="6" l="1"/>
  <c r="G30" i="6"/>
  <c r="G54" i="6" l="1"/>
  <c r="H30" i="6"/>
  <c r="H54" i="6" l="1"/>
  <c r="I30" i="6"/>
  <c r="I54" i="6" l="1"/>
  <c r="J30" i="6"/>
  <c r="J54" i="6" l="1"/>
  <c r="K30" i="6"/>
  <c r="K54" i="6" l="1"/>
  <c r="L30" i="6"/>
  <c r="L54" i="6" l="1"/>
  <c r="M30" i="6"/>
  <c r="B30" i="7" l="1"/>
  <c r="M54" i="6"/>
  <c r="N56" i="6"/>
  <c r="B54" i="7" l="1"/>
  <c r="C30" i="7"/>
  <c r="C54" i="7" l="1"/>
  <c r="D30" i="7"/>
  <c r="D54" i="7" l="1"/>
  <c r="E30" i="7"/>
  <c r="E54" i="7" l="1"/>
  <c r="F30" i="7"/>
  <c r="F54" i="7" l="1"/>
  <c r="G30" i="7"/>
  <c r="G54" i="7" l="1"/>
  <c r="H30" i="7"/>
  <c r="H54" i="7" l="1"/>
  <c r="I30" i="7"/>
  <c r="I54" i="7" l="1"/>
  <c r="J30" i="7"/>
  <c r="J54" i="7" l="1"/>
  <c r="K30" i="7"/>
  <c r="K54" i="7" l="1"/>
  <c r="L30" i="7"/>
  <c r="L54" i="7" l="1"/>
  <c r="M30" i="7"/>
  <c r="M54" i="7" l="1"/>
  <c r="B30" i="8"/>
  <c r="B65" i="8" l="1"/>
  <c r="C30" i="8"/>
  <c r="C65" i="8" l="1"/>
  <c r="D30" i="8"/>
  <c r="D65" i="8" l="1"/>
  <c r="E30" i="8"/>
  <c r="E65" i="8" l="1"/>
  <c r="F30" i="8"/>
  <c r="F65" i="8" l="1"/>
  <c r="G30" i="8"/>
  <c r="G65" i="8" l="1"/>
  <c r="H30" i="8"/>
  <c r="H65" i="8" l="1"/>
  <c r="I30" i="8"/>
  <c r="J30" i="8" l="1"/>
  <c r="I65" i="8"/>
  <c r="J65" i="8" l="1"/>
  <c r="K30" i="8"/>
  <c r="K65" i="8" l="1"/>
  <c r="L30" i="8"/>
  <c r="L65" i="8" l="1"/>
  <c r="M30" i="8"/>
  <c r="M65" i="8" l="1"/>
  <c r="B30" i="9"/>
  <c r="C30" i="9" s="1"/>
  <c r="D30" i="9" s="1"/>
  <c r="E30" i="9" s="1"/>
  <c r="F30" i="9" s="1"/>
  <c r="G30" i="9" s="1"/>
  <c r="H30" i="9" s="1"/>
  <c r="I30" i="9" s="1"/>
  <c r="J30" i="9" s="1"/>
  <c r="K30" i="9" s="1"/>
  <c r="L30" i="9" s="1"/>
  <c r="M30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jlavigne</author>
  </authors>
  <commentList>
    <comment ref="B14" authorId="0" shapeId="0" xr:uid="{A03C55A6-E387-435F-832E-3A43B75B0DB9}">
      <text>
        <r>
          <rPr>
            <b/>
            <sz val="8"/>
            <color indexed="81"/>
            <rFont val="Tahoma"/>
            <family val="2"/>
          </rPr>
          <t>jlavigne:</t>
        </r>
        <r>
          <rPr>
            <sz val="8"/>
            <color indexed="81"/>
            <rFont val="Tahoma"/>
            <family val="2"/>
          </rPr>
          <t xml:space="preserve">
Confrim this amount in GP , GL 10-000-15080-08-000</t>
        </r>
      </text>
    </comment>
    <comment ref="B23" authorId="0" shapeId="0" xr:uid="{DAC2D922-1637-48EF-AE8A-2195AB3C7743}">
      <text>
        <r>
          <rPr>
            <b/>
            <sz val="8"/>
            <color indexed="81"/>
            <rFont val="Tahoma"/>
            <family val="2"/>
          </rPr>
          <t>jlavigne:</t>
        </r>
        <r>
          <rPr>
            <sz val="8"/>
            <color indexed="81"/>
            <rFont val="Tahoma"/>
            <family val="2"/>
          </rPr>
          <t xml:space="preserve">
Confrim this amount in GP , GL 10-000-15080-08-000</t>
        </r>
      </text>
    </comment>
    <comment ref="B29" authorId="0" shapeId="0" xr:uid="{F9CB0333-F47E-450C-9A81-5393F3986C47}">
      <text>
        <r>
          <rPr>
            <b/>
            <sz val="9"/>
            <color indexed="81"/>
            <rFont val="Tahoma"/>
            <family val="2"/>
          </rPr>
          <t>jlavigne:</t>
        </r>
        <r>
          <rPr>
            <sz val="9"/>
            <color indexed="81"/>
            <rFont val="Tahoma"/>
            <family val="2"/>
          </rPr>
          <t xml:space="preserve">
Januarys 2011 Ending Balance of Acum Interest carrier forward </t>
        </r>
      </text>
    </comment>
    <comment ref="B36" authorId="0" shapeId="0" xr:uid="{2BDFE109-0FD5-4F51-B05C-F41C996218CE}">
      <text>
        <r>
          <rPr>
            <b/>
            <sz val="8"/>
            <color indexed="81"/>
            <rFont val="Tahoma"/>
            <family val="2"/>
          </rPr>
          <t>jlavigne:</t>
        </r>
        <r>
          <rPr>
            <sz val="8"/>
            <color indexed="81"/>
            <rFont val="Tahoma"/>
            <family val="2"/>
          </rPr>
          <t xml:space="preserve">
Confrim this amount in GP , GL 10-000-15080-08-000</t>
        </r>
      </text>
    </comment>
    <comment ref="B42" authorId="0" shapeId="0" xr:uid="{B1DA7842-6E4F-4E32-B035-6BABDA2765D4}">
      <text>
        <r>
          <rPr>
            <b/>
            <sz val="9"/>
            <color indexed="81"/>
            <rFont val="Tahoma"/>
            <family val="2"/>
          </rPr>
          <t>jlavigne:</t>
        </r>
        <r>
          <rPr>
            <sz val="9"/>
            <color indexed="81"/>
            <rFont val="Tahoma"/>
            <family val="2"/>
          </rPr>
          <t xml:space="preserve">
Januarys 2011 Ending Balance of Acum Interest carrier forward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jlavigne</author>
  </authors>
  <commentList>
    <comment ref="B14" authorId="0" shapeId="0" xr:uid="{FA21BE29-82E0-4E09-B5F6-6652123FAD8A}">
      <text>
        <r>
          <rPr>
            <b/>
            <sz val="8"/>
            <color indexed="81"/>
            <rFont val="Tahoma"/>
            <family val="2"/>
          </rPr>
          <t>jlavigne:</t>
        </r>
        <r>
          <rPr>
            <sz val="8"/>
            <color indexed="81"/>
            <rFont val="Tahoma"/>
            <family val="2"/>
          </rPr>
          <t xml:space="preserve">
Confrim this amount in GP , GL 10-000-15080-08-000</t>
        </r>
      </text>
    </comment>
    <comment ref="B20" authorId="0" shapeId="0" xr:uid="{18404CFB-21D3-4D26-A42B-EAA41B5C7A27}">
      <text>
        <r>
          <rPr>
            <b/>
            <sz val="9"/>
            <color indexed="81"/>
            <rFont val="Tahoma"/>
            <family val="2"/>
          </rPr>
          <t>jlavigne:</t>
        </r>
        <r>
          <rPr>
            <sz val="9"/>
            <color indexed="81"/>
            <rFont val="Tahoma"/>
            <family val="2"/>
          </rPr>
          <t xml:space="preserve">
Januarys 2011 Ending Balance of Acum Interest carrier forward </t>
        </r>
      </text>
    </comment>
    <comment ref="B25" authorId="0" shapeId="0" xr:uid="{0DD58177-C6B3-4F60-A3CD-B776B2F4347A}">
      <text>
        <r>
          <rPr>
            <b/>
            <sz val="8"/>
            <color indexed="81"/>
            <rFont val="Tahoma"/>
            <family val="2"/>
          </rPr>
          <t>jlavigne:</t>
        </r>
        <r>
          <rPr>
            <sz val="8"/>
            <color indexed="81"/>
            <rFont val="Tahoma"/>
            <family val="2"/>
          </rPr>
          <t xml:space="preserve">
Confrim this amount in GP , GL 10-000-15080-08-000</t>
        </r>
      </text>
    </comment>
    <comment ref="B31" authorId="0" shapeId="0" xr:uid="{4BB4452B-DF75-4ABF-BEB0-17E920512E46}">
      <text>
        <r>
          <rPr>
            <b/>
            <sz val="9"/>
            <color indexed="81"/>
            <rFont val="Tahoma"/>
            <family val="2"/>
          </rPr>
          <t>jlavigne:</t>
        </r>
        <r>
          <rPr>
            <sz val="9"/>
            <color indexed="81"/>
            <rFont val="Tahoma"/>
            <family val="2"/>
          </rPr>
          <t xml:space="preserve">
Januarys 2011 Ending Balance of Acum Interest carrier forward </t>
        </r>
      </text>
    </comment>
    <comment ref="B36" authorId="0" shapeId="0" xr:uid="{B3A371F1-1E8E-4968-9615-2D01A8DAFF7F}">
      <text>
        <r>
          <rPr>
            <b/>
            <sz val="8"/>
            <color indexed="81"/>
            <rFont val="Tahoma"/>
            <family val="2"/>
          </rPr>
          <t>jlavigne:</t>
        </r>
        <r>
          <rPr>
            <sz val="8"/>
            <color indexed="81"/>
            <rFont val="Tahoma"/>
            <family val="2"/>
          </rPr>
          <t xml:space="preserve">
Confrim this amount in GP , GL 10-000-15080-08-000</t>
        </r>
      </text>
    </comment>
    <comment ref="B42" authorId="0" shapeId="0" xr:uid="{175E3DFB-F8CF-4667-9D45-50654DC8BC03}">
      <text>
        <r>
          <rPr>
            <b/>
            <sz val="9"/>
            <color indexed="81"/>
            <rFont val="Tahoma"/>
            <family val="2"/>
          </rPr>
          <t>jlavigne:</t>
        </r>
        <r>
          <rPr>
            <sz val="9"/>
            <color indexed="81"/>
            <rFont val="Tahoma"/>
            <family val="2"/>
          </rPr>
          <t xml:space="preserve">
Januarys 2011 Ending Balance of Acum Interest carrier forward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jlavigne</author>
  </authors>
  <commentList>
    <comment ref="B14" authorId="0" shapeId="0" xr:uid="{EDB1EFF7-DAED-45C1-9556-BD82C631256E}">
      <text>
        <r>
          <rPr>
            <b/>
            <sz val="8"/>
            <color indexed="81"/>
            <rFont val="Tahoma"/>
            <family val="2"/>
          </rPr>
          <t>jlavigne:</t>
        </r>
        <r>
          <rPr>
            <sz val="8"/>
            <color indexed="81"/>
            <rFont val="Tahoma"/>
            <family val="2"/>
          </rPr>
          <t xml:space="preserve">
Confrim this amount in GP , GL 10-000-15080-08-000</t>
        </r>
      </text>
    </comment>
    <comment ref="B25" authorId="0" shapeId="0" xr:uid="{D3CF337D-0DEC-4D76-95C2-3CFC6581CF41}">
      <text>
        <r>
          <rPr>
            <b/>
            <sz val="8"/>
            <color indexed="81"/>
            <rFont val="Tahoma"/>
            <family val="2"/>
          </rPr>
          <t>jlavigne:</t>
        </r>
        <r>
          <rPr>
            <sz val="8"/>
            <color indexed="81"/>
            <rFont val="Tahoma"/>
            <family val="2"/>
          </rPr>
          <t xml:space="preserve">
Confrim this amount in GP , GL 10-000-15080-08-000</t>
        </r>
      </text>
    </comment>
    <comment ref="B31" authorId="0" shapeId="0" xr:uid="{7C3ECB13-27C9-484C-AE5C-E84288075F74}">
      <text>
        <r>
          <rPr>
            <b/>
            <sz val="9"/>
            <color indexed="81"/>
            <rFont val="Tahoma"/>
            <family val="2"/>
          </rPr>
          <t>jlavigne:</t>
        </r>
        <r>
          <rPr>
            <sz val="9"/>
            <color indexed="81"/>
            <rFont val="Tahoma"/>
            <family val="2"/>
          </rPr>
          <t xml:space="preserve">
Januarys 2011 Ending Balance of Acum Interest carrier forward </t>
        </r>
      </text>
    </comment>
    <comment ref="B36" authorId="0" shapeId="0" xr:uid="{6E35463D-5362-422E-AAAD-11AEDCF5B247}">
      <text>
        <r>
          <rPr>
            <b/>
            <sz val="8"/>
            <color indexed="81"/>
            <rFont val="Tahoma"/>
            <family val="2"/>
          </rPr>
          <t>jlavigne:</t>
        </r>
        <r>
          <rPr>
            <sz val="8"/>
            <color indexed="81"/>
            <rFont val="Tahoma"/>
            <family val="2"/>
          </rPr>
          <t xml:space="preserve">
Confrim this amount in GP , GL 10-000-15080-08-000</t>
        </r>
      </text>
    </comment>
    <comment ref="B42" authorId="0" shapeId="0" xr:uid="{22202030-98DA-4C07-822B-68C00F50F80A}">
      <text>
        <r>
          <rPr>
            <b/>
            <sz val="9"/>
            <color indexed="81"/>
            <rFont val="Tahoma"/>
            <family val="2"/>
          </rPr>
          <t>jlavigne:</t>
        </r>
        <r>
          <rPr>
            <sz val="9"/>
            <color indexed="81"/>
            <rFont val="Tahoma"/>
            <family val="2"/>
          </rPr>
          <t xml:space="preserve">
Januarys 2011 Ending Balance of Acum Interest carrier forward </t>
        </r>
      </text>
    </comment>
    <comment ref="B47" authorId="0" shapeId="0" xr:uid="{BF68A581-6FAA-4308-AAEA-61FFD08187DC}">
      <text>
        <r>
          <rPr>
            <b/>
            <sz val="8"/>
            <color indexed="81"/>
            <rFont val="Tahoma"/>
            <family val="2"/>
          </rPr>
          <t>jlavigne:</t>
        </r>
        <r>
          <rPr>
            <sz val="8"/>
            <color indexed="81"/>
            <rFont val="Tahoma"/>
            <family val="2"/>
          </rPr>
          <t xml:space="preserve">
Confrim this amount in GP , GL 10-000-15080-08-000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jlavigne</author>
  </authors>
  <commentList>
    <comment ref="B13" authorId="0" shapeId="0" xr:uid="{CB7D1D11-2982-4162-A9CB-EE5BC42C3423}">
      <text>
        <r>
          <rPr>
            <b/>
            <sz val="8"/>
            <color indexed="81"/>
            <rFont val="Tahoma"/>
            <family val="2"/>
          </rPr>
          <t>jlavigne:</t>
        </r>
        <r>
          <rPr>
            <sz val="8"/>
            <color indexed="81"/>
            <rFont val="Tahoma"/>
            <family val="2"/>
          </rPr>
          <t xml:space="preserve">
Confrim this amount in GP , GL 10-000-15080-08-000</t>
        </r>
      </text>
    </comment>
    <comment ref="B24" authorId="0" shapeId="0" xr:uid="{6C346D6C-041A-41F2-BC74-5DDE1BE0CA5C}">
      <text>
        <r>
          <rPr>
            <b/>
            <sz val="8"/>
            <color indexed="81"/>
            <rFont val="Tahoma"/>
            <family val="2"/>
          </rPr>
          <t>jlavigne:</t>
        </r>
        <r>
          <rPr>
            <sz val="8"/>
            <color indexed="81"/>
            <rFont val="Tahoma"/>
            <family val="2"/>
          </rPr>
          <t xml:space="preserve">
Confrim this amount in GP , GL 10-000-15080-08-000</t>
        </r>
      </text>
    </comment>
    <comment ref="B30" authorId="0" shapeId="0" xr:uid="{2390B5F6-8D58-45E2-999B-CD3E202C3DB1}">
      <text>
        <r>
          <rPr>
            <b/>
            <sz val="9"/>
            <color indexed="81"/>
            <rFont val="Tahoma"/>
            <family val="2"/>
          </rPr>
          <t>jlavigne:</t>
        </r>
        <r>
          <rPr>
            <sz val="9"/>
            <color indexed="81"/>
            <rFont val="Tahoma"/>
            <family val="2"/>
          </rPr>
          <t xml:space="preserve">
Januarys 2011 Ending Balance of Acum Interest carrier forward </t>
        </r>
      </text>
    </comment>
    <comment ref="B35" authorId="0" shapeId="0" xr:uid="{B48B4B82-15A8-4387-9711-01560FB27F93}">
      <text>
        <r>
          <rPr>
            <b/>
            <sz val="8"/>
            <color indexed="81"/>
            <rFont val="Tahoma"/>
            <family val="2"/>
          </rPr>
          <t>jlavigne:</t>
        </r>
        <r>
          <rPr>
            <sz val="8"/>
            <color indexed="81"/>
            <rFont val="Tahoma"/>
            <family val="2"/>
          </rPr>
          <t xml:space="preserve">
Confrim this amount in GP , GL 10-000-15080-08-000</t>
        </r>
      </text>
    </comment>
    <comment ref="B41" authorId="0" shapeId="0" xr:uid="{414463E6-22A3-4C72-86A5-251502D589E2}">
      <text>
        <r>
          <rPr>
            <b/>
            <sz val="9"/>
            <color indexed="81"/>
            <rFont val="Tahoma"/>
            <family val="2"/>
          </rPr>
          <t>jlavigne:</t>
        </r>
        <r>
          <rPr>
            <sz val="9"/>
            <color indexed="81"/>
            <rFont val="Tahoma"/>
            <family val="2"/>
          </rPr>
          <t xml:space="preserve">
Januarys 2011 Ending Balance of Acum Interest carrier forward </t>
        </r>
      </text>
    </comment>
    <comment ref="B46" authorId="0" shapeId="0" xr:uid="{10B5B949-D835-46E5-A8BA-2FB7EE80F7E4}">
      <text>
        <r>
          <rPr>
            <b/>
            <sz val="8"/>
            <color indexed="81"/>
            <rFont val="Tahoma"/>
            <family val="2"/>
          </rPr>
          <t>jlavigne:</t>
        </r>
        <r>
          <rPr>
            <sz val="8"/>
            <color indexed="81"/>
            <rFont val="Tahoma"/>
            <family val="2"/>
          </rPr>
          <t xml:space="preserve">
Confrim this amount in GP , GL 10-000-15080-08-000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jlavigne</author>
    <author>tc={F72D73ED-EAAC-488E-86CB-1EBD79A85DAC}</author>
  </authors>
  <commentList>
    <comment ref="B13" authorId="0" shapeId="0" xr:uid="{4DCEC728-1894-4852-9D28-D627E68E890E}">
      <text>
        <r>
          <rPr>
            <b/>
            <sz val="8"/>
            <color indexed="81"/>
            <rFont val="Tahoma"/>
            <family val="2"/>
          </rPr>
          <t>jlavigne:</t>
        </r>
        <r>
          <rPr>
            <sz val="8"/>
            <color indexed="81"/>
            <rFont val="Tahoma"/>
            <family val="2"/>
          </rPr>
          <t xml:space="preserve">
Confrim this amount in GP , GL 10-000-15080-08-000</t>
        </r>
      </text>
    </comment>
    <comment ref="B24" authorId="0" shapeId="0" xr:uid="{5841C731-E094-45D0-B10B-9AF075F0F4F0}">
      <text>
        <r>
          <rPr>
            <b/>
            <sz val="8"/>
            <color indexed="81"/>
            <rFont val="Tahoma"/>
            <family val="2"/>
          </rPr>
          <t>jlavigne:</t>
        </r>
        <r>
          <rPr>
            <sz val="8"/>
            <color indexed="81"/>
            <rFont val="Tahoma"/>
            <family val="2"/>
          </rPr>
          <t xml:space="preserve">
Confrim this amount in GP , GL 10-000-15080-08-000</t>
        </r>
      </text>
    </comment>
    <comment ref="B30" authorId="0" shapeId="0" xr:uid="{AEAB1513-E4A0-4C70-8A88-EB13CF4CE0E5}">
      <text>
        <r>
          <rPr>
            <b/>
            <sz val="9"/>
            <color indexed="81"/>
            <rFont val="Tahoma"/>
            <family val="2"/>
          </rPr>
          <t>jlavigne:</t>
        </r>
        <r>
          <rPr>
            <sz val="9"/>
            <color indexed="81"/>
            <rFont val="Tahoma"/>
            <family val="2"/>
          </rPr>
          <t xml:space="preserve">
Januarys 2011 Ending Balance of Acum Interest carrier forward </t>
        </r>
      </text>
    </comment>
    <comment ref="B35" authorId="0" shapeId="0" xr:uid="{1C08F4F4-EAC5-400B-A182-C2FEC14D79CB}">
      <text>
        <r>
          <rPr>
            <b/>
            <sz val="8"/>
            <color indexed="81"/>
            <rFont val="Tahoma"/>
            <family val="2"/>
          </rPr>
          <t>jlavigne:</t>
        </r>
        <r>
          <rPr>
            <sz val="8"/>
            <color indexed="81"/>
            <rFont val="Tahoma"/>
            <family val="2"/>
          </rPr>
          <t xml:space="preserve">
Confrim this amount in GP , GL 10-000-15080-08-000</t>
        </r>
      </text>
    </comment>
    <comment ref="B41" authorId="0" shapeId="0" xr:uid="{F8C27330-FB64-4CFD-9ECD-74176788A991}">
      <text>
        <r>
          <rPr>
            <b/>
            <sz val="9"/>
            <color indexed="81"/>
            <rFont val="Tahoma"/>
            <family val="2"/>
          </rPr>
          <t>jlavigne:</t>
        </r>
        <r>
          <rPr>
            <sz val="9"/>
            <color indexed="81"/>
            <rFont val="Tahoma"/>
            <family val="2"/>
          </rPr>
          <t xml:space="preserve">
Januarys 2011 Ending Balance of Acum Interest carrier forward </t>
        </r>
      </text>
    </comment>
    <comment ref="B43" authorId="1" shapeId="0" xr:uid="{F72D73ED-EAAC-488E-86CB-1EBD79A85DAC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Pole bills tab should be populated, and the new expense amount should be linked to the new year.  Journalize the whole difference in January.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jlavigne</author>
    <author>tc={CFE3D5CD-216C-4C7A-BCA5-DDBE454F584C}</author>
    <author>tc={3816F7E3-A7C3-493E-B13B-6B70EC431AEE}</author>
    <author>Ami Bhatt</author>
  </authors>
  <commentList>
    <comment ref="B13" authorId="0" shapeId="0" xr:uid="{6A4AC950-9A8D-4830-B196-30214B543B6E}">
      <text>
        <r>
          <rPr>
            <b/>
            <sz val="8"/>
            <color indexed="81"/>
            <rFont val="Tahoma"/>
            <family val="2"/>
          </rPr>
          <t>jlavigne:</t>
        </r>
        <r>
          <rPr>
            <sz val="8"/>
            <color indexed="81"/>
            <rFont val="Tahoma"/>
            <family val="2"/>
          </rPr>
          <t xml:space="preserve">
Confrim this amount in GP , GL 10-000-15080-08-000</t>
        </r>
      </text>
    </comment>
    <comment ref="B24" authorId="0" shapeId="0" xr:uid="{5EABF501-F49F-4F47-B62A-11E2210289D2}">
      <text>
        <r>
          <rPr>
            <b/>
            <sz val="8"/>
            <color indexed="81"/>
            <rFont val="Tahoma"/>
            <family val="2"/>
          </rPr>
          <t>jlavigne:</t>
        </r>
        <r>
          <rPr>
            <sz val="8"/>
            <color indexed="81"/>
            <rFont val="Tahoma"/>
            <family val="2"/>
          </rPr>
          <t xml:space="preserve">
Confrim this amount in GP , GL 10-000-15080-08-000</t>
        </r>
      </text>
    </comment>
    <comment ref="B30" authorId="0" shapeId="0" xr:uid="{39E43337-D8ED-463C-9F63-0E031C56AB47}">
      <text>
        <r>
          <rPr>
            <b/>
            <sz val="9"/>
            <color indexed="81"/>
            <rFont val="Tahoma"/>
            <family val="2"/>
          </rPr>
          <t>jlavigne:</t>
        </r>
        <r>
          <rPr>
            <sz val="9"/>
            <color indexed="81"/>
            <rFont val="Tahoma"/>
            <family val="2"/>
          </rPr>
          <t xml:space="preserve">
Januarys 2011 Ending Balance of Acum Interest carrier forward </t>
        </r>
      </text>
    </comment>
    <comment ref="B35" authorId="0" shapeId="0" xr:uid="{B45099A7-9B0D-459B-A679-D514A96CDFAD}">
      <text>
        <r>
          <rPr>
            <b/>
            <sz val="8"/>
            <color indexed="81"/>
            <rFont val="Tahoma"/>
            <family val="2"/>
          </rPr>
          <t>jlavigne:</t>
        </r>
        <r>
          <rPr>
            <sz val="8"/>
            <color indexed="81"/>
            <rFont val="Tahoma"/>
            <family val="2"/>
          </rPr>
          <t xml:space="preserve">
Confrim this amount in GP , GL 10-000-15080-08-000</t>
        </r>
      </text>
    </comment>
    <comment ref="B41" authorId="0" shapeId="0" xr:uid="{21839108-519A-4942-A4A4-A95949117F86}">
      <text>
        <r>
          <rPr>
            <b/>
            <sz val="9"/>
            <color indexed="81"/>
            <rFont val="Tahoma"/>
            <family val="2"/>
          </rPr>
          <t>jlavigne:</t>
        </r>
        <r>
          <rPr>
            <sz val="9"/>
            <color indexed="81"/>
            <rFont val="Tahoma"/>
            <family val="2"/>
          </rPr>
          <t xml:space="preserve">
Januarys 2011 Ending Balance of Acum Interest carrier forward </t>
        </r>
      </text>
    </comment>
    <comment ref="B43" authorId="1" shapeId="0" xr:uid="{CFE3D5CD-216C-4C7A-BCA5-DDBE454F584C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Pole bills tab should be populated, and the new expense amount should be linked to the new year.  Journalize the whole difference in January.</t>
      </text>
    </comment>
    <comment ref="B46" authorId="2" shapeId="0" xr:uid="{3816F7E3-A7C3-493E-B13B-6B70EC431AEE}">
      <text>
        <t>[Threaded comment]
Your version of Excel allows you to read this threaded comment; however, any edits to it will get removed if the file is opened in a newer version of Excel. Learn more: https://go.microsoft.com/fwlink/?linkid=870924
Comment:
    Run a TB of 42210 and fill out tab "Pole bills".  The entry will be to debit 15080-00-002 and credit 10-999-42110-00-000</t>
      </text>
    </comment>
    <comment ref="H57" authorId="3" shapeId="0" xr:uid="{C85A42C8-E92D-42BF-9C7C-32B7DE65E4DA}">
      <text>
        <r>
          <rPr>
            <b/>
            <sz val="9"/>
            <color indexed="81"/>
            <rFont val="Tahoma"/>
            <family val="2"/>
          </rPr>
          <t>Ami Bhatt:</t>
        </r>
        <r>
          <rPr>
            <sz val="9"/>
            <color indexed="81"/>
            <rFont val="Tahoma"/>
            <family val="2"/>
          </rPr>
          <t xml:space="preserve">
This diff should match YTD July Pole Bills in row 46</t>
        </r>
      </text>
    </comment>
    <comment ref="H69" authorId="3" shapeId="0" xr:uid="{3B539F4D-5885-455C-AD14-47908AAB7F2B}">
      <text>
        <r>
          <rPr>
            <b/>
            <sz val="9"/>
            <color indexed="81"/>
            <rFont val="Tahoma"/>
            <family val="2"/>
          </rPr>
          <t>Ami Bhatt:</t>
        </r>
        <r>
          <rPr>
            <sz val="9"/>
            <color indexed="81"/>
            <rFont val="Tahoma"/>
            <family val="2"/>
          </rPr>
          <t xml:space="preserve">
Incl Diff in Interest YTD July $26.90 due to addition of Pole Bills (JE 35635)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jlavigne</author>
    <author>tc={21B79C44-C484-4F13-98E7-7FB3EF653B60}</author>
    <author>tc={8CA4F106-19F7-4191-905B-E68199C39114}</author>
    <author>Ami Bhatt</author>
  </authors>
  <commentList>
    <comment ref="B24" authorId="0" shapeId="0" xr:uid="{8950DC9F-9031-4638-A9D4-0CC19A5B3D2B}">
      <text>
        <r>
          <rPr>
            <b/>
            <sz val="8"/>
            <color indexed="81"/>
            <rFont val="Tahoma"/>
            <family val="2"/>
          </rPr>
          <t>jlavigne:</t>
        </r>
        <r>
          <rPr>
            <sz val="8"/>
            <color indexed="81"/>
            <rFont val="Tahoma"/>
            <family val="2"/>
          </rPr>
          <t xml:space="preserve">
Confrim this amount in GP , GL 10-000-15080-08-000</t>
        </r>
      </text>
    </comment>
    <comment ref="B30" authorId="0" shapeId="0" xr:uid="{3C655499-A785-4E0A-9074-8D9CA24291C5}">
      <text>
        <r>
          <rPr>
            <b/>
            <sz val="9"/>
            <color indexed="81"/>
            <rFont val="Tahoma"/>
            <family val="2"/>
          </rPr>
          <t>jlavigne:</t>
        </r>
        <r>
          <rPr>
            <sz val="9"/>
            <color indexed="81"/>
            <rFont val="Tahoma"/>
            <family val="2"/>
          </rPr>
          <t xml:space="preserve">
Januarys 2011 Ending Balance of Acum Interest carrier forward </t>
        </r>
      </text>
    </comment>
    <comment ref="B35" authorId="0" shapeId="0" xr:uid="{D1835618-1AC2-483D-8835-00637695A510}">
      <text>
        <r>
          <rPr>
            <b/>
            <sz val="8"/>
            <color indexed="81"/>
            <rFont val="Tahoma"/>
            <family val="2"/>
          </rPr>
          <t>jlavigne:</t>
        </r>
        <r>
          <rPr>
            <sz val="8"/>
            <color indexed="81"/>
            <rFont val="Tahoma"/>
            <family val="2"/>
          </rPr>
          <t xml:space="preserve">
Confrim this amount in GP , GL 10-000-15080-08-000</t>
        </r>
      </text>
    </comment>
    <comment ref="B41" authorId="0" shapeId="0" xr:uid="{E2477CC1-0EF4-48D7-B607-FB78291D3179}">
      <text>
        <r>
          <rPr>
            <b/>
            <sz val="9"/>
            <color indexed="81"/>
            <rFont val="Tahoma"/>
            <family val="2"/>
          </rPr>
          <t>jlavigne:</t>
        </r>
        <r>
          <rPr>
            <sz val="9"/>
            <color indexed="81"/>
            <rFont val="Tahoma"/>
            <family val="2"/>
          </rPr>
          <t xml:space="preserve">
Januarys 2011 Ending Balance of Acum Interest carrier forward </t>
        </r>
      </text>
    </comment>
    <comment ref="B43" authorId="1" shapeId="0" xr:uid="{21B79C44-C484-4F13-98E7-7FB3EF653B60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Pole bills tab should be populated, and the new expense amount should be linked to the new year.  Journalize the whole difference in January.</t>
      </text>
    </comment>
    <comment ref="B46" authorId="2" shapeId="0" xr:uid="{8CA4F106-19F7-4191-905B-E68199C39114}">
      <text>
        <t>[Threaded comment]
Your version of Excel allows you to read this threaded comment; however, any edits to it will get removed if the file is opened in a newer version of Excel. Learn more: https://go.microsoft.com/fwlink/?linkid=870924
Comment:
    Run a TB of 42210 and fill out tab "Pole bills".  The entry will be to debit 15080-00-002 and credit 10-999-42110-00-000</t>
      </text>
    </comment>
    <comment ref="N46" authorId="3" shapeId="0" xr:uid="{6764C547-BAE5-4B3E-83BA-7DE3D19F981A}">
      <text>
        <r>
          <rPr>
            <b/>
            <sz val="9"/>
            <color indexed="81"/>
            <rFont val="Tahoma"/>
            <family val="2"/>
          </rPr>
          <t>Ami Bhatt:</t>
        </r>
        <r>
          <rPr>
            <sz val="9"/>
            <color indexed="81"/>
            <rFont val="Tahoma"/>
            <family val="2"/>
          </rPr>
          <t xml:space="preserve">
Change this formula each month</t>
        </r>
      </text>
    </comment>
    <comment ref="B57" authorId="0" shapeId="0" xr:uid="{1E2078DC-D113-461B-BA81-C09CC49CA530}">
      <text>
        <r>
          <rPr>
            <b/>
            <sz val="8"/>
            <color indexed="81"/>
            <rFont val="Tahoma"/>
            <family val="2"/>
          </rPr>
          <t>jlavigne:</t>
        </r>
        <r>
          <rPr>
            <sz val="8"/>
            <color indexed="81"/>
            <rFont val="Tahoma"/>
            <family val="2"/>
          </rPr>
          <t xml:space="preserve">
Confrim this amount in GP , GL 10-000-15080-08-000</t>
        </r>
      </text>
    </comment>
    <comment ref="C68" authorId="3" shapeId="0" xr:uid="{896647AB-5835-4390-8645-81ADF4D55650}">
      <text>
        <r>
          <rPr>
            <b/>
            <sz val="9"/>
            <color indexed="81"/>
            <rFont val="Tahoma"/>
            <family val="2"/>
          </rPr>
          <t>Ami Bhatt:</t>
        </r>
        <r>
          <rPr>
            <sz val="9"/>
            <color indexed="81"/>
            <rFont val="Tahoma"/>
            <family val="2"/>
          </rPr>
          <t xml:space="preserve">
This diff should match the remaining of 2022 balance in row 46…Mar to Dec 2022</t>
        </r>
      </text>
    </comment>
    <comment ref="H68" authorId="3" shapeId="0" xr:uid="{88E8407E-317D-4397-97C8-BC9B97986950}">
      <text>
        <r>
          <rPr>
            <b/>
            <sz val="9"/>
            <color indexed="81"/>
            <rFont val="Tahoma"/>
            <family val="2"/>
          </rPr>
          <t>Ami Bhatt:</t>
        </r>
        <r>
          <rPr>
            <sz val="9"/>
            <color indexed="81"/>
            <rFont val="Tahoma"/>
            <family val="2"/>
          </rPr>
          <t xml:space="preserve">
This diff should match YTD July Pole Bills in row 46</t>
        </r>
      </text>
    </comment>
    <comment ref="K68" authorId="3" shapeId="0" xr:uid="{BE672D27-0D36-41C9-B4A9-DFCA8986631D}">
      <text>
        <r>
          <rPr>
            <b/>
            <sz val="9"/>
            <color indexed="81"/>
            <rFont val="Tahoma"/>
            <family val="2"/>
          </rPr>
          <t>Ami Bhatt:</t>
        </r>
        <r>
          <rPr>
            <sz val="9"/>
            <color indexed="81"/>
            <rFont val="Tahoma"/>
            <family val="2"/>
          </rPr>
          <t xml:space="preserve">
This should match row 46 for the balance of Nov and Dec.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jlavigne</author>
    <author>tc={F7377D2C-51D1-49B5-AA49-15A8EAED43BA}</author>
    <author>Ami Bhatt</author>
  </authors>
  <commentList>
    <comment ref="B24" authorId="0" shapeId="0" xr:uid="{95C2DACB-7577-4FCD-BBBB-6DBD8DEAF05A}">
      <text>
        <r>
          <rPr>
            <b/>
            <sz val="8"/>
            <color indexed="81"/>
            <rFont val="Tahoma"/>
            <family val="2"/>
          </rPr>
          <t>jlavigne:</t>
        </r>
        <r>
          <rPr>
            <sz val="8"/>
            <color indexed="81"/>
            <rFont val="Tahoma"/>
            <family val="2"/>
          </rPr>
          <t xml:space="preserve">
Confrim this amount in GP , GL 10-000-15080-08-000</t>
        </r>
      </text>
    </comment>
    <comment ref="B30" authorId="0" shapeId="0" xr:uid="{72B0A0E2-68E1-4FD1-9EAB-1C435ABA8FEF}">
      <text>
        <r>
          <rPr>
            <b/>
            <sz val="9"/>
            <color indexed="81"/>
            <rFont val="Tahoma"/>
            <family val="2"/>
          </rPr>
          <t>jlavigne:</t>
        </r>
        <r>
          <rPr>
            <sz val="9"/>
            <color indexed="81"/>
            <rFont val="Tahoma"/>
            <family val="2"/>
          </rPr>
          <t xml:space="preserve">
Januarys 2011 Ending Balance of Acum Interest carrier forward </t>
        </r>
      </text>
    </comment>
    <comment ref="B35" authorId="0" shapeId="0" xr:uid="{0E114C26-1060-415E-B1A0-6EC7ECAD50AA}">
      <text>
        <r>
          <rPr>
            <b/>
            <sz val="8"/>
            <color indexed="81"/>
            <rFont val="Tahoma"/>
            <family val="2"/>
          </rPr>
          <t>jlavigne:</t>
        </r>
        <r>
          <rPr>
            <sz val="8"/>
            <color indexed="81"/>
            <rFont val="Tahoma"/>
            <family val="2"/>
          </rPr>
          <t xml:space="preserve">
Confrim this amount in GP , GL 10-000-15080-08-000</t>
        </r>
      </text>
    </comment>
    <comment ref="B41" authorId="0" shapeId="0" xr:uid="{150BE16A-DBC2-4A7A-812C-15724CF71F6A}">
      <text>
        <r>
          <rPr>
            <b/>
            <sz val="9"/>
            <color indexed="81"/>
            <rFont val="Tahoma"/>
            <family val="2"/>
          </rPr>
          <t>jlavigne:</t>
        </r>
        <r>
          <rPr>
            <sz val="9"/>
            <color indexed="81"/>
            <rFont val="Tahoma"/>
            <family val="2"/>
          </rPr>
          <t xml:space="preserve">
Januarys 2011 Ending Balance of Acum Interest carrier forward </t>
        </r>
      </text>
    </comment>
    <comment ref="B43" authorId="1" shapeId="0" xr:uid="{F7377D2C-51D1-49B5-AA49-15A8EAED43BA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Pole bills tab should be populated, and the new expense amount should be linked to the new year.  Journalize the whole difference in January.</t>
      </text>
    </comment>
    <comment ref="N46" authorId="2" shapeId="0" xr:uid="{E4B25A0B-7014-492C-951F-EB4092547C54}">
      <text>
        <r>
          <rPr>
            <b/>
            <sz val="9"/>
            <color indexed="81"/>
            <rFont val="Tahoma"/>
            <family val="2"/>
          </rPr>
          <t>Ami Bhatt:</t>
        </r>
        <r>
          <rPr>
            <sz val="9"/>
            <color indexed="81"/>
            <rFont val="Tahoma"/>
            <family val="2"/>
          </rPr>
          <t xml:space="preserve">
Change this formula each month</t>
        </r>
      </text>
    </comment>
    <comment ref="B57" authorId="0" shapeId="0" xr:uid="{885FD6F8-E270-4735-A63A-0B29B90301B4}">
      <text>
        <r>
          <rPr>
            <b/>
            <sz val="8"/>
            <color indexed="81"/>
            <rFont val="Tahoma"/>
            <family val="2"/>
          </rPr>
          <t>jlavigne:</t>
        </r>
        <r>
          <rPr>
            <sz val="8"/>
            <color indexed="81"/>
            <rFont val="Tahoma"/>
            <family val="2"/>
          </rPr>
          <t xml:space="preserve">
Confrim this amount in GP , GL 10-000-15080-08-000</t>
        </r>
      </text>
    </comment>
    <comment ref="B68" authorId="2" shapeId="0" xr:uid="{B00E38F9-718A-4911-AF9F-804D955E71AD}">
      <text>
        <r>
          <rPr>
            <b/>
            <sz val="9"/>
            <color indexed="81"/>
            <rFont val="Tahoma"/>
            <family val="2"/>
          </rPr>
          <t>Ami Bhatt:</t>
        </r>
        <r>
          <rPr>
            <sz val="9"/>
            <color indexed="81"/>
            <rFont val="Tahoma"/>
            <family val="2"/>
          </rPr>
          <t xml:space="preserve">
This should match row 46 Feb to Dec 2023</t>
        </r>
      </text>
    </comment>
    <comment ref="C68" authorId="2" shapeId="0" xr:uid="{66AED723-594F-4CE9-B400-D1D3C3D4D5F2}">
      <text>
        <r>
          <rPr>
            <b/>
            <sz val="9"/>
            <color indexed="81"/>
            <rFont val="Tahoma"/>
            <family val="2"/>
          </rPr>
          <t>Ami Bhatt:</t>
        </r>
        <r>
          <rPr>
            <sz val="9"/>
            <color indexed="81"/>
            <rFont val="Tahoma"/>
            <family val="2"/>
          </rPr>
          <t xml:space="preserve">
This diff should match the remaining of 2022 balance in row 46…Mar to Dec 2022</t>
        </r>
      </text>
    </comment>
    <comment ref="H68" authorId="2" shapeId="0" xr:uid="{9D4A54AD-6B3D-4AD2-A681-A79E02F966AF}">
      <text>
        <r>
          <rPr>
            <b/>
            <sz val="9"/>
            <color indexed="81"/>
            <rFont val="Tahoma"/>
            <family val="2"/>
          </rPr>
          <t>Ami Bhatt:</t>
        </r>
        <r>
          <rPr>
            <sz val="9"/>
            <color indexed="81"/>
            <rFont val="Tahoma"/>
            <family val="2"/>
          </rPr>
          <t xml:space="preserve">
This diff should match YTD July Pole Bills in row 46</t>
        </r>
      </text>
    </comment>
    <comment ref="J68" authorId="2" shapeId="0" xr:uid="{F8CEDADE-DC44-41FB-90E3-9EC47F4D4D88}">
      <text>
        <r>
          <rPr>
            <b/>
            <sz val="9"/>
            <color indexed="81"/>
            <rFont val="Tahoma"/>
            <family val="2"/>
          </rPr>
          <t>Ami Bhatt:</t>
        </r>
        <r>
          <rPr>
            <sz val="9"/>
            <color indexed="81"/>
            <rFont val="Tahoma"/>
            <family val="2"/>
          </rPr>
          <t xml:space="preserve">
This diff should match YTD July Pole Bills in row 46</t>
        </r>
      </text>
    </comment>
    <comment ref="K68" authorId="2" shapeId="0" xr:uid="{E5113D83-F4AE-4DC3-B839-158266927A86}">
      <text>
        <r>
          <rPr>
            <b/>
            <sz val="9"/>
            <color indexed="81"/>
            <rFont val="Tahoma"/>
            <family val="2"/>
          </rPr>
          <t>Ami Bhatt:</t>
        </r>
        <r>
          <rPr>
            <sz val="9"/>
            <color indexed="81"/>
            <rFont val="Tahoma"/>
            <family val="2"/>
          </rPr>
          <t xml:space="preserve">
This should match row 46 for the balance of Nov and Dec.
</t>
        </r>
      </text>
    </comment>
  </commentList>
</comments>
</file>

<file path=xl/sharedStrings.xml><?xml version="1.0" encoding="utf-8"?>
<sst xmlns="http://schemas.openxmlformats.org/spreadsheetml/2006/main" count="1255" uniqueCount="193">
  <si>
    <t>Amount in rates</t>
  </si>
  <si>
    <t>10-000-56550-00-000</t>
  </si>
  <si>
    <t>10-999-56550-00-000 contra</t>
  </si>
  <si>
    <t>15080-08</t>
  </si>
  <si>
    <t>Orangeville Hydro Limited</t>
  </si>
  <si>
    <t>Q4 2015 Oct-Dec</t>
  </si>
  <si>
    <t>Q1 Jan-Mar</t>
  </si>
  <si>
    <t>Q2 Apr-Jun</t>
  </si>
  <si>
    <t>Q3 Jul-Sept</t>
  </si>
  <si>
    <t>Q4 Oct-Dec</t>
  </si>
  <si>
    <t>Jan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</si>
  <si>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</si>
  <si>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</si>
  <si>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</si>
  <si>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</si>
  <si>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</si>
  <si>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</si>
  <si>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</si>
  <si>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</si>
  <si>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</si>
  <si>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</si>
  <si>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</si>
  <si>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</t>
  </si>
  <si>
    <t>Starting Balance</t>
  </si>
  <si>
    <t>Expenses</t>
  </si>
  <si>
    <t>Actual Recovery</t>
  </si>
  <si>
    <t>Interest Improvement</t>
  </si>
  <si>
    <t>Accum Interest</t>
  </si>
  <si>
    <t>2016-OEB CAM Variance</t>
  </si>
  <si>
    <t>10-000-15080-00-001</t>
  </si>
  <si>
    <t>Ending Balance 15080-001</t>
  </si>
  <si>
    <t>Accum Total Bal 1508</t>
  </si>
  <si>
    <t>Q4 2016 Oct-Dec</t>
  </si>
  <si>
    <t>10-999-56550-00-000</t>
  </si>
  <si>
    <t>cr 15080-98-002</t>
  </si>
  <si>
    <t>10-999-44060-00-000</t>
  </si>
  <si>
    <t>10-000-15080-98-001</t>
  </si>
  <si>
    <t>10-999-60350-00-000</t>
  </si>
  <si>
    <t>Link to obtain Interest rates:-</t>
  </si>
  <si>
    <t>Prescribed interest rates | Ontario Energy Board (oeb.ca)</t>
  </si>
  <si>
    <t>Original</t>
  </si>
  <si>
    <t>New</t>
  </si>
  <si>
    <t>Vendor ID</t>
  </si>
  <si>
    <t>Voucher Number</t>
  </si>
  <si>
    <t>Document Type</t>
  </si>
  <si>
    <t>Document Date</t>
  </si>
  <si>
    <t>Document Number</t>
  </si>
  <si>
    <t>Document Amount</t>
  </si>
  <si>
    <t>Transaction Description</t>
  </si>
  <si>
    <t>OEB</t>
  </si>
  <si>
    <t>Invoice</t>
  </si>
  <si>
    <t>25656</t>
  </si>
  <si>
    <t>16171060</t>
  </si>
  <si>
    <t>Assessment Apr 1 - Jun 30 /16</t>
  </si>
  <si>
    <t>25971</t>
  </si>
  <si>
    <t>16172060</t>
  </si>
  <si>
    <t>Assessement Jul 1 - Sep 20/201</t>
  </si>
  <si>
    <t>26288</t>
  </si>
  <si>
    <t>16173060</t>
  </si>
  <si>
    <t>Assessment Oct 1 - Dec 31/16</t>
  </si>
  <si>
    <t>26779</t>
  </si>
  <si>
    <t>16174060</t>
  </si>
  <si>
    <t>Assessment Jan 1 - Mar 31/17</t>
  </si>
  <si>
    <t>27129</t>
  </si>
  <si>
    <t>17181057</t>
  </si>
  <si>
    <t>Assess Apr 1 - Jun 30, 2017</t>
  </si>
  <si>
    <t>27432</t>
  </si>
  <si>
    <t>17182057</t>
  </si>
  <si>
    <t>Assessment July 1 - Sep 20 17</t>
  </si>
  <si>
    <t>27801</t>
  </si>
  <si>
    <t>17183058</t>
  </si>
  <si>
    <t>Assessment Oct 1 - Dec 31 2017</t>
  </si>
  <si>
    <t>28166</t>
  </si>
  <si>
    <t>17184058</t>
  </si>
  <si>
    <t>Assessment Jan 1 - Mar 31/18</t>
  </si>
  <si>
    <t>28553</t>
  </si>
  <si>
    <t>18191058</t>
  </si>
  <si>
    <t>Assessment Apr 1 -Jun 30/18</t>
  </si>
  <si>
    <t>28832</t>
  </si>
  <si>
    <t>18192058</t>
  </si>
  <si>
    <t>Assessment</t>
  </si>
  <si>
    <t>29154</t>
  </si>
  <si>
    <t>18193058</t>
  </si>
  <si>
    <t>OEB COST APR - AUG 2018</t>
  </si>
  <si>
    <t>29488</t>
  </si>
  <si>
    <t>18194058</t>
  </si>
  <si>
    <t>Assessment Jan 1 - Mar 1/19</t>
  </si>
  <si>
    <t>29874</t>
  </si>
  <si>
    <t>19201055</t>
  </si>
  <si>
    <t>Q2 Assessment</t>
  </si>
  <si>
    <t>30134</t>
  </si>
  <si>
    <t>19202055</t>
  </si>
  <si>
    <t>Assessment Jul 1 - Sep 30/19</t>
  </si>
  <si>
    <t>30433</t>
  </si>
  <si>
    <t>19203055</t>
  </si>
  <si>
    <t>Assesment Oct 1 - Dec21/19</t>
  </si>
  <si>
    <t>30739</t>
  </si>
  <si>
    <t>19204055</t>
  </si>
  <si>
    <t>Assessment Jan 1 - Mar 31/20</t>
  </si>
  <si>
    <t>30978</t>
  </si>
  <si>
    <t>20211055</t>
  </si>
  <si>
    <t>Assessment Apr 1 - Jun 30/20</t>
  </si>
  <si>
    <t>31176</t>
  </si>
  <si>
    <t>20212055</t>
  </si>
  <si>
    <t>Cost Assessment</t>
  </si>
  <si>
    <t>31445</t>
  </si>
  <si>
    <t>20213055</t>
  </si>
  <si>
    <t>31708</t>
  </si>
  <si>
    <t>20214055</t>
  </si>
  <si>
    <t>Q4 Cost Assessment Billing</t>
  </si>
  <si>
    <t>32120</t>
  </si>
  <si>
    <t>21221056</t>
  </si>
  <si>
    <t>Assessment Apr-June 2021</t>
  </si>
  <si>
    <t>32420</t>
  </si>
  <si>
    <t>21222046</t>
  </si>
  <si>
    <t>2021-22 Cost Assessment</t>
  </si>
  <si>
    <t>32695</t>
  </si>
  <si>
    <t>21223046</t>
  </si>
  <si>
    <t>Assessment Oct-Dec 2021</t>
  </si>
  <si>
    <t>32980</t>
  </si>
  <si>
    <t>21224050</t>
  </si>
  <si>
    <t>Assessment Jan-Mar 2022</t>
  </si>
  <si>
    <t>33293</t>
  </si>
  <si>
    <t>22231050</t>
  </si>
  <si>
    <t>Assessment Apr-Jun 2022</t>
  </si>
  <si>
    <t>33514</t>
  </si>
  <si>
    <t>22232049</t>
  </si>
  <si>
    <t>Assessment Jul-Sep 2022</t>
  </si>
  <si>
    <t>33797</t>
  </si>
  <si>
    <t>22233049</t>
  </si>
  <si>
    <t>Assessment Oct-Dec 2022</t>
  </si>
  <si>
    <t>34056</t>
  </si>
  <si>
    <t>22234049</t>
  </si>
  <si>
    <t>Q4 Cost Assessment</t>
  </si>
  <si>
    <t>34355</t>
  </si>
  <si>
    <t>23241049</t>
  </si>
  <si>
    <t>Q1 Cost Assessment</t>
  </si>
  <si>
    <t>34515</t>
  </si>
  <si>
    <t>23242048</t>
  </si>
  <si>
    <t>Quarterly Assessment</t>
  </si>
  <si>
    <t>34744</t>
  </si>
  <si>
    <t>23243048</t>
  </si>
  <si>
    <t>Q3 23/24 Cost Assessment</t>
  </si>
  <si>
    <t>OEB invoice amount</t>
  </si>
  <si>
    <t>2016-OEB CAM Variance updated</t>
  </si>
  <si>
    <t>10-000-22000-00-000</t>
  </si>
  <si>
    <t>10-000-11800-00-000</t>
  </si>
  <si>
    <t>DR</t>
  </si>
  <si>
    <t>CR</t>
  </si>
  <si>
    <t>TRX Date</t>
  </si>
  <si>
    <t>Account Number</t>
  </si>
  <si>
    <t>Main Account Segment</t>
  </si>
  <si>
    <t>Account Description</t>
  </si>
  <si>
    <t>Description</t>
  </si>
  <si>
    <t>Reference</t>
  </si>
  <si>
    <t>Originating Master Name</t>
  </si>
  <si>
    <t>Originating Document Number</t>
  </si>
  <si>
    <t>Debit Amount</t>
  </si>
  <si>
    <t>Credit Amount</t>
  </si>
  <si>
    <t>Net</t>
  </si>
  <si>
    <t>56550</t>
  </si>
  <si>
    <t>Regulatory Expenses</t>
  </si>
  <si>
    <t/>
  </si>
  <si>
    <t>CAM Variance Jan 2023</t>
  </si>
  <si>
    <t>CAM Variance May 2023</t>
  </si>
  <si>
    <t>CAM Variance July 2023</t>
  </si>
  <si>
    <t>CAM Variance October 2023</t>
  </si>
  <si>
    <t>IFRS Movement - Quarterly OEB Costs</t>
  </si>
  <si>
    <t>CAM Variance 01-Jan</t>
  </si>
  <si>
    <t>CAM Variance 04-Apr</t>
  </si>
  <si>
    <t>CAM Variance 07- july</t>
  </si>
  <si>
    <t>CAM Variance 10- Oct</t>
  </si>
  <si>
    <t>CAM Variance 01- Jan</t>
  </si>
  <si>
    <t>CAM Variance 04- April</t>
  </si>
  <si>
    <t>CAM Variance 07- July</t>
  </si>
  <si>
    <t>CAM Variance 10-October</t>
  </si>
  <si>
    <t>CAM Variance 07-July</t>
  </si>
  <si>
    <t>CAM Variance 10-Oct</t>
  </si>
  <si>
    <t>CAM Variance 01 - Jan</t>
  </si>
  <si>
    <t>CAM Variance 04-April</t>
  </si>
  <si>
    <t>CAM Variance 01-Jan 2021</t>
  </si>
  <si>
    <t>CAM Variance 04 April 2021</t>
  </si>
  <si>
    <t>CAM Variance 07 July 2021</t>
  </si>
  <si>
    <t>CAM Variance 10 Oct 2021</t>
  </si>
  <si>
    <t>CAM Variance 01 Jan 2022</t>
  </si>
  <si>
    <t>CAM Variance 05 May 2022</t>
  </si>
  <si>
    <t>CAM Variance 07 July 2022</t>
  </si>
  <si>
    <t>CAM Variance 10 October 2022</t>
  </si>
  <si>
    <t>New interest</t>
  </si>
  <si>
    <t>Original interest</t>
  </si>
  <si>
    <t>Total</t>
  </si>
  <si>
    <t>2016-OEB CAM Variance original</t>
  </si>
  <si>
    <t>OEB Cost Assessment Mechanism 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</si>
</sst>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43" formatCode="_(* #,##0.00_);_(* \(#,##0.00\);_(* &quot;-&quot;??_);_(@_)"/>
    <numFmt numFmtId="164" formatCode="_-* #,##0.00_-;\-* #,##0.00_-;_-* &quot;-&quot;??_-;_-@_-"/>
    <numFmt numFmtId="165" formatCode="&quot;$&quot;#,##0.00"/>
    <numFmt numFmtId="166" formatCode="&quot;$&quot;#,##0.00;\(&quot;$&quot;#,##0.00\)"/>
    <numFmt numFmtId="167" formatCode="#,##0.00000"/>
    <numFmt numFmtId="168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8"/>
      <color rgb="FF000000"/>
      <name val="Arial"/>
      <family val="2"/>
    </font>
    <font>
      <sz val="8"/>
      <color rgb="FFFF000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trike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0066FF"/>
      <name val="Calibri"/>
      <family val="2"/>
      <scheme val="minor"/>
    </font>
    <font>
      <u/>
      <sz val="10"/>
      <color theme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color rgb="FFFF0000"/>
      <name val="Arial"/>
      <family val="2"/>
    </font>
    <font>
      <sz val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"/>
      <name val="Arial"/>
      <family val="2"/>
    </font>
    <font>
      <sz val="9"/>
      <name val="Segoe UI"/>
      <family val="2"/>
    </font>
    <font>
      <sz val="11"/>
      <color theme="1"/>
      <name val="Calibri"/>
      <family val="2"/>
      <scheme val="minor"/>
    </font>
    <font>
      <sz val="9"/>
      <name val="Segoe UI"/>
      <family val="2"/>
    </font>
  </fonts>
  <fills count="1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0" fontId="16" fillId="0" borderId="0" applyNumberFormat="0" applyFill="0" applyBorder="0" applyAlignment="0" applyProtection="0"/>
    <xf numFmtId="0" fontId="23" fillId="0" borderId="0">
      <alignment vertical="center"/>
    </xf>
    <xf numFmtId="43" fontId="24" fillId="0" borderId="0" applyFont="0" applyFill="0" applyBorder="0" applyAlignment="0" applyProtection="0"/>
  </cellStyleXfs>
  <cellXfs count="154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10" fontId="4" fillId="2" borderId="0" xfId="1" applyNumberFormat="1" applyFont="1" applyFill="1"/>
    <xf numFmtId="10" fontId="4" fillId="0" borderId="0" xfId="2" applyNumberFormat="1" applyFont="1"/>
    <xf numFmtId="10" fontId="3" fillId="0" borderId="0" xfId="1" applyNumberFormat="1" applyFont="1"/>
    <xf numFmtId="10" fontId="3" fillId="0" borderId="0" xfId="2" applyNumberFormat="1" applyFont="1"/>
    <xf numFmtId="0" fontId="6" fillId="0" borderId="0" xfId="1" applyFont="1"/>
    <xf numFmtId="10" fontId="6" fillId="2" borderId="0" xfId="1" applyNumberFormat="1" applyFont="1" applyFill="1"/>
    <xf numFmtId="10" fontId="6" fillId="0" borderId="0" xfId="2" applyNumberFormat="1" applyFont="1"/>
    <xf numFmtId="0" fontId="6" fillId="0" borderId="0" xfId="1" applyFont="1" applyAlignment="1">
      <alignment horizontal="center"/>
    </xf>
    <xf numFmtId="10" fontId="6" fillId="0" borderId="0" xfId="1" applyNumberFormat="1" applyFont="1" applyAlignment="1">
      <alignment horizontal="center"/>
    </xf>
    <xf numFmtId="0" fontId="6" fillId="0" borderId="0" xfId="1" applyFont="1" applyAlignment="1">
      <alignment horizontal="right"/>
    </xf>
    <xf numFmtId="43" fontId="3" fillId="3" borderId="0" xfId="3" applyFont="1" applyFill="1"/>
    <xf numFmtId="43" fontId="3" fillId="0" borderId="0" xfId="3" applyFont="1"/>
    <xf numFmtId="43" fontId="3" fillId="4" borderId="0" xfId="3" applyFont="1" applyFill="1"/>
    <xf numFmtId="49" fontId="8" fillId="0" borderId="0" xfId="4" applyNumberFormat="1" applyFont="1" applyAlignment="1">
      <alignment horizontal="right"/>
    </xf>
    <xf numFmtId="43" fontId="3" fillId="0" borderId="0" xfId="1" applyNumberFormat="1" applyFont="1"/>
    <xf numFmtId="164" fontId="3" fillId="0" borderId="0" xfId="1" applyNumberFormat="1" applyFont="1"/>
    <xf numFmtId="0" fontId="3" fillId="5" borderId="0" xfId="1" applyFont="1" applyFill="1"/>
    <xf numFmtId="43" fontId="3" fillId="0" borderId="0" xfId="3" applyFont="1" applyFill="1"/>
    <xf numFmtId="0" fontId="13" fillId="0" borderId="0" xfId="1" applyFont="1"/>
    <xf numFmtId="10" fontId="3" fillId="3" borderId="0" xfId="1" applyNumberFormat="1" applyFont="1" applyFill="1"/>
    <xf numFmtId="0" fontId="15" fillId="0" borderId="1" xfId="1" applyFont="1" applyBorder="1"/>
    <xf numFmtId="0" fontId="3" fillId="0" borderId="2" xfId="1" applyFont="1" applyBorder="1"/>
    <xf numFmtId="0" fontId="3" fillId="0" borderId="3" xfId="1" applyFont="1" applyBorder="1"/>
    <xf numFmtId="10" fontId="3" fillId="3" borderId="0" xfId="2" applyNumberFormat="1" applyFont="1" applyFill="1"/>
    <xf numFmtId="0" fontId="16" fillId="0" borderId="4" xfId="5" applyBorder="1" applyAlignment="1">
      <alignment vertical="center"/>
    </xf>
    <xf numFmtId="0" fontId="3" fillId="0" borderId="5" xfId="1" applyFont="1" applyBorder="1"/>
    <xf numFmtId="0" fontId="3" fillId="0" borderId="6" xfId="1" applyFont="1" applyBorder="1"/>
    <xf numFmtId="0" fontId="3" fillId="0" borderId="7" xfId="1" applyFont="1" applyBorder="1"/>
    <xf numFmtId="0" fontId="3" fillId="0" borderId="8" xfId="1" applyFont="1" applyBorder="1"/>
    <xf numFmtId="0" fontId="17" fillId="6" borderId="0" xfId="1" applyFont="1" applyFill="1" applyAlignment="1">
      <alignment vertical="center"/>
    </xf>
    <xf numFmtId="0" fontId="17" fillId="0" borderId="0" xfId="1" applyFont="1" applyAlignment="1">
      <alignment vertical="center"/>
    </xf>
    <xf numFmtId="0" fontId="6" fillId="7" borderId="0" xfId="1" applyFont="1" applyFill="1" applyAlignment="1">
      <alignment horizontal="center"/>
    </xf>
    <xf numFmtId="10" fontId="6" fillId="7" borderId="0" xfId="1" applyNumberFormat="1" applyFont="1" applyFill="1" applyAlignment="1">
      <alignment horizontal="center"/>
    </xf>
    <xf numFmtId="43" fontId="3" fillId="8" borderId="0" xfId="3" applyFont="1" applyFill="1"/>
    <xf numFmtId="0" fontId="6" fillId="9" borderId="0" xfId="1" applyFont="1" applyFill="1" applyAlignment="1">
      <alignment horizontal="right"/>
    </xf>
    <xf numFmtId="43" fontId="6" fillId="9" borderId="0" xfId="3" applyFont="1" applyFill="1"/>
    <xf numFmtId="43" fontId="6" fillId="8" borderId="0" xfId="3" applyFont="1" applyFill="1"/>
    <xf numFmtId="43" fontId="6" fillId="10" borderId="0" xfId="3" applyFont="1" applyFill="1"/>
    <xf numFmtId="0" fontId="3" fillId="11" borderId="0" xfId="1" applyFont="1" applyFill="1" applyAlignment="1">
      <alignment horizontal="right"/>
    </xf>
    <xf numFmtId="0" fontId="6" fillId="9" borderId="0" xfId="1" applyFont="1" applyFill="1"/>
    <xf numFmtId="0" fontId="20" fillId="0" borderId="0" xfId="1" applyFont="1"/>
    <xf numFmtId="165" fontId="3" fillId="0" borderId="0" xfId="1" applyNumberFormat="1" applyFont="1"/>
    <xf numFmtId="0" fontId="21" fillId="0" borderId="0" xfId="1" applyFont="1"/>
    <xf numFmtId="0" fontId="14" fillId="0" borderId="0" xfId="1" applyFont="1"/>
    <xf numFmtId="43" fontId="3" fillId="14" borderId="0" xfId="3" applyFont="1" applyFill="1"/>
    <xf numFmtId="43" fontId="6" fillId="14" borderId="0" xfId="3" applyFont="1" applyFill="1"/>
    <xf numFmtId="9" fontId="3" fillId="0" borderId="0" xfId="1" applyNumberFormat="1" applyFont="1"/>
    <xf numFmtId="43" fontId="3" fillId="15" borderId="0" xfId="3" applyFont="1" applyFill="1"/>
    <xf numFmtId="166" fontId="3" fillId="0" borderId="0" xfId="1" applyNumberFormat="1" applyFont="1"/>
    <xf numFmtId="7" fontId="3" fillId="0" borderId="0" xfId="1" applyNumberFormat="1" applyFont="1"/>
    <xf numFmtId="0" fontId="23" fillId="0" borderId="0" xfId="6">
      <alignment vertical="center"/>
    </xf>
    <xf numFmtId="14" fontId="23" fillId="0" borderId="0" xfId="6" applyNumberFormat="1">
      <alignment vertical="center"/>
    </xf>
    <xf numFmtId="167" fontId="23" fillId="0" borderId="0" xfId="6" applyNumberFormat="1">
      <alignment vertical="center"/>
    </xf>
    <xf numFmtId="0" fontId="0" fillId="0" borderId="0" xfId="0" applyAlignment="1">
      <alignment vertical="center"/>
    </xf>
    <xf numFmtId="43" fontId="0" fillId="0" borderId="0" xfId="7" applyFont="1" applyAlignment="1">
      <alignment vertical="center"/>
    </xf>
    <xf numFmtId="43" fontId="25" fillId="0" borderId="0" xfId="7" applyFont="1" applyAlignment="1">
      <alignment vertical="center"/>
    </xf>
    <xf numFmtId="14" fontId="0" fillId="0" borderId="0" xfId="0" applyNumberFormat="1" applyAlignment="1">
      <alignment vertical="center"/>
    </xf>
    <xf numFmtId="168" fontId="3" fillId="0" borderId="0" xfId="7" applyNumberFormat="1" applyFont="1"/>
    <xf numFmtId="0" fontId="3" fillId="17" borderId="0" xfId="1" applyFont="1" applyFill="1"/>
    <xf numFmtId="0" fontId="6" fillId="0" borderId="10" xfId="1" applyFont="1" applyBorder="1"/>
    <xf numFmtId="0" fontId="6" fillId="0" borderId="11" xfId="1" applyFont="1" applyBorder="1" applyAlignment="1">
      <alignment horizontal="center"/>
    </xf>
    <xf numFmtId="10" fontId="6" fillId="0" borderId="11" xfId="1" applyNumberFormat="1" applyFont="1" applyBorder="1" applyAlignment="1">
      <alignment horizontal="center"/>
    </xf>
    <xf numFmtId="0" fontId="3" fillId="0" borderId="12" xfId="1" applyFont="1" applyBorder="1"/>
    <xf numFmtId="0" fontId="3" fillId="0" borderId="13" xfId="1" applyFont="1" applyBorder="1"/>
    <xf numFmtId="0" fontId="3" fillId="0" borderId="14" xfId="1" applyFont="1" applyBorder="1"/>
    <xf numFmtId="0" fontId="6" fillId="0" borderId="13" xfId="1" applyFont="1" applyBorder="1" applyAlignment="1">
      <alignment horizontal="right"/>
    </xf>
    <xf numFmtId="43" fontId="3" fillId="3" borderId="0" xfId="3" applyFont="1" applyFill="1" applyBorder="1"/>
    <xf numFmtId="43" fontId="3" fillId="0" borderId="0" xfId="3" applyFont="1" applyBorder="1"/>
    <xf numFmtId="43" fontId="3" fillId="4" borderId="0" xfId="3" applyFont="1" applyFill="1" applyBorder="1"/>
    <xf numFmtId="0" fontId="6" fillId="0" borderId="13" xfId="1" applyFont="1" applyBorder="1"/>
    <xf numFmtId="0" fontId="6" fillId="0" borderId="15" xfId="1" applyFont="1" applyBorder="1"/>
    <xf numFmtId="43" fontId="3" fillId="0" borderId="16" xfId="3" applyFont="1" applyBorder="1"/>
    <xf numFmtId="0" fontId="3" fillId="0" borderId="11" xfId="1" applyFont="1" applyBorder="1"/>
    <xf numFmtId="168" fontId="3" fillId="0" borderId="14" xfId="7" applyNumberFormat="1" applyFont="1" applyBorder="1"/>
    <xf numFmtId="0" fontId="3" fillId="0" borderId="15" xfId="1" applyFont="1" applyBorder="1"/>
    <xf numFmtId="0" fontId="3" fillId="0" borderId="16" xfId="1" applyFont="1" applyBorder="1"/>
    <xf numFmtId="168" fontId="3" fillId="0" borderId="17" xfId="7" applyNumberFormat="1" applyFont="1" applyBorder="1"/>
    <xf numFmtId="168" fontId="3" fillId="0" borderId="12" xfId="7" applyNumberFormat="1" applyFont="1" applyBorder="1"/>
    <xf numFmtId="43" fontId="3" fillId="3" borderId="16" xfId="3" applyFont="1" applyFill="1" applyBorder="1"/>
    <xf numFmtId="0" fontId="6" fillId="0" borderId="18" xfId="1" applyFont="1" applyBorder="1"/>
    <xf numFmtId="43" fontId="3" fillId="0" borderId="19" xfId="3" applyFont="1" applyBorder="1"/>
    <xf numFmtId="0" fontId="6" fillId="7" borderId="11" xfId="1" applyFont="1" applyFill="1" applyBorder="1" applyAlignment="1">
      <alignment horizontal="center"/>
    </xf>
    <xf numFmtId="10" fontId="6" fillId="7" borderId="11" xfId="1" applyNumberFormat="1" applyFont="1" applyFill="1" applyBorder="1" applyAlignment="1">
      <alignment horizontal="center"/>
    </xf>
    <xf numFmtId="0" fontId="6" fillId="9" borderId="13" xfId="1" applyFont="1" applyFill="1" applyBorder="1" applyAlignment="1">
      <alignment horizontal="right"/>
    </xf>
    <xf numFmtId="0" fontId="6" fillId="9" borderId="18" xfId="1" applyFont="1" applyFill="1" applyBorder="1"/>
    <xf numFmtId="43" fontId="3" fillId="0" borderId="0" xfId="7" applyFont="1" applyBorder="1"/>
    <xf numFmtId="43" fontId="3" fillId="0" borderId="0" xfId="7" applyFont="1"/>
    <xf numFmtId="43" fontId="3" fillId="0" borderId="14" xfId="7" applyFont="1" applyBorder="1"/>
    <xf numFmtId="43" fontId="3" fillId="4" borderId="0" xfId="7" applyFont="1" applyFill="1" applyBorder="1"/>
    <xf numFmtId="43" fontId="8" fillId="0" borderId="0" xfId="7" applyFont="1" applyAlignment="1">
      <alignment horizontal="right"/>
    </xf>
    <xf numFmtId="43" fontId="3" fillId="0" borderId="16" xfId="7" applyFont="1" applyBorder="1"/>
    <xf numFmtId="43" fontId="8" fillId="0" borderId="16" xfId="7" applyFont="1" applyBorder="1" applyAlignment="1">
      <alignment horizontal="right"/>
    </xf>
    <xf numFmtId="43" fontId="3" fillId="0" borderId="17" xfId="7" applyFont="1" applyBorder="1"/>
    <xf numFmtId="43" fontId="6" fillId="0" borderId="11" xfId="7" applyFont="1" applyBorder="1" applyAlignment="1">
      <alignment horizontal="center"/>
    </xf>
    <xf numFmtId="43" fontId="3" fillId="0" borderId="12" xfId="7" applyFont="1" applyBorder="1"/>
    <xf numFmtId="43" fontId="6" fillId="0" borderId="0" xfId="7" applyFont="1" applyAlignment="1">
      <alignment horizontal="center"/>
    </xf>
    <xf numFmtId="43" fontId="3" fillId="0" borderId="19" xfId="7" applyFont="1" applyBorder="1"/>
    <xf numFmtId="43" fontId="8" fillId="0" borderId="19" xfId="7" applyFont="1" applyBorder="1" applyAlignment="1">
      <alignment horizontal="right"/>
    </xf>
    <xf numFmtId="43" fontId="3" fillId="0" borderId="20" xfId="7" applyFont="1" applyBorder="1"/>
    <xf numFmtId="43" fontId="3" fillId="5" borderId="0" xfId="7" applyFont="1" applyFill="1"/>
    <xf numFmtId="43" fontId="3" fillId="0" borderId="11" xfId="7" applyFont="1" applyBorder="1"/>
    <xf numFmtId="168" fontId="3" fillId="16" borderId="0" xfId="7" applyNumberFormat="1" applyFont="1" applyFill="1"/>
    <xf numFmtId="168" fontId="6" fillId="0" borderId="0" xfId="7" applyNumberFormat="1" applyFont="1"/>
    <xf numFmtId="168" fontId="3" fillId="0" borderId="11" xfId="7" applyNumberFormat="1" applyFont="1" applyBorder="1"/>
    <xf numFmtId="168" fontId="3" fillId="0" borderId="16" xfId="7" applyNumberFormat="1" applyFont="1" applyBorder="1"/>
    <xf numFmtId="43" fontId="3" fillId="3" borderId="0" xfId="7" applyFont="1" applyFill="1" applyBorder="1"/>
    <xf numFmtId="43" fontId="3" fillId="3" borderId="16" xfId="7" applyFont="1" applyFill="1" applyBorder="1"/>
    <xf numFmtId="43" fontId="3" fillId="0" borderId="0" xfId="7" applyFont="1" applyFill="1"/>
    <xf numFmtId="43" fontId="3" fillId="3" borderId="0" xfId="7" applyFont="1" applyFill="1"/>
    <xf numFmtId="43" fontId="3" fillId="4" borderId="0" xfId="7" applyFont="1" applyFill="1"/>
    <xf numFmtId="0" fontId="17" fillId="17" borderId="0" xfId="1" applyFont="1" applyFill="1" applyAlignment="1">
      <alignment vertical="center"/>
    </xf>
    <xf numFmtId="43" fontId="3" fillId="8" borderId="0" xfId="7" applyFont="1" applyFill="1" applyBorder="1"/>
    <xf numFmtId="43" fontId="3" fillId="0" borderId="0" xfId="7" applyFont="1" applyFill="1" applyBorder="1"/>
    <xf numFmtId="43" fontId="3" fillId="9" borderId="0" xfId="7" applyFont="1" applyFill="1" applyBorder="1"/>
    <xf numFmtId="43" fontId="6" fillId="8" borderId="16" xfId="7" applyFont="1" applyFill="1" applyBorder="1"/>
    <xf numFmtId="43" fontId="6" fillId="10" borderId="16" xfId="7" applyFont="1" applyFill="1" applyBorder="1"/>
    <xf numFmtId="43" fontId="6" fillId="7" borderId="11" xfId="7" applyFont="1" applyFill="1" applyBorder="1" applyAlignment="1">
      <alignment horizontal="center"/>
    </xf>
    <xf numFmtId="43" fontId="3" fillId="8" borderId="0" xfId="7" applyFont="1" applyFill="1"/>
    <xf numFmtId="43" fontId="3" fillId="11" borderId="0" xfId="7" applyFont="1" applyFill="1"/>
    <xf numFmtId="43" fontId="6" fillId="8" borderId="0" xfId="7" applyFont="1" applyFill="1"/>
    <xf numFmtId="43" fontId="6" fillId="10" borderId="0" xfId="7" applyFont="1" applyFill="1"/>
    <xf numFmtId="43" fontId="6" fillId="9" borderId="19" xfId="7" applyFont="1" applyFill="1" applyBorder="1"/>
    <xf numFmtId="43" fontId="19" fillId="0" borderId="19" xfId="7" applyFont="1" applyBorder="1" applyAlignment="1">
      <alignment horizontal="right"/>
    </xf>
    <xf numFmtId="43" fontId="6" fillId="0" borderId="20" xfId="7" applyFont="1" applyBorder="1"/>
    <xf numFmtId="43" fontId="6" fillId="0" borderId="9" xfId="7" applyFont="1" applyBorder="1"/>
    <xf numFmtId="43" fontId="20" fillId="12" borderId="0" xfId="7" applyFont="1" applyFill="1"/>
    <xf numFmtId="43" fontId="3" fillId="13" borderId="0" xfId="7" applyFont="1" applyFill="1"/>
    <xf numFmtId="43" fontId="13" fillId="0" borderId="0" xfId="7" applyFont="1"/>
    <xf numFmtId="43" fontId="3" fillId="14" borderId="0" xfId="7" applyFont="1" applyFill="1" applyBorder="1"/>
    <xf numFmtId="43" fontId="3" fillId="14" borderId="0" xfId="7" applyFont="1" applyFill="1"/>
    <xf numFmtId="43" fontId="6" fillId="14" borderId="0" xfId="7" applyFont="1" applyFill="1"/>
    <xf numFmtId="43" fontId="6" fillId="7" borderId="0" xfId="7" applyFont="1" applyFill="1" applyAlignment="1">
      <alignment horizontal="center"/>
    </xf>
    <xf numFmtId="43" fontId="22" fillId="0" borderId="0" xfId="7" applyFont="1" applyAlignment="1">
      <alignment horizontal="right"/>
    </xf>
    <xf numFmtId="43" fontId="3" fillId="9" borderId="0" xfId="7" applyFont="1" applyFill="1"/>
    <xf numFmtId="0" fontId="6" fillId="17" borderId="0" xfId="1" applyFont="1" applyFill="1" applyAlignment="1">
      <alignment horizontal="center"/>
    </xf>
    <xf numFmtId="0" fontId="18" fillId="17" borderId="0" xfId="1" applyFont="1" applyFill="1" applyAlignment="1">
      <alignment horizontal="center" vertical="center"/>
    </xf>
    <xf numFmtId="0" fontId="18" fillId="6" borderId="0" xfId="1" applyFont="1" applyFill="1" applyAlignment="1">
      <alignment horizontal="center" vertical="center"/>
    </xf>
    <xf numFmtId="43" fontId="3" fillId="15" borderId="0" xfId="7" applyFont="1" applyFill="1" applyBorder="1"/>
    <xf numFmtId="43" fontId="6" fillId="14" borderId="16" xfId="7" applyFont="1" applyFill="1" applyBorder="1"/>
    <xf numFmtId="43" fontId="3" fillId="15" borderId="0" xfId="7" applyFont="1" applyFill="1"/>
    <xf numFmtId="43" fontId="6" fillId="9" borderId="0" xfId="7" applyFont="1" applyFill="1"/>
    <xf numFmtId="43" fontId="19" fillId="0" borderId="0" xfId="7" applyFont="1" applyAlignment="1">
      <alignment horizontal="right"/>
    </xf>
    <xf numFmtId="43" fontId="6" fillId="0" borderId="0" xfId="7" applyFont="1"/>
    <xf numFmtId="0" fontId="3" fillId="0" borderId="0" xfId="1" applyFont="1" applyFill="1"/>
    <xf numFmtId="0" fontId="3" fillId="0" borderId="0" xfId="1" applyFont="1" applyBorder="1"/>
    <xf numFmtId="0" fontId="3" fillId="0" borderId="0" xfId="1" applyFont="1" applyFill="1" applyBorder="1"/>
    <xf numFmtId="0" fontId="3" fillId="0" borderId="0" xfId="1" applyFont="1" applyFill="1" applyBorder="1" applyAlignment="1">
      <alignment horizontal="right"/>
    </xf>
    <xf numFmtId="168" fontId="3" fillId="0" borderId="0" xfId="1" applyNumberFormat="1" applyFont="1" applyFill="1" applyBorder="1"/>
    <xf numFmtId="0" fontId="6" fillId="0" borderId="0" xfId="1" applyFont="1" applyFill="1" applyBorder="1"/>
    <xf numFmtId="168" fontId="3" fillId="0" borderId="0" xfId="1" applyNumberFormat="1" applyFont="1" applyBorder="1"/>
  </cellXfs>
  <cellStyles count="8">
    <cellStyle name="Comma" xfId="7" builtinId="3"/>
    <cellStyle name="Comma 2" xfId="3" xr:uid="{8EEB7B61-3066-430D-B122-CD4958CAB247}"/>
    <cellStyle name="Hyperlink 2" xfId="5" xr:uid="{4521134C-AAE0-4BEB-8C8A-080097DCA3CC}"/>
    <cellStyle name="Normal" xfId="0" builtinId="0"/>
    <cellStyle name="Normal 2" xfId="1" xr:uid="{AC836876-6785-4975-9105-3905AAE16654}"/>
    <cellStyle name="Normal 3" xfId="6" xr:uid="{0E0B8134-8127-418B-9D6F-268C793494BD}"/>
    <cellStyle name="Percent 2" xfId="2" xr:uid="{57ED40A2-646A-44B4-8AF9-865514D2ED49}"/>
    <cellStyle name="rf5" xfId="4" xr:uid="{7FE70FB5-7AAA-4B7C-8FA0-2D73205578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YE16/15080-08%20IFRS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YE17/15080-08%20IFRS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Year%20End/YE18/1508-1589%20Deferral%20Accounts/15080-08%20IFR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FINANCE\Year%20End\YE19\Audit\1508-1576%20Deferral%20Accounts\15080-08%20IFRS%202019.xlsx" TargetMode="External"/><Relationship Id="rId1" Type="http://schemas.openxmlformats.org/officeDocument/2006/relationships/externalLinkPath" Target="/FINANCE/Year%20End/YE19/Audit/1508-1576%20Deferral%20Accounts/15080-08%20IFR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FRS"/>
    </sheetNames>
    <sheetDataSet>
      <sheetData sheetId="0" refreshError="1">
        <row r="13">
          <cell r="M13">
            <v>146808.69</v>
          </cell>
        </row>
        <row r="35">
          <cell r="M35">
            <v>-13456</v>
          </cell>
        </row>
        <row r="42">
          <cell r="M42">
            <v>-61.65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FRS"/>
    </sheetNames>
    <sheetDataSet>
      <sheetData sheetId="0" refreshError="1">
        <row r="13">
          <cell r="M13">
            <v>146808.69</v>
          </cell>
        </row>
        <row r="35">
          <cell r="M35">
            <v>-30563</v>
          </cell>
        </row>
        <row r="42">
          <cell r="M42">
            <v>-339.75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FRS"/>
    </sheetNames>
    <sheetDataSet>
      <sheetData sheetId="0">
        <row r="13">
          <cell r="M13">
            <v>146808.69</v>
          </cell>
        </row>
        <row r="35">
          <cell r="M35">
            <v>-50984</v>
          </cell>
        </row>
        <row r="42">
          <cell r="M42">
            <v>-1116.28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FRS"/>
      <sheetName val="Pole attachment"/>
      <sheetName val="Pole bills"/>
    </sheetNames>
    <sheetDataSet>
      <sheetData sheetId="0">
        <row r="12">
          <cell r="M12">
            <v>146808.69</v>
          </cell>
        </row>
        <row r="34">
          <cell r="M34">
            <v>-70204</v>
          </cell>
        </row>
        <row r="41">
          <cell r="M41">
            <v>-2500.21</v>
          </cell>
        </row>
      </sheetData>
      <sheetData sheetId="1"/>
      <sheetData sheetId="2">
        <row r="16">
          <cell r="H16">
            <v>41298.32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Suzanne Presseault" id="{F970FE24-CAB8-4D1B-9D34-DEE1C1576CFA}" userId="S::suzanne.presseault@orangevillehydro.on.ca::7299e9d2-8cdb-4737-b643-a0b27cca3aca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43" dT="2020-09-25T20:25:18.81" personId="{F970FE24-CAB8-4D1B-9D34-DEE1C1576CFA}" id="{F72D73ED-EAAC-488E-86CB-1EBD79A85DAC}">
    <text>The Pole bills tab should be populated, and the new expense amount should be linked to the new year.  Journalize the whole difference in January.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43" dT="2020-09-25T20:25:18.81" personId="{F970FE24-CAB8-4D1B-9D34-DEE1C1576CFA}" id="{CFE3D5CD-216C-4C7A-BCA5-DDBE454F584C}">
    <text>The Pole bills tab should be populated, and the new expense amount should be linked to the new year.  Journalize the whole difference in January.</text>
  </threadedComment>
  <threadedComment ref="B46" dT="2021-08-30T15:26:15.69" personId="{F970FE24-CAB8-4D1B-9D34-DEE1C1576CFA}" id="{3816F7E3-A7C3-493E-B13B-6B70EC431AEE}">
    <text>Run a TB of 42210 and fill out tab "Pole bills".  The entry will be to debit 15080-00-002 and credit 10-999-42110-00-000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B43" dT="2020-09-25T20:25:18.81" personId="{F970FE24-CAB8-4D1B-9D34-DEE1C1576CFA}" id="{21B79C44-C484-4F13-98E7-7FB3EF653B60}">
    <text>The Pole bills tab should be populated, and the new expense amount should be linked to the new year.  Journalize the whole difference in January.</text>
  </threadedComment>
  <threadedComment ref="B46" dT="2021-08-30T15:26:15.69" personId="{F970FE24-CAB8-4D1B-9D34-DEE1C1576CFA}" id="{8CA4F106-19F7-4191-905B-E68199C39114}">
    <text>Run a TB of 42210 and fill out tab "Pole bills".  The entry will be to debit 15080-00-002 and credit 10-999-42110-00-000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B43" dT="2020-09-25T20:25:18.81" personId="{F970FE24-CAB8-4D1B-9D34-DEE1C1576CFA}" id="{F7377D2C-51D1-49B5-AA49-15A8EAED43BA}">
    <text>The Pole bills tab should be populated, and the new expense amount should be linked to the new year.  Journalize the whole difference in January.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oeb.ca/industry/rules-codes-and-requirements/prescribed-interest-rates" TargetMode="External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oeb.ca/industry/rules-codes-and-requirements/prescribed-interest-rates" TargetMode="External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oeb.ca/industry/rules-codes-and-requirements/prescribed-interest-rates" TargetMode="External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71D96-2B10-4B9B-8FFD-555A8EE3D4FB}">
  <sheetPr>
    <tabColor rgb="FF00B050"/>
    <pageSetUpPr fitToPage="1"/>
  </sheetPr>
  <dimension ref="A1:O66"/>
  <sheetViews>
    <sheetView tabSelected="1" zoomScaleNormal="100" workbookViewId="0">
      <selection activeCell="B60" sqref="B60"/>
    </sheetView>
  </sheetViews>
  <sheetFormatPr defaultColWidth="9.140625" defaultRowHeight="12.75" x14ac:dyDescent="0.2"/>
  <cols>
    <col min="1" max="1" width="27" style="2" customWidth="1"/>
    <col min="2" max="2" width="12.140625" style="2" customWidth="1"/>
    <col min="3" max="3" width="11.85546875" style="2" customWidth="1"/>
    <col min="4" max="5" width="12.28515625" style="2" customWidth="1"/>
    <col min="6" max="6" width="12.7109375" style="2" customWidth="1"/>
    <col min="7" max="7" width="12.140625" style="2" customWidth="1"/>
    <col min="8" max="8" width="12.7109375" style="2" customWidth="1"/>
    <col min="9" max="9" width="12.28515625" style="2" bestFit="1" customWidth="1"/>
    <col min="10" max="10" width="12" style="2" bestFit="1" customWidth="1"/>
    <col min="11" max="11" width="11.85546875" style="2" bestFit="1" customWidth="1"/>
    <col min="12" max="12" width="11.5703125" style="2" bestFit="1" customWidth="1"/>
    <col min="13" max="13" width="12" style="2" bestFit="1" customWidth="1"/>
    <col min="14" max="14" width="12.42578125" style="2" bestFit="1" customWidth="1"/>
    <col min="15" max="15" width="13.28515625" style="2" customWidth="1"/>
    <col min="16" max="16384" width="9.140625" style="2"/>
  </cols>
  <sheetData>
    <row r="1" spans="1:15" ht="18.75" x14ac:dyDescent="0.3">
      <c r="A1" s="1" t="s">
        <v>3</v>
      </c>
      <c r="C1" s="1" t="s">
        <v>192</v>
      </c>
    </row>
    <row r="2" spans="1:15" ht="18.75" x14ac:dyDescent="0.3">
      <c r="A2" s="1" t="s">
        <v>4</v>
      </c>
      <c r="C2" s="1"/>
    </row>
    <row r="3" spans="1:15" x14ac:dyDescent="0.2">
      <c r="A3" s="3" t="s">
        <v>5</v>
      </c>
      <c r="B3" s="4">
        <v>1.0999999999999999E-2</v>
      </c>
      <c r="C3" s="5">
        <f t="shared" ref="C3" si="0">B3/12</f>
        <v>9.1666666666666665E-4</v>
      </c>
    </row>
    <row r="4" spans="1:15" ht="6" customHeight="1" x14ac:dyDescent="0.2">
      <c r="B4" s="6"/>
      <c r="C4" s="7"/>
    </row>
    <row r="5" spans="1:15" x14ac:dyDescent="0.2">
      <c r="A5" s="8" t="s">
        <v>6</v>
      </c>
      <c r="B5" s="9">
        <v>1.0999999999999999E-2</v>
      </c>
      <c r="C5" s="10">
        <f>B5/12</f>
        <v>9.1666666666666665E-4</v>
      </c>
    </row>
    <row r="6" spans="1:15" x14ac:dyDescent="0.2">
      <c r="A6" s="8" t="s">
        <v>7</v>
      </c>
      <c r="B6" s="9">
        <v>1.0999999999999999E-2</v>
      </c>
      <c r="C6" s="10">
        <f t="shared" ref="C6:C8" si="1">B6/12</f>
        <v>9.1666666666666665E-4</v>
      </c>
    </row>
    <row r="7" spans="1:15" x14ac:dyDescent="0.2">
      <c r="A7" s="8" t="s">
        <v>8</v>
      </c>
      <c r="B7" s="9">
        <v>1.0999999999999999E-2</v>
      </c>
      <c r="C7" s="10">
        <f t="shared" si="1"/>
        <v>9.1666666666666665E-4</v>
      </c>
    </row>
    <row r="8" spans="1:15" x14ac:dyDescent="0.2">
      <c r="A8" s="8" t="s">
        <v>9</v>
      </c>
      <c r="B8" s="9">
        <v>1.0999999999999999E-2</v>
      </c>
      <c r="C8" s="10">
        <f t="shared" si="1"/>
        <v>9.1666666666666665E-4</v>
      </c>
    </row>
    <row r="9" spans="1:15" x14ac:dyDescent="0.2">
      <c r="B9" s="6"/>
      <c r="C9" s="7"/>
    </row>
    <row r="10" spans="1:15" x14ac:dyDescent="0.2">
      <c r="A10" s="62"/>
      <c r="B10" s="138">
        <v>2016</v>
      </c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</row>
    <row r="11" spans="1:15" hidden="1" x14ac:dyDescent="0.2">
      <c r="A11" s="8"/>
      <c r="B11" s="11"/>
      <c r="C11" s="12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5" hidden="1" x14ac:dyDescent="0.2">
      <c r="C12" s="6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5" hidden="1" x14ac:dyDescent="0.2">
      <c r="A13" s="13"/>
      <c r="B13" s="14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  <row r="14" spans="1:15" hidden="1" x14ac:dyDescent="0.2">
      <c r="A14" s="13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7"/>
      <c r="O14" s="18"/>
    </row>
    <row r="15" spans="1:15" hidden="1" x14ac:dyDescent="0.2">
      <c r="A15" s="13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8"/>
    </row>
    <row r="16" spans="1:15" hidden="1" x14ac:dyDescent="0.2">
      <c r="A16" s="13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5" hidden="1" x14ac:dyDescent="0.2">
      <c r="A17" s="13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8"/>
    </row>
    <row r="18" spans="1:15" hidden="1" x14ac:dyDescent="0.2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5" x14ac:dyDescent="0.2">
      <c r="A19" s="8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7"/>
      <c r="O19" s="18"/>
    </row>
    <row r="20" spans="1:15" ht="15.75" customHeight="1" x14ac:dyDescent="0.2">
      <c r="A20" s="63" t="s">
        <v>144</v>
      </c>
      <c r="B20" s="64" t="s">
        <v>10</v>
      </c>
      <c r="C20" s="65" t="s">
        <v>11</v>
      </c>
      <c r="D20" s="64" t="s">
        <v>12</v>
      </c>
      <c r="E20" s="64" t="s">
        <v>13</v>
      </c>
      <c r="F20" s="64" t="s">
        <v>14</v>
      </c>
      <c r="G20" s="64" t="s">
        <v>15</v>
      </c>
      <c r="H20" s="64" t="s">
        <v>16</v>
      </c>
      <c r="I20" s="64" t="s">
        <v>17</v>
      </c>
      <c r="J20" s="64" t="s">
        <v>18</v>
      </c>
      <c r="K20" s="64" t="s">
        <v>19</v>
      </c>
      <c r="L20" s="64" t="s">
        <v>20</v>
      </c>
      <c r="M20" s="64" t="s">
        <v>21</v>
      </c>
      <c r="N20" s="64" t="s">
        <v>22</v>
      </c>
      <c r="O20" s="66"/>
    </row>
    <row r="21" spans="1:15" x14ac:dyDescent="0.2">
      <c r="A21" s="67" t="s">
        <v>29</v>
      </c>
      <c r="C21" s="6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68"/>
    </row>
    <row r="22" spans="1:15" x14ac:dyDescent="0.2">
      <c r="A22" s="69" t="s">
        <v>23</v>
      </c>
      <c r="B22" s="70">
        <v>0</v>
      </c>
      <c r="C22" s="89">
        <f>B26</f>
        <v>0</v>
      </c>
      <c r="D22" s="89">
        <f>C26</f>
        <v>0</v>
      </c>
      <c r="E22" s="89">
        <f t="shared" ref="E22" si="2">D26</f>
        <v>0</v>
      </c>
      <c r="F22" s="89">
        <f t="shared" ref="F22" si="3">E26</f>
        <v>5341</v>
      </c>
      <c r="G22" s="89">
        <f>F26</f>
        <v>5341</v>
      </c>
      <c r="H22" s="89">
        <f t="shared" ref="H22" si="4">G26</f>
        <v>5341</v>
      </c>
      <c r="I22" s="89">
        <f t="shared" ref="I22" si="5">H26</f>
        <v>10682</v>
      </c>
      <c r="J22" s="89">
        <f t="shared" ref="J22" si="6">I26</f>
        <v>10682</v>
      </c>
      <c r="K22" s="89">
        <f t="shared" ref="K22" si="7">J26</f>
        <v>10682</v>
      </c>
      <c r="L22" s="89">
        <f t="shared" ref="L22" si="8">K26</f>
        <v>16022</v>
      </c>
      <c r="M22" s="89">
        <f t="shared" ref="M22" si="9">L26</f>
        <v>16022</v>
      </c>
      <c r="N22" s="90"/>
      <c r="O22" s="91"/>
    </row>
    <row r="23" spans="1:15" x14ac:dyDescent="0.2">
      <c r="A23" s="69" t="s">
        <v>24</v>
      </c>
      <c r="B23" s="72"/>
      <c r="C23" s="92">
        <v>0</v>
      </c>
      <c r="D23" s="92">
        <v>0</v>
      </c>
      <c r="E23" s="92">
        <f>D53</f>
        <v>5341</v>
      </c>
      <c r="F23" s="92">
        <v>0</v>
      </c>
      <c r="G23" s="92">
        <v>0</v>
      </c>
      <c r="H23" s="92">
        <f>G53</f>
        <v>5341</v>
      </c>
      <c r="I23" s="92">
        <v>0</v>
      </c>
      <c r="J23" s="92">
        <v>0</v>
      </c>
      <c r="K23" s="92">
        <f>J53</f>
        <v>5340</v>
      </c>
      <c r="L23" s="92">
        <v>0</v>
      </c>
      <c r="M23" s="92">
        <v>0</v>
      </c>
      <c r="N23" s="93"/>
      <c r="O23" s="91">
        <f>SUM(B23:M23)</f>
        <v>16022</v>
      </c>
    </row>
    <row r="24" spans="1:15" x14ac:dyDescent="0.2">
      <c r="A24" s="69" t="s">
        <v>25</v>
      </c>
      <c r="B24" s="71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90"/>
      <c r="O24" s="91"/>
    </row>
    <row r="25" spans="1:15" x14ac:dyDescent="0.2">
      <c r="A25" s="69"/>
      <c r="B25" s="71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90"/>
      <c r="O25" s="91"/>
    </row>
    <row r="26" spans="1:15" x14ac:dyDescent="0.2">
      <c r="A26" s="69" t="s">
        <v>30</v>
      </c>
      <c r="B26" s="71">
        <f>SUM(B22:B24)</f>
        <v>0</v>
      </c>
      <c r="C26" s="89">
        <f>SUM(C22:C24)</f>
        <v>0</v>
      </c>
      <c r="D26" s="89">
        <f t="shared" ref="D26:M26" si="10">SUM(D22:D24)</f>
        <v>0</v>
      </c>
      <c r="E26" s="89">
        <f t="shared" si="10"/>
        <v>5341</v>
      </c>
      <c r="F26" s="89">
        <f t="shared" si="10"/>
        <v>5341</v>
      </c>
      <c r="G26" s="89">
        <f t="shared" si="10"/>
        <v>5341</v>
      </c>
      <c r="H26" s="89">
        <f t="shared" si="10"/>
        <v>10682</v>
      </c>
      <c r="I26" s="89">
        <f t="shared" si="10"/>
        <v>10682</v>
      </c>
      <c r="J26" s="89">
        <f t="shared" si="10"/>
        <v>10682</v>
      </c>
      <c r="K26" s="89">
        <f t="shared" si="10"/>
        <v>16022</v>
      </c>
      <c r="L26" s="89">
        <f t="shared" si="10"/>
        <v>16022</v>
      </c>
      <c r="M26" s="89">
        <f t="shared" si="10"/>
        <v>16022</v>
      </c>
      <c r="N26" s="90"/>
      <c r="O26" s="91"/>
    </row>
    <row r="27" spans="1:15" x14ac:dyDescent="0.2">
      <c r="A27" s="67"/>
      <c r="B27" s="71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90"/>
      <c r="O27" s="91"/>
    </row>
    <row r="28" spans="1:15" x14ac:dyDescent="0.2">
      <c r="A28" s="73" t="s">
        <v>26</v>
      </c>
      <c r="B28" s="71">
        <f>ROUND(B22*$C$3,2)</f>
        <v>0</v>
      </c>
      <c r="C28" s="89">
        <f>ROUND(C22*$C$5,2)</f>
        <v>0</v>
      </c>
      <c r="D28" s="89">
        <f t="shared" ref="D28:E28" si="11">ROUND(D22*$C$5,2)</f>
        <v>0</v>
      </c>
      <c r="E28" s="89">
        <f t="shared" si="11"/>
        <v>0</v>
      </c>
      <c r="F28" s="89">
        <f>ROUND(F22*$C$6,2)</f>
        <v>4.9000000000000004</v>
      </c>
      <c r="G28" s="89">
        <f t="shared" ref="G28:H28" si="12">ROUND(G22*$C$6,2)</f>
        <v>4.9000000000000004</v>
      </c>
      <c r="H28" s="89">
        <f t="shared" si="12"/>
        <v>4.9000000000000004</v>
      </c>
      <c r="I28" s="89">
        <f>ROUND(I22*$C$7,2)</f>
        <v>9.7899999999999991</v>
      </c>
      <c r="J28" s="89">
        <f t="shared" ref="J28:K28" si="13">ROUND(J22*$C$7,2)</f>
        <v>9.7899999999999991</v>
      </c>
      <c r="K28" s="89">
        <f t="shared" si="13"/>
        <v>9.7899999999999991</v>
      </c>
      <c r="L28" s="89">
        <f>ROUND(L22*$C$8,2)</f>
        <v>14.69</v>
      </c>
      <c r="M28" s="89">
        <f>ROUND(M22*$C$8,2)</f>
        <v>14.69</v>
      </c>
      <c r="N28" s="93"/>
      <c r="O28" s="91">
        <f>SUM(B28:M28)</f>
        <v>73.45</v>
      </c>
    </row>
    <row r="29" spans="1:15" x14ac:dyDescent="0.2">
      <c r="A29" s="73" t="s">
        <v>27</v>
      </c>
      <c r="B29" s="70">
        <v>0</v>
      </c>
      <c r="C29" s="89">
        <f>B29+C28</f>
        <v>0</v>
      </c>
      <c r="D29" s="89">
        <f t="shared" ref="D29" si="14">C29+D28</f>
        <v>0</v>
      </c>
      <c r="E29" s="89">
        <f t="shared" ref="E29" si="15">D29+E28</f>
        <v>0</v>
      </c>
      <c r="F29" s="89">
        <f t="shared" ref="F29" si="16">E29+F28</f>
        <v>4.9000000000000004</v>
      </c>
      <c r="G29" s="89">
        <f>F29+G28</f>
        <v>9.8000000000000007</v>
      </c>
      <c r="H29" s="89">
        <f>G29+H28</f>
        <v>14.700000000000001</v>
      </c>
      <c r="I29" s="89">
        <f t="shared" ref="I29" si="17">H29+I28</f>
        <v>24.490000000000002</v>
      </c>
      <c r="J29" s="89">
        <f t="shared" ref="J29" si="18">I29+J28</f>
        <v>34.28</v>
      </c>
      <c r="K29" s="89">
        <f t="shared" ref="K29" si="19">J29+K28</f>
        <v>44.07</v>
      </c>
      <c r="L29" s="89">
        <f t="shared" ref="L29" si="20">K29+L28</f>
        <v>58.76</v>
      </c>
      <c r="M29" s="89">
        <f t="shared" ref="M29" si="21">L29+M28</f>
        <v>73.45</v>
      </c>
      <c r="N29" s="90"/>
      <c r="O29" s="91"/>
    </row>
    <row r="30" spans="1:15" x14ac:dyDescent="0.2">
      <c r="A30" s="73"/>
      <c r="B30" s="71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90"/>
      <c r="O30" s="91"/>
    </row>
    <row r="31" spans="1:15" x14ac:dyDescent="0.2">
      <c r="A31" s="74" t="s">
        <v>31</v>
      </c>
      <c r="B31" s="75">
        <v>0</v>
      </c>
      <c r="C31" s="94">
        <f t="shared" ref="C31:D31" si="22">C4+C7+C15+C18+C26+C29</f>
        <v>9.1666666666666665E-4</v>
      </c>
      <c r="D31" s="94">
        <f t="shared" si="22"/>
        <v>0</v>
      </c>
      <c r="E31" s="94">
        <f>+E26+E29</f>
        <v>5341</v>
      </c>
      <c r="F31" s="94">
        <f t="shared" ref="F31:M31" si="23">+F26+F29</f>
        <v>5345.9</v>
      </c>
      <c r="G31" s="94">
        <f t="shared" si="23"/>
        <v>5350.8</v>
      </c>
      <c r="H31" s="94">
        <f t="shared" si="23"/>
        <v>10696.7</v>
      </c>
      <c r="I31" s="94">
        <f t="shared" si="23"/>
        <v>10706.49</v>
      </c>
      <c r="J31" s="94">
        <f t="shared" si="23"/>
        <v>10716.28</v>
      </c>
      <c r="K31" s="94">
        <f t="shared" si="23"/>
        <v>16066.07</v>
      </c>
      <c r="L31" s="94">
        <f t="shared" si="23"/>
        <v>16080.76</v>
      </c>
      <c r="M31" s="94">
        <f t="shared" si="23"/>
        <v>16095.45</v>
      </c>
      <c r="N31" s="95"/>
      <c r="O31" s="96"/>
    </row>
    <row r="32" spans="1:15" x14ac:dyDescent="0.2">
      <c r="A32" s="8"/>
      <c r="B32" s="15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</row>
    <row r="33" spans="1:15" ht="15.75" customHeight="1" x14ac:dyDescent="0.2">
      <c r="A33" s="63" t="s">
        <v>191</v>
      </c>
      <c r="B33" s="64" t="s">
        <v>10</v>
      </c>
      <c r="C33" s="97" t="s">
        <v>11</v>
      </c>
      <c r="D33" s="97" t="s">
        <v>12</v>
      </c>
      <c r="E33" s="97" t="s">
        <v>13</v>
      </c>
      <c r="F33" s="97" t="s">
        <v>14</v>
      </c>
      <c r="G33" s="97" t="s">
        <v>15</v>
      </c>
      <c r="H33" s="97" t="s">
        <v>16</v>
      </c>
      <c r="I33" s="97" t="s">
        <v>17</v>
      </c>
      <c r="J33" s="97" t="s">
        <v>18</v>
      </c>
      <c r="K33" s="97" t="s">
        <v>19</v>
      </c>
      <c r="L33" s="97" t="s">
        <v>20</v>
      </c>
      <c r="M33" s="97" t="s">
        <v>21</v>
      </c>
      <c r="N33" s="97"/>
      <c r="O33" s="98"/>
    </row>
    <row r="34" spans="1:15" x14ac:dyDescent="0.2">
      <c r="A34" s="67" t="s">
        <v>29</v>
      </c>
      <c r="C34" s="90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1"/>
    </row>
    <row r="35" spans="1:15" x14ac:dyDescent="0.2">
      <c r="A35" s="69" t="s">
        <v>23</v>
      </c>
      <c r="B35" s="70">
        <v>0</v>
      </c>
      <c r="C35" s="89">
        <f>B39</f>
        <v>0</v>
      </c>
      <c r="D35" s="89">
        <f>C39</f>
        <v>0</v>
      </c>
      <c r="E35" s="89">
        <f t="shared" ref="E35:F35" si="24">D39</f>
        <v>0</v>
      </c>
      <c r="F35" s="89">
        <f t="shared" si="24"/>
        <v>-4485</v>
      </c>
      <c r="G35" s="89">
        <f>F39</f>
        <v>-4485</v>
      </c>
      <c r="H35" s="89">
        <f t="shared" ref="H35:M35" si="25">G39</f>
        <v>-4485</v>
      </c>
      <c r="I35" s="89">
        <f t="shared" si="25"/>
        <v>-8970</v>
      </c>
      <c r="J35" s="89">
        <f t="shared" si="25"/>
        <v>-8970</v>
      </c>
      <c r="K35" s="89">
        <f t="shared" si="25"/>
        <v>-8970</v>
      </c>
      <c r="L35" s="89">
        <f t="shared" si="25"/>
        <v>-13456</v>
      </c>
      <c r="M35" s="89">
        <f t="shared" si="25"/>
        <v>-13456</v>
      </c>
      <c r="N35" s="90"/>
      <c r="O35" s="91"/>
    </row>
    <row r="36" spans="1:15" x14ac:dyDescent="0.2">
      <c r="A36" s="69" t="s">
        <v>24</v>
      </c>
      <c r="B36" s="72"/>
      <c r="C36" s="92">
        <v>0</v>
      </c>
      <c r="D36" s="92">
        <v>0</v>
      </c>
      <c r="E36" s="92">
        <v>-4485</v>
      </c>
      <c r="F36" s="92">
        <v>0</v>
      </c>
      <c r="G36" s="92">
        <v>0</v>
      </c>
      <c r="H36" s="92">
        <v>-4485</v>
      </c>
      <c r="I36" s="92">
        <v>0</v>
      </c>
      <c r="J36" s="92">
        <v>0</v>
      </c>
      <c r="K36" s="92">
        <v>-4486</v>
      </c>
      <c r="L36" s="92">
        <v>0</v>
      </c>
      <c r="M36" s="92">
        <v>0</v>
      </c>
      <c r="N36" s="93"/>
      <c r="O36" s="91">
        <f>SUM(B36:M36)</f>
        <v>-13456</v>
      </c>
    </row>
    <row r="37" spans="1:15" x14ac:dyDescent="0.2">
      <c r="A37" s="69" t="s">
        <v>25</v>
      </c>
      <c r="B37" s="71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90"/>
      <c r="O37" s="91"/>
    </row>
    <row r="38" spans="1:15" x14ac:dyDescent="0.2">
      <c r="A38" s="69"/>
      <c r="B38" s="71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90"/>
      <c r="O38" s="91"/>
    </row>
    <row r="39" spans="1:15" x14ac:dyDescent="0.2">
      <c r="A39" s="69" t="s">
        <v>30</v>
      </c>
      <c r="B39" s="71">
        <f>SUM(B35:B37)</f>
        <v>0</v>
      </c>
      <c r="C39" s="89">
        <f>SUM(C35:C37)</f>
        <v>0</v>
      </c>
      <c r="D39" s="89">
        <f t="shared" ref="D39:M39" si="26">SUM(D35:D37)</f>
        <v>0</v>
      </c>
      <c r="E39" s="89">
        <f t="shared" si="26"/>
        <v>-4485</v>
      </c>
      <c r="F39" s="89">
        <f t="shared" si="26"/>
        <v>-4485</v>
      </c>
      <c r="G39" s="89">
        <f t="shared" si="26"/>
        <v>-4485</v>
      </c>
      <c r="H39" s="89">
        <f t="shared" si="26"/>
        <v>-8970</v>
      </c>
      <c r="I39" s="89">
        <f t="shared" si="26"/>
        <v>-8970</v>
      </c>
      <c r="J39" s="89">
        <f t="shared" si="26"/>
        <v>-8970</v>
      </c>
      <c r="K39" s="89">
        <f t="shared" si="26"/>
        <v>-13456</v>
      </c>
      <c r="L39" s="89">
        <f t="shared" si="26"/>
        <v>-13456</v>
      </c>
      <c r="M39" s="89">
        <f t="shared" si="26"/>
        <v>-13456</v>
      </c>
      <c r="N39" s="90"/>
      <c r="O39" s="91"/>
    </row>
    <row r="40" spans="1:15" x14ac:dyDescent="0.2">
      <c r="A40" s="67"/>
      <c r="B40" s="71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90"/>
      <c r="O40" s="91"/>
    </row>
    <row r="41" spans="1:15" x14ac:dyDescent="0.2">
      <c r="A41" s="73" t="s">
        <v>26</v>
      </c>
      <c r="B41" s="71">
        <f>ROUND(B35*$C$3,2)</f>
        <v>0</v>
      </c>
      <c r="C41" s="89">
        <f>ROUND(C35*$C$5,2)</f>
        <v>0</v>
      </c>
      <c r="D41" s="89">
        <f t="shared" ref="D41:E41" si="27">ROUND(D35*$C$5,2)</f>
        <v>0</v>
      </c>
      <c r="E41" s="89">
        <f t="shared" si="27"/>
        <v>0</v>
      </c>
      <c r="F41" s="89">
        <f>ROUND(F35*$C$6,2)</f>
        <v>-4.1100000000000003</v>
      </c>
      <c r="G41" s="89">
        <f t="shared" ref="G41:H41" si="28">ROUND(G35*$C$6,2)</f>
        <v>-4.1100000000000003</v>
      </c>
      <c r="H41" s="89">
        <f t="shared" si="28"/>
        <v>-4.1100000000000003</v>
      </c>
      <c r="I41" s="89">
        <f>ROUND(I35*$C$7,2)</f>
        <v>-8.2200000000000006</v>
      </c>
      <c r="J41" s="89">
        <f t="shared" ref="J41:K41" si="29">ROUND(J35*$C$7,2)</f>
        <v>-8.2200000000000006</v>
      </c>
      <c r="K41" s="89">
        <f t="shared" si="29"/>
        <v>-8.2200000000000006</v>
      </c>
      <c r="L41" s="89">
        <f>ROUND(L35*$C$8,2)</f>
        <v>-12.33</v>
      </c>
      <c r="M41" s="89">
        <f>ROUND(M35*$C$8,2)</f>
        <v>-12.33</v>
      </c>
      <c r="N41" s="93"/>
      <c r="O41" s="91">
        <f>SUM(B41:M41)</f>
        <v>-61.65</v>
      </c>
    </row>
    <row r="42" spans="1:15" x14ac:dyDescent="0.2">
      <c r="A42" s="74" t="s">
        <v>27</v>
      </c>
      <c r="B42" s="82">
        <v>0</v>
      </c>
      <c r="C42" s="94">
        <f>B42+C41</f>
        <v>0</v>
      </c>
      <c r="D42" s="94">
        <f t="shared" ref="D42:F42" si="30">C42+D41</f>
        <v>0</v>
      </c>
      <c r="E42" s="94">
        <f t="shared" si="30"/>
        <v>0</v>
      </c>
      <c r="F42" s="94">
        <f t="shared" si="30"/>
        <v>-4.1100000000000003</v>
      </c>
      <c r="G42" s="94">
        <f>F42+G41</f>
        <v>-8.2200000000000006</v>
      </c>
      <c r="H42" s="94">
        <f>G42+H41</f>
        <v>-12.330000000000002</v>
      </c>
      <c r="I42" s="94">
        <f t="shared" ref="I42:M42" si="31">H42+I41</f>
        <v>-20.550000000000004</v>
      </c>
      <c r="J42" s="94">
        <f t="shared" si="31"/>
        <v>-28.770000000000003</v>
      </c>
      <c r="K42" s="94">
        <f t="shared" si="31"/>
        <v>-36.99</v>
      </c>
      <c r="L42" s="94">
        <f t="shared" si="31"/>
        <v>-49.32</v>
      </c>
      <c r="M42" s="94">
        <f t="shared" si="31"/>
        <v>-61.65</v>
      </c>
      <c r="N42" s="94"/>
      <c r="O42" s="96"/>
    </row>
    <row r="43" spans="1:15" x14ac:dyDescent="0.2">
      <c r="A43" s="8"/>
      <c r="B43" s="71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90"/>
      <c r="O43" s="90"/>
    </row>
    <row r="44" spans="1:15" x14ac:dyDescent="0.2">
      <c r="A44" s="83" t="s">
        <v>31</v>
      </c>
      <c r="B44" s="84">
        <f t="shared" ref="B44:L44" si="32">B26+B29+B39+B42</f>
        <v>0</v>
      </c>
      <c r="C44" s="100">
        <f t="shared" si="32"/>
        <v>0</v>
      </c>
      <c r="D44" s="100">
        <f t="shared" si="32"/>
        <v>0</v>
      </c>
      <c r="E44" s="100">
        <f t="shared" si="32"/>
        <v>856</v>
      </c>
      <c r="F44" s="100">
        <f t="shared" si="32"/>
        <v>856.78999999999962</v>
      </c>
      <c r="G44" s="100">
        <f t="shared" si="32"/>
        <v>857.58000000000015</v>
      </c>
      <c r="H44" s="100">
        <f t="shared" si="32"/>
        <v>1714.3700000000008</v>
      </c>
      <c r="I44" s="100">
        <f t="shared" si="32"/>
        <v>1715.9399999999998</v>
      </c>
      <c r="J44" s="100">
        <f t="shared" si="32"/>
        <v>1717.5100000000007</v>
      </c>
      <c r="K44" s="100">
        <f t="shared" si="32"/>
        <v>2573.08</v>
      </c>
      <c r="L44" s="100">
        <f t="shared" si="32"/>
        <v>2575.44</v>
      </c>
      <c r="M44" s="100">
        <f>M26+M29+M39+M42</f>
        <v>2577.8000000000006</v>
      </c>
      <c r="N44" s="101"/>
      <c r="O44" s="102"/>
    </row>
    <row r="45" spans="1:15" x14ac:dyDescent="0.2">
      <c r="A45" s="8"/>
      <c r="B45" s="15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</row>
    <row r="46" spans="1:15" x14ac:dyDescent="0.2">
      <c r="A46" s="20"/>
      <c r="B46" s="20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90"/>
      <c r="O46" s="90"/>
    </row>
    <row r="47" spans="1:15" x14ac:dyDescent="0.2">
      <c r="A47" s="2" t="s">
        <v>0</v>
      </c>
      <c r="B47" s="18"/>
      <c r="C47" s="90"/>
      <c r="D47" s="105">
        <v>7837</v>
      </c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90"/>
    </row>
    <row r="48" spans="1:15" x14ac:dyDescent="0.2">
      <c r="A48" s="2" t="s">
        <v>143</v>
      </c>
      <c r="B48" s="18"/>
      <c r="C48" s="90"/>
      <c r="D48" s="105">
        <f>'OEB costs'!F2</f>
        <v>13178</v>
      </c>
      <c r="E48" s="61"/>
      <c r="F48" s="61"/>
      <c r="G48" s="105">
        <f>'OEB costs'!F3</f>
        <v>13178</v>
      </c>
      <c r="H48" s="61"/>
      <c r="I48" s="61"/>
      <c r="J48" s="105">
        <f>'OEB costs'!F4</f>
        <v>13177</v>
      </c>
      <c r="K48" s="61"/>
      <c r="L48" s="61"/>
      <c r="M48" s="61"/>
      <c r="N48" s="106" t="s">
        <v>190</v>
      </c>
      <c r="O48" s="90"/>
    </row>
    <row r="49" spans="1:15" x14ac:dyDescent="0.2">
      <c r="A49" s="63" t="s">
        <v>41</v>
      </c>
      <c r="B49" s="76"/>
      <c r="C49" s="104"/>
      <c r="D49" s="107" t="s">
        <v>147</v>
      </c>
      <c r="E49" s="107" t="s">
        <v>148</v>
      </c>
      <c r="F49" s="107"/>
      <c r="G49" s="107" t="s">
        <v>147</v>
      </c>
      <c r="H49" s="107" t="s">
        <v>148</v>
      </c>
      <c r="I49" s="107"/>
      <c r="J49" s="107" t="s">
        <v>147</v>
      </c>
      <c r="K49" s="107" t="s">
        <v>148</v>
      </c>
      <c r="L49" s="107"/>
      <c r="M49" s="107"/>
      <c r="N49" s="81"/>
      <c r="O49" s="90"/>
    </row>
    <row r="50" spans="1:15" x14ac:dyDescent="0.2">
      <c r="A50" s="67" t="s">
        <v>1</v>
      </c>
      <c r="C50" s="90"/>
      <c r="D50" s="61">
        <f>E52</f>
        <v>13178</v>
      </c>
      <c r="E50" s="61"/>
      <c r="F50" s="61"/>
      <c r="G50" s="61">
        <f>H52</f>
        <v>13178</v>
      </c>
      <c r="H50" s="61"/>
      <c r="I50" s="61"/>
      <c r="J50" s="61">
        <f>K52</f>
        <v>13177</v>
      </c>
      <c r="K50" s="61"/>
      <c r="L50" s="61"/>
      <c r="M50" s="61"/>
      <c r="N50" s="77">
        <f>SUM(B50:M50)</f>
        <v>39533</v>
      </c>
      <c r="O50" s="90"/>
    </row>
    <row r="51" spans="1:15" x14ac:dyDescent="0.2">
      <c r="A51" s="67" t="s">
        <v>2</v>
      </c>
      <c r="C51" s="90"/>
      <c r="D51" s="61"/>
      <c r="E51" s="61">
        <f>E52-$D$47</f>
        <v>5341</v>
      </c>
      <c r="F51" s="61"/>
      <c r="G51" s="61"/>
      <c r="H51" s="61">
        <f>H52-$D$47</f>
        <v>5341</v>
      </c>
      <c r="I51" s="61"/>
      <c r="J51" s="61"/>
      <c r="K51" s="61">
        <f>K52-$D$47</f>
        <v>5340</v>
      </c>
      <c r="L51" s="61"/>
      <c r="M51" s="61"/>
      <c r="N51" s="77">
        <f>-SUM(B51:M51)</f>
        <v>-16022</v>
      </c>
      <c r="O51" s="90"/>
    </row>
    <row r="52" spans="1:15" x14ac:dyDescent="0.2">
      <c r="A52" s="67" t="s">
        <v>145</v>
      </c>
      <c r="C52" s="90"/>
      <c r="D52" s="61"/>
      <c r="E52" s="61">
        <f>D48</f>
        <v>13178</v>
      </c>
      <c r="F52" s="61"/>
      <c r="G52" s="61"/>
      <c r="H52" s="61">
        <f>G48</f>
        <v>13178</v>
      </c>
      <c r="I52" s="61"/>
      <c r="J52" s="61"/>
      <c r="K52" s="61">
        <f>J48</f>
        <v>13177</v>
      </c>
      <c r="L52" s="61"/>
      <c r="M52" s="61"/>
      <c r="N52" s="77">
        <f>-SUM(B52:M52)</f>
        <v>-39533</v>
      </c>
      <c r="O52" s="90"/>
    </row>
    <row r="53" spans="1:15" x14ac:dyDescent="0.2">
      <c r="A53" s="78" t="s">
        <v>29</v>
      </c>
      <c r="B53" s="79"/>
      <c r="C53" s="94"/>
      <c r="D53" s="108">
        <f>E51</f>
        <v>5341</v>
      </c>
      <c r="E53" s="108"/>
      <c r="F53" s="108"/>
      <c r="G53" s="108">
        <f>H51</f>
        <v>5341</v>
      </c>
      <c r="H53" s="108"/>
      <c r="I53" s="108"/>
      <c r="J53" s="108">
        <f>K51</f>
        <v>5340</v>
      </c>
      <c r="K53" s="108"/>
      <c r="L53" s="108"/>
      <c r="M53" s="108"/>
      <c r="N53" s="80">
        <f t="shared" ref="N53" si="33">SUM(B53:M53)</f>
        <v>16022</v>
      </c>
      <c r="O53" s="90"/>
    </row>
    <row r="54" spans="1:15" x14ac:dyDescent="0.2">
      <c r="C54" s="90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90"/>
    </row>
    <row r="55" spans="1:15" x14ac:dyDescent="0.2">
      <c r="A55" s="63" t="s">
        <v>40</v>
      </c>
      <c r="B55" s="76"/>
      <c r="C55" s="104"/>
      <c r="D55" s="107" t="s">
        <v>147</v>
      </c>
      <c r="E55" s="107" t="s">
        <v>148</v>
      </c>
      <c r="F55" s="107"/>
      <c r="G55" s="107" t="s">
        <v>147</v>
      </c>
      <c r="H55" s="107" t="s">
        <v>148</v>
      </c>
      <c r="I55" s="107"/>
      <c r="J55" s="107" t="s">
        <v>147</v>
      </c>
      <c r="K55" s="107" t="s">
        <v>148</v>
      </c>
      <c r="L55" s="107"/>
      <c r="M55" s="107"/>
      <c r="N55" s="81"/>
      <c r="O55" s="90"/>
    </row>
    <row r="56" spans="1:15" x14ac:dyDescent="0.2">
      <c r="A56" s="67" t="s">
        <v>1</v>
      </c>
      <c r="C56" s="90"/>
      <c r="D56" s="61">
        <v>17663</v>
      </c>
      <c r="E56" s="61"/>
      <c r="F56" s="61"/>
      <c r="G56" s="61">
        <v>17663</v>
      </c>
      <c r="H56" s="61"/>
      <c r="I56" s="61"/>
      <c r="J56" s="61">
        <v>17663</v>
      </c>
      <c r="K56" s="61"/>
      <c r="L56" s="61"/>
      <c r="M56" s="61"/>
      <c r="N56" s="77">
        <f t="shared" ref="N56:N60" si="34">SUM(B56:M56)</f>
        <v>52989</v>
      </c>
      <c r="O56" s="90"/>
    </row>
    <row r="57" spans="1:15" x14ac:dyDescent="0.2">
      <c r="A57" s="67" t="s">
        <v>29</v>
      </c>
      <c r="C57" s="90"/>
      <c r="D57" s="61"/>
      <c r="E57" s="61">
        <f>D56-E58</f>
        <v>4485</v>
      </c>
      <c r="F57" s="61"/>
      <c r="G57" s="61"/>
      <c r="H57" s="61">
        <f>G56-H58</f>
        <v>4485</v>
      </c>
      <c r="I57" s="61"/>
      <c r="J57" s="61"/>
      <c r="K57" s="61">
        <f>J56-K58</f>
        <v>4486</v>
      </c>
      <c r="L57" s="61"/>
      <c r="M57" s="61"/>
      <c r="N57" s="77">
        <f>-SUM(B57:M57)</f>
        <v>-13456</v>
      </c>
      <c r="O57" s="90"/>
    </row>
    <row r="58" spans="1:15" x14ac:dyDescent="0.2">
      <c r="A58" s="78" t="s">
        <v>145</v>
      </c>
      <c r="B58" s="79"/>
      <c r="C58" s="94"/>
      <c r="D58" s="108"/>
      <c r="E58" s="108">
        <f>D48</f>
        <v>13178</v>
      </c>
      <c r="F58" s="108"/>
      <c r="G58" s="108"/>
      <c r="H58" s="108">
        <f>G48</f>
        <v>13178</v>
      </c>
      <c r="I58" s="108"/>
      <c r="J58" s="108"/>
      <c r="K58" s="108">
        <f>J48</f>
        <v>13177</v>
      </c>
      <c r="L58" s="108"/>
      <c r="M58" s="108"/>
      <c r="N58" s="80">
        <f>-SUM(B58:M58)</f>
        <v>-39533</v>
      </c>
      <c r="O58" s="90"/>
    </row>
    <row r="59" spans="1:15" x14ac:dyDescent="0.2"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>
        <f>-SUM(B59:M59)</f>
        <v>0</v>
      </c>
      <c r="O59" s="90"/>
    </row>
    <row r="60" spans="1:15" x14ac:dyDescent="0.2">
      <c r="A60" s="63" t="s">
        <v>188</v>
      </c>
      <c r="B60" s="76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98">
        <f t="shared" si="34"/>
        <v>0</v>
      </c>
      <c r="O60" s="90"/>
    </row>
    <row r="61" spans="1:15" x14ac:dyDescent="0.2">
      <c r="A61" s="67" t="s">
        <v>36</v>
      </c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1">
        <f>O28</f>
        <v>73.45</v>
      </c>
      <c r="O61" s="90"/>
    </row>
    <row r="62" spans="1:15" x14ac:dyDescent="0.2">
      <c r="A62" s="78" t="s">
        <v>35</v>
      </c>
      <c r="B62" s="79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6">
        <f>-N61</f>
        <v>-73.45</v>
      </c>
      <c r="O62" s="90"/>
    </row>
    <row r="63" spans="1:15" x14ac:dyDescent="0.2"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</row>
    <row r="64" spans="1:15" x14ac:dyDescent="0.2">
      <c r="A64" s="63" t="s">
        <v>189</v>
      </c>
      <c r="B64" s="76"/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98"/>
      <c r="O64" s="90"/>
    </row>
    <row r="65" spans="1:15" x14ac:dyDescent="0.2">
      <c r="A65" s="67" t="s">
        <v>36</v>
      </c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1">
        <f>O41</f>
        <v>-61.65</v>
      </c>
      <c r="O65" s="90"/>
    </row>
    <row r="66" spans="1:15" x14ac:dyDescent="0.2">
      <c r="A66" s="78" t="s">
        <v>37</v>
      </c>
      <c r="B66" s="79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6">
        <f>-N65</f>
        <v>61.65</v>
      </c>
      <c r="O66" s="90"/>
    </row>
  </sheetData>
  <mergeCells count="1">
    <mergeCell ref="B10:N10"/>
  </mergeCells>
  <printOptions horizontalCentered="1"/>
  <pageMargins left="0" right="0" top="1" bottom="1" header="0.5" footer="0.5"/>
  <pageSetup scale="65" orientation="landscape" r:id="rId1"/>
  <headerFooter alignWithMargins="0">
    <oddHeader>&amp;C&amp;A</oddHeader>
    <oddFooter>&amp;L&amp;Z&amp;F&amp;R&amp;D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FEE37-6C28-4399-B914-86A24C0D8D21}">
  <dimension ref="A1:K57"/>
  <sheetViews>
    <sheetView zoomScale="80" zoomScaleNormal="80" workbookViewId="0">
      <selection activeCell="H24" sqref="H24"/>
    </sheetView>
  </sheetViews>
  <sheetFormatPr defaultRowHeight="15" x14ac:dyDescent="0.25"/>
  <cols>
    <col min="1" max="1" width="12.85546875" customWidth="1"/>
    <col min="2" max="2" width="18.5703125" bestFit="1" customWidth="1"/>
    <col min="3" max="3" width="20.140625" bestFit="1" customWidth="1"/>
    <col min="4" max="4" width="32.5703125" bestFit="1" customWidth="1"/>
    <col min="5" max="5" width="10.28515625" bestFit="1" customWidth="1"/>
    <col min="6" max="6" width="26.85546875" bestFit="1" customWidth="1"/>
    <col min="7" max="7" width="12.28515625" customWidth="1"/>
    <col min="8" max="8" width="14.42578125" customWidth="1"/>
    <col min="9" max="9" width="13.85546875" bestFit="1" customWidth="1"/>
    <col min="10" max="10" width="14.42578125" bestFit="1" customWidth="1"/>
    <col min="11" max="11" width="21.7109375" customWidth="1"/>
  </cols>
  <sheetData>
    <row r="1" spans="1:11" x14ac:dyDescent="0.25">
      <c r="A1" s="57" t="s">
        <v>149</v>
      </c>
      <c r="B1" s="57" t="s">
        <v>150</v>
      </c>
      <c r="C1" s="57" t="s">
        <v>151</v>
      </c>
      <c r="D1" s="57" t="s">
        <v>152</v>
      </c>
      <c r="E1" s="57" t="s">
        <v>153</v>
      </c>
      <c r="F1" s="57" t="s">
        <v>154</v>
      </c>
      <c r="G1" s="57" t="s">
        <v>155</v>
      </c>
      <c r="H1" s="57" t="s">
        <v>156</v>
      </c>
      <c r="I1" s="58" t="s">
        <v>157</v>
      </c>
      <c r="J1" s="58" t="s">
        <v>158</v>
      </c>
      <c r="K1" s="59" t="s">
        <v>159</v>
      </c>
    </row>
    <row r="2" spans="1:11" x14ac:dyDescent="0.25">
      <c r="A2" s="60">
        <v>42763</v>
      </c>
      <c r="B2" s="57" t="s">
        <v>1</v>
      </c>
      <c r="C2" s="57" t="s">
        <v>160</v>
      </c>
      <c r="D2" s="57" t="s">
        <v>161</v>
      </c>
      <c r="E2" s="57" t="s">
        <v>162</v>
      </c>
      <c r="F2" s="57" t="s">
        <v>168</v>
      </c>
      <c r="G2" s="57" t="s">
        <v>162</v>
      </c>
      <c r="H2" s="57" t="s">
        <v>162</v>
      </c>
      <c r="I2" s="58">
        <v>0</v>
      </c>
      <c r="J2" s="58">
        <v>4486</v>
      </c>
      <c r="K2" s="58">
        <v>-4486</v>
      </c>
    </row>
    <row r="3" spans="1:11" x14ac:dyDescent="0.25">
      <c r="A3" s="60">
        <v>42763</v>
      </c>
      <c r="B3" s="57" t="s">
        <v>33</v>
      </c>
      <c r="C3" s="57" t="s">
        <v>160</v>
      </c>
      <c r="D3" s="57" t="s">
        <v>167</v>
      </c>
      <c r="E3" s="57" t="s">
        <v>162</v>
      </c>
      <c r="F3" s="57" t="s">
        <v>168</v>
      </c>
      <c r="G3" s="57" t="s">
        <v>162</v>
      </c>
      <c r="H3" s="57" t="s">
        <v>162</v>
      </c>
      <c r="I3" s="58">
        <v>4486</v>
      </c>
      <c r="J3" s="58">
        <v>0</v>
      </c>
      <c r="K3" s="58">
        <v>4486</v>
      </c>
    </row>
    <row r="4" spans="1:11" x14ac:dyDescent="0.25">
      <c r="A4" s="60">
        <v>42855</v>
      </c>
      <c r="B4" s="57" t="s">
        <v>1</v>
      </c>
      <c r="C4" s="57" t="s">
        <v>160</v>
      </c>
      <c r="D4" s="57" t="s">
        <v>161</v>
      </c>
      <c r="E4" s="57" t="s">
        <v>162</v>
      </c>
      <c r="F4" s="57" t="s">
        <v>169</v>
      </c>
      <c r="G4" s="57" t="s">
        <v>162</v>
      </c>
      <c r="H4" s="57" t="s">
        <v>162</v>
      </c>
      <c r="I4" s="58">
        <v>0</v>
      </c>
      <c r="J4" s="58">
        <v>3966</v>
      </c>
      <c r="K4" s="58">
        <v>-3966</v>
      </c>
    </row>
    <row r="5" spans="1:11" x14ac:dyDescent="0.25">
      <c r="A5" s="60">
        <v>42855</v>
      </c>
      <c r="B5" s="57" t="s">
        <v>33</v>
      </c>
      <c r="C5" s="57" t="s">
        <v>160</v>
      </c>
      <c r="D5" s="57" t="s">
        <v>167</v>
      </c>
      <c r="E5" s="57" t="s">
        <v>162</v>
      </c>
      <c r="F5" s="57" t="s">
        <v>169</v>
      </c>
      <c r="G5" s="57" t="s">
        <v>162</v>
      </c>
      <c r="H5" s="57" t="s">
        <v>162</v>
      </c>
      <c r="I5" s="58">
        <v>3966</v>
      </c>
      <c r="J5" s="58">
        <v>0</v>
      </c>
      <c r="K5" s="58">
        <v>3966</v>
      </c>
    </row>
    <row r="6" spans="1:11" x14ac:dyDescent="0.25">
      <c r="A6" s="60">
        <v>42947</v>
      </c>
      <c r="B6" s="57" t="s">
        <v>1</v>
      </c>
      <c r="C6" s="57" t="s">
        <v>160</v>
      </c>
      <c r="D6" s="57" t="s">
        <v>161</v>
      </c>
      <c r="E6" s="57" t="s">
        <v>162</v>
      </c>
      <c r="F6" s="57" t="s">
        <v>170</v>
      </c>
      <c r="G6" s="57" t="s">
        <v>162</v>
      </c>
      <c r="H6" s="57" t="s">
        <v>162</v>
      </c>
      <c r="I6" s="58">
        <v>0</v>
      </c>
      <c r="J6" s="58">
        <v>3966</v>
      </c>
      <c r="K6" s="58">
        <v>-3966</v>
      </c>
    </row>
    <row r="7" spans="1:11" x14ac:dyDescent="0.25">
      <c r="A7" s="60">
        <v>42947</v>
      </c>
      <c r="B7" s="57" t="s">
        <v>33</v>
      </c>
      <c r="C7" s="57" t="s">
        <v>160</v>
      </c>
      <c r="D7" s="57" t="s">
        <v>167</v>
      </c>
      <c r="E7" s="57" t="s">
        <v>162</v>
      </c>
      <c r="F7" s="57" t="s">
        <v>170</v>
      </c>
      <c r="G7" s="57" t="s">
        <v>162</v>
      </c>
      <c r="H7" s="57" t="s">
        <v>162</v>
      </c>
      <c r="I7" s="58">
        <v>3966</v>
      </c>
      <c r="J7" s="58">
        <v>0</v>
      </c>
      <c r="K7" s="58">
        <v>3966</v>
      </c>
    </row>
    <row r="8" spans="1:11" x14ac:dyDescent="0.25">
      <c r="A8" s="60">
        <v>43039</v>
      </c>
      <c r="B8" s="57" t="s">
        <v>1</v>
      </c>
      <c r="C8" s="57" t="s">
        <v>160</v>
      </c>
      <c r="D8" s="57" t="s">
        <v>161</v>
      </c>
      <c r="E8" s="57" t="s">
        <v>162</v>
      </c>
      <c r="F8" s="57" t="s">
        <v>171</v>
      </c>
      <c r="G8" s="57" t="s">
        <v>162</v>
      </c>
      <c r="H8" s="57" t="s">
        <v>162</v>
      </c>
      <c r="I8" s="58">
        <v>0</v>
      </c>
      <c r="J8" s="58">
        <v>4689</v>
      </c>
      <c r="K8" s="58">
        <v>-4689</v>
      </c>
    </row>
    <row r="9" spans="1:11" x14ac:dyDescent="0.25">
      <c r="A9" s="60">
        <v>43039</v>
      </c>
      <c r="B9" s="57" t="s">
        <v>33</v>
      </c>
      <c r="C9" s="57" t="s">
        <v>160</v>
      </c>
      <c r="D9" s="57" t="s">
        <v>167</v>
      </c>
      <c r="E9" s="57" t="s">
        <v>162</v>
      </c>
      <c r="F9" s="57" t="s">
        <v>171</v>
      </c>
      <c r="G9" s="57" t="s">
        <v>162</v>
      </c>
      <c r="H9" s="57" t="s">
        <v>162</v>
      </c>
      <c r="I9" s="58">
        <v>4689</v>
      </c>
      <c r="J9" s="58">
        <v>0</v>
      </c>
      <c r="K9" s="58">
        <v>4689</v>
      </c>
    </row>
    <row r="10" spans="1:11" x14ac:dyDescent="0.25">
      <c r="A10" s="60">
        <v>43130</v>
      </c>
      <c r="B10" s="57" t="s">
        <v>1</v>
      </c>
      <c r="C10" s="57" t="s">
        <v>160</v>
      </c>
      <c r="D10" s="57" t="s">
        <v>161</v>
      </c>
      <c r="E10" s="57" t="s">
        <v>162</v>
      </c>
      <c r="F10" s="57" t="s">
        <v>172</v>
      </c>
      <c r="G10" s="57" t="s">
        <v>162</v>
      </c>
      <c r="H10" s="57" t="s">
        <v>162</v>
      </c>
      <c r="I10" s="58">
        <v>0</v>
      </c>
      <c r="J10" s="58">
        <v>4689</v>
      </c>
      <c r="K10" s="58">
        <v>-4689</v>
      </c>
    </row>
    <row r="11" spans="1:11" x14ac:dyDescent="0.25">
      <c r="A11" s="60">
        <v>43130</v>
      </c>
      <c r="B11" s="57" t="s">
        <v>33</v>
      </c>
      <c r="C11" s="57" t="s">
        <v>160</v>
      </c>
      <c r="D11" s="57" t="s">
        <v>167</v>
      </c>
      <c r="E11" s="57" t="s">
        <v>162</v>
      </c>
      <c r="F11" s="57" t="s">
        <v>172</v>
      </c>
      <c r="G11" s="57" t="s">
        <v>162</v>
      </c>
      <c r="H11" s="57" t="s">
        <v>162</v>
      </c>
      <c r="I11" s="58">
        <v>4689</v>
      </c>
      <c r="J11" s="58">
        <v>0</v>
      </c>
      <c r="K11" s="58">
        <v>4689</v>
      </c>
    </row>
    <row r="12" spans="1:11" x14ac:dyDescent="0.25">
      <c r="A12" s="60">
        <v>43220</v>
      </c>
      <c r="B12" s="57" t="s">
        <v>1</v>
      </c>
      <c r="C12" s="57" t="s">
        <v>160</v>
      </c>
      <c r="D12" s="57" t="s">
        <v>161</v>
      </c>
      <c r="E12" s="57" t="s">
        <v>162</v>
      </c>
      <c r="F12" s="57" t="s">
        <v>173</v>
      </c>
      <c r="G12" s="57" t="s">
        <v>162</v>
      </c>
      <c r="H12" s="57" t="s">
        <v>162</v>
      </c>
      <c r="I12" s="58">
        <v>0</v>
      </c>
      <c r="J12" s="58">
        <v>4516</v>
      </c>
      <c r="K12" s="58">
        <v>-4516</v>
      </c>
    </row>
    <row r="13" spans="1:11" x14ac:dyDescent="0.25">
      <c r="A13" s="60">
        <v>43220</v>
      </c>
      <c r="B13" s="57" t="s">
        <v>33</v>
      </c>
      <c r="C13" s="57" t="s">
        <v>160</v>
      </c>
      <c r="D13" s="57" t="s">
        <v>167</v>
      </c>
      <c r="E13" s="57" t="s">
        <v>162</v>
      </c>
      <c r="F13" s="57" t="s">
        <v>173</v>
      </c>
      <c r="G13" s="57" t="s">
        <v>162</v>
      </c>
      <c r="H13" s="57" t="s">
        <v>162</v>
      </c>
      <c r="I13" s="58">
        <v>4516</v>
      </c>
      <c r="J13" s="58">
        <v>0</v>
      </c>
      <c r="K13" s="58">
        <v>4516</v>
      </c>
    </row>
    <row r="14" spans="1:11" x14ac:dyDescent="0.25">
      <c r="A14" s="60">
        <v>43312</v>
      </c>
      <c r="B14" s="57" t="s">
        <v>1</v>
      </c>
      <c r="C14" s="57" t="s">
        <v>160</v>
      </c>
      <c r="D14" s="57" t="s">
        <v>161</v>
      </c>
      <c r="E14" s="57" t="s">
        <v>162</v>
      </c>
      <c r="F14" s="57" t="s">
        <v>174</v>
      </c>
      <c r="G14" s="57" t="s">
        <v>162</v>
      </c>
      <c r="H14" s="57" t="s">
        <v>162</v>
      </c>
      <c r="I14" s="58">
        <v>0</v>
      </c>
      <c r="J14" s="58">
        <v>5608</v>
      </c>
      <c r="K14" s="58">
        <v>-5608</v>
      </c>
    </row>
    <row r="15" spans="1:11" x14ac:dyDescent="0.25">
      <c r="A15" s="60">
        <v>43312</v>
      </c>
      <c r="B15" s="57" t="s">
        <v>33</v>
      </c>
      <c r="C15" s="57" t="s">
        <v>160</v>
      </c>
      <c r="D15" s="57" t="s">
        <v>167</v>
      </c>
      <c r="E15" s="57" t="s">
        <v>162</v>
      </c>
      <c r="F15" s="57" t="s">
        <v>174</v>
      </c>
      <c r="G15" s="57" t="s">
        <v>162</v>
      </c>
      <c r="H15" s="57" t="s">
        <v>162</v>
      </c>
      <c r="I15" s="58">
        <v>5608</v>
      </c>
      <c r="J15" s="58">
        <v>0</v>
      </c>
      <c r="K15" s="58">
        <v>5608</v>
      </c>
    </row>
    <row r="16" spans="1:11" x14ac:dyDescent="0.25">
      <c r="A16" s="60">
        <v>43404</v>
      </c>
      <c r="B16" s="57" t="s">
        <v>1</v>
      </c>
      <c r="C16" s="57" t="s">
        <v>160</v>
      </c>
      <c r="D16" s="57" t="s">
        <v>161</v>
      </c>
      <c r="E16" s="57" t="s">
        <v>162</v>
      </c>
      <c r="F16" s="57" t="s">
        <v>175</v>
      </c>
      <c r="G16" s="57" t="s">
        <v>162</v>
      </c>
      <c r="H16" s="57" t="s">
        <v>162</v>
      </c>
      <c r="I16" s="58">
        <v>0</v>
      </c>
      <c r="J16" s="58">
        <v>5608</v>
      </c>
      <c r="K16" s="58">
        <v>-5608</v>
      </c>
    </row>
    <row r="17" spans="1:11" x14ac:dyDescent="0.25">
      <c r="A17" s="60">
        <v>43404</v>
      </c>
      <c r="B17" s="57" t="s">
        <v>33</v>
      </c>
      <c r="C17" s="57" t="s">
        <v>160</v>
      </c>
      <c r="D17" s="57" t="s">
        <v>167</v>
      </c>
      <c r="E17" s="57" t="s">
        <v>162</v>
      </c>
      <c r="F17" s="57" t="s">
        <v>175</v>
      </c>
      <c r="G17" s="57" t="s">
        <v>162</v>
      </c>
      <c r="H17" s="57" t="s">
        <v>162</v>
      </c>
      <c r="I17" s="58">
        <v>5608</v>
      </c>
      <c r="J17" s="58">
        <v>0</v>
      </c>
      <c r="K17" s="58">
        <v>5608</v>
      </c>
    </row>
    <row r="18" spans="1:11" x14ac:dyDescent="0.25">
      <c r="A18" s="60">
        <v>43466</v>
      </c>
      <c r="B18" s="57" t="s">
        <v>1</v>
      </c>
      <c r="C18" s="57" t="s">
        <v>160</v>
      </c>
      <c r="D18" s="57" t="s">
        <v>161</v>
      </c>
      <c r="E18" s="57" t="s">
        <v>162</v>
      </c>
      <c r="F18" s="57" t="s">
        <v>168</v>
      </c>
      <c r="G18" s="57" t="s">
        <v>162</v>
      </c>
      <c r="H18" s="57" t="s">
        <v>162</v>
      </c>
      <c r="I18" s="58">
        <v>0</v>
      </c>
      <c r="J18" s="58">
        <v>5608</v>
      </c>
      <c r="K18" s="58">
        <v>-5608</v>
      </c>
    </row>
    <row r="19" spans="1:11" x14ac:dyDescent="0.25">
      <c r="A19" s="60">
        <v>43466</v>
      </c>
      <c r="B19" s="57" t="s">
        <v>33</v>
      </c>
      <c r="C19" s="57" t="s">
        <v>160</v>
      </c>
      <c r="D19" s="57" t="s">
        <v>167</v>
      </c>
      <c r="E19" s="57" t="s">
        <v>162</v>
      </c>
      <c r="F19" s="57" t="s">
        <v>168</v>
      </c>
      <c r="G19" s="57" t="s">
        <v>162</v>
      </c>
      <c r="H19" s="57" t="s">
        <v>162</v>
      </c>
      <c r="I19" s="58">
        <v>5608</v>
      </c>
      <c r="J19" s="58">
        <v>0</v>
      </c>
      <c r="K19" s="58">
        <v>5608</v>
      </c>
    </row>
    <row r="20" spans="1:11" x14ac:dyDescent="0.25">
      <c r="A20" s="60">
        <v>43585</v>
      </c>
      <c r="B20" s="57" t="s">
        <v>1</v>
      </c>
      <c r="C20" s="57" t="s">
        <v>160</v>
      </c>
      <c r="D20" s="57" t="s">
        <v>161</v>
      </c>
      <c r="E20" s="57" t="s">
        <v>162</v>
      </c>
      <c r="F20" s="57" t="s">
        <v>169</v>
      </c>
      <c r="G20" s="57" t="s">
        <v>162</v>
      </c>
      <c r="H20" s="57" t="s">
        <v>162</v>
      </c>
      <c r="I20" s="58">
        <v>0</v>
      </c>
      <c r="J20" s="58">
        <v>4516</v>
      </c>
      <c r="K20" s="58">
        <v>-4516</v>
      </c>
    </row>
    <row r="21" spans="1:11" x14ac:dyDescent="0.25">
      <c r="A21" s="60">
        <v>43585</v>
      </c>
      <c r="B21" s="57" t="s">
        <v>33</v>
      </c>
      <c r="C21" s="57" t="s">
        <v>160</v>
      </c>
      <c r="D21" s="57" t="s">
        <v>167</v>
      </c>
      <c r="E21" s="57" t="s">
        <v>162</v>
      </c>
      <c r="F21" s="57" t="s">
        <v>169</v>
      </c>
      <c r="G21" s="57" t="s">
        <v>162</v>
      </c>
      <c r="H21" s="57" t="s">
        <v>162</v>
      </c>
      <c r="I21" s="58">
        <v>4516</v>
      </c>
      <c r="J21" s="58">
        <v>0</v>
      </c>
      <c r="K21" s="58">
        <v>4516</v>
      </c>
    </row>
    <row r="22" spans="1:11" x14ac:dyDescent="0.25">
      <c r="A22" s="60">
        <v>43676</v>
      </c>
      <c r="B22" s="57" t="s">
        <v>1</v>
      </c>
      <c r="C22" s="57" t="s">
        <v>160</v>
      </c>
      <c r="D22" s="57" t="s">
        <v>161</v>
      </c>
      <c r="E22" s="57" t="s">
        <v>162</v>
      </c>
      <c r="F22" s="57" t="s">
        <v>176</v>
      </c>
      <c r="G22" s="57" t="s">
        <v>162</v>
      </c>
      <c r="H22" s="57" t="s">
        <v>162</v>
      </c>
      <c r="I22" s="58">
        <v>0</v>
      </c>
      <c r="J22" s="58">
        <v>4548</v>
      </c>
      <c r="K22" s="58">
        <v>-4548</v>
      </c>
    </row>
    <row r="23" spans="1:11" x14ac:dyDescent="0.25">
      <c r="A23" s="60">
        <v>43676</v>
      </c>
      <c r="B23" s="57" t="s">
        <v>33</v>
      </c>
      <c r="C23" s="57" t="s">
        <v>160</v>
      </c>
      <c r="D23" s="57" t="s">
        <v>167</v>
      </c>
      <c r="E23" s="57" t="s">
        <v>162</v>
      </c>
      <c r="F23" s="57" t="s">
        <v>176</v>
      </c>
      <c r="G23" s="57" t="s">
        <v>162</v>
      </c>
      <c r="H23" s="57" t="s">
        <v>162</v>
      </c>
      <c r="I23" s="58">
        <v>4548</v>
      </c>
      <c r="J23" s="58">
        <v>0</v>
      </c>
      <c r="K23" s="58">
        <v>4548</v>
      </c>
    </row>
    <row r="24" spans="1:11" x14ac:dyDescent="0.25">
      <c r="A24" s="60">
        <v>43768</v>
      </c>
      <c r="B24" s="57" t="s">
        <v>1</v>
      </c>
      <c r="C24" s="57" t="s">
        <v>160</v>
      </c>
      <c r="D24" s="57" t="s">
        <v>161</v>
      </c>
      <c r="E24" s="57" t="s">
        <v>162</v>
      </c>
      <c r="F24" s="57" t="s">
        <v>177</v>
      </c>
      <c r="G24" s="57" t="s">
        <v>162</v>
      </c>
      <c r="H24" s="57" t="s">
        <v>162</v>
      </c>
      <c r="I24" s="58">
        <v>0</v>
      </c>
      <c r="J24" s="58">
        <v>4548</v>
      </c>
      <c r="K24" s="58">
        <v>-4548</v>
      </c>
    </row>
    <row r="25" spans="1:11" x14ac:dyDescent="0.25">
      <c r="A25" s="60">
        <v>43768</v>
      </c>
      <c r="B25" s="57" t="s">
        <v>33</v>
      </c>
      <c r="C25" s="57" t="s">
        <v>160</v>
      </c>
      <c r="D25" s="57" t="s">
        <v>167</v>
      </c>
      <c r="E25" s="57" t="s">
        <v>162</v>
      </c>
      <c r="F25" s="57" t="s">
        <v>177</v>
      </c>
      <c r="G25" s="57" t="s">
        <v>162</v>
      </c>
      <c r="H25" s="57" t="s">
        <v>162</v>
      </c>
      <c r="I25" s="58">
        <v>4548</v>
      </c>
      <c r="J25" s="58">
        <v>0</v>
      </c>
      <c r="K25" s="58">
        <v>4548</v>
      </c>
    </row>
    <row r="26" spans="1:11" x14ac:dyDescent="0.25">
      <c r="A26" s="60">
        <v>43860</v>
      </c>
      <c r="B26" s="57" t="s">
        <v>1</v>
      </c>
      <c r="C26" s="57" t="s">
        <v>160</v>
      </c>
      <c r="D26" s="57" t="s">
        <v>161</v>
      </c>
      <c r="E26" s="57" t="s">
        <v>162</v>
      </c>
      <c r="F26" s="57" t="s">
        <v>178</v>
      </c>
      <c r="G26" s="57" t="s">
        <v>162</v>
      </c>
      <c r="H26" s="57" t="s">
        <v>162</v>
      </c>
      <c r="I26" s="58">
        <v>0</v>
      </c>
      <c r="J26" s="58">
        <v>4548</v>
      </c>
      <c r="K26" s="58">
        <v>-4548</v>
      </c>
    </row>
    <row r="27" spans="1:11" x14ac:dyDescent="0.25">
      <c r="A27" s="60">
        <v>43860</v>
      </c>
      <c r="B27" s="57" t="s">
        <v>33</v>
      </c>
      <c r="C27" s="57" t="s">
        <v>160</v>
      </c>
      <c r="D27" s="57" t="s">
        <v>167</v>
      </c>
      <c r="E27" s="57" t="s">
        <v>162</v>
      </c>
      <c r="F27" s="57" t="s">
        <v>178</v>
      </c>
      <c r="G27" s="57" t="s">
        <v>162</v>
      </c>
      <c r="H27" s="57" t="s">
        <v>162</v>
      </c>
      <c r="I27" s="58">
        <v>4548</v>
      </c>
      <c r="J27" s="58">
        <v>0</v>
      </c>
      <c r="K27" s="58">
        <v>4548</v>
      </c>
    </row>
    <row r="28" spans="1:11" x14ac:dyDescent="0.25">
      <c r="A28" s="60">
        <v>43951</v>
      </c>
      <c r="B28" s="57" t="s">
        <v>1</v>
      </c>
      <c r="C28" s="57" t="s">
        <v>160</v>
      </c>
      <c r="D28" s="57" t="s">
        <v>161</v>
      </c>
      <c r="E28" s="57" t="s">
        <v>162</v>
      </c>
      <c r="F28" s="57" t="s">
        <v>179</v>
      </c>
      <c r="G28" s="57" t="s">
        <v>162</v>
      </c>
      <c r="H28" s="57" t="s">
        <v>162</v>
      </c>
      <c r="I28" s="58">
        <v>0</v>
      </c>
      <c r="J28" s="58">
        <v>4580</v>
      </c>
      <c r="K28" s="58">
        <v>-4580</v>
      </c>
    </row>
    <row r="29" spans="1:11" x14ac:dyDescent="0.25">
      <c r="A29" s="60">
        <v>43951</v>
      </c>
      <c r="B29" s="57" t="s">
        <v>33</v>
      </c>
      <c r="C29" s="57" t="s">
        <v>160</v>
      </c>
      <c r="D29" s="57" t="s">
        <v>167</v>
      </c>
      <c r="E29" s="57" t="s">
        <v>162</v>
      </c>
      <c r="F29" s="57" t="s">
        <v>179</v>
      </c>
      <c r="G29" s="57" t="s">
        <v>162</v>
      </c>
      <c r="H29" s="57" t="s">
        <v>162</v>
      </c>
      <c r="I29" s="58">
        <v>4580</v>
      </c>
      <c r="J29" s="58">
        <v>0</v>
      </c>
      <c r="K29" s="58">
        <v>4580</v>
      </c>
    </row>
    <row r="30" spans="1:11" x14ac:dyDescent="0.25">
      <c r="A30" s="60">
        <v>44042</v>
      </c>
      <c r="B30" s="57" t="s">
        <v>1</v>
      </c>
      <c r="C30" s="57" t="s">
        <v>160</v>
      </c>
      <c r="D30" s="57" t="s">
        <v>161</v>
      </c>
      <c r="E30" s="57" t="s">
        <v>162</v>
      </c>
      <c r="F30" s="57" t="s">
        <v>176</v>
      </c>
      <c r="G30" s="57" t="s">
        <v>162</v>
      </c>
      <c r="H30" s="57" t="s">
        <v>162</v>
      </c>
      <c r="I30" s="58">
        <v>0</v>
      </c>
      <c r="J30" s="58">
        <v>4730</v>
      </c>
      <c r="K30" s="58">
        <v>-4730</v>
      </c>
    </row>
    <row r="31" spans="1:11" x14ac:dyDescent="0.25">
      <c r="A31" s="60">
        <v>44042</v>
      </c>
      <c r="B31" s="57" t="s">
        <v>33</v>
      </c>
      <c r="C31" s="57" t="s">
        <v>160</v>
      </c>
      <c r="D31" s="57" t="s">
        <v>167</v>
      </c>
      <c r="E31" s="57" t="s">
        <v>162</v>
      </c>
      <c r="F31" s="57" t="s">
        <v>176</v>
      </c>
      <c r="G31" s="57" t="s">
        <v>162</v>
      </c>
      <c r="H31" s="57" t="s">
        <v>162</v>
      </c>
      <c r="I31" s="58">
        <v>4730</v>
      </c>
      <c r="J31" s="58">
        <v>0</v>
      </c>
      <c r="K31" s="58">
        <v>4730</v>
      </c>
    </row>
    <row r="32" spans="1:11" x14ac:dyDescent="0.25">
      <c r="A32" s="60">
        <v>44134</v>
      </c>
      <c r="B32" s="57" t="s">
        <v>1</v>
      </c>
      <c r="C32" s="57" t="s">
        <v>160</v>
      </c>
      <c r="D32" s="57" t="s">
        <v>161</v>
      </c>
      <c r="E32" s="57" t="s">
        <v>162</v>
      </c>
      <c r="F32" s="57" t="s">
        <v>175</v>
      </c>
      <c r="G32" s="57" t="s">
        <v>162</v>
      </c>
      <c r="H32" s="57" t="s">
        <v>162</v>
      </c>
      <c r="I32" s="58">
        <v>0</v>
      </c>
      <c r="J32" s="58">
        <v>4729</v>
      </c>
      <c r="K32" s="58">
        <v>-4729</v>
      </c>
    </row>
    <row r="33" spans="1:11" x14ac:dyDescent="0.25">
      <c r="A33" s="60">
        <v>44134</v>
      </c>
      <c r="B33" s="57" t="s">
        <v>33</v>
      </c>
      <c r="C33" s="57" t="s">
        <v>160</v>
      </c>
      <c r="D33" s="57" t="s">
        <v>167</v>
      </c>
      <c r="E33" s="57" t="s">
        <v>162</v>
      </c>
      <c r="F33" s="57" t="s">
        <v>175</v>
      </c>
      <c r="G33" s="57" t="s">
        <v>162</v>
      </c>
      <c r="H33" s="57" t="s">
        <v>162</v>
      </c>
      <c r="I33" s="58">
        <v>4729</v>
      </c>
      <c r="J33" s="58">
        <v>0</v>
      </c>
      <c r="K33" s="58">
        <v>4729</v>
      </c>
    </row>
    <row r="34" spans="1:11" x14ac:dyDescent="0.25">
      <c r="A34" s="60">
        <v>44226</v>
      </c>
      <c r="B34" s="57" t="s">
        <v>1</v>
      </c>
      <c r="C34" s="57" t="s">
        <v>160</v>
      </c>
      <c r="D34" s="57" t="s">
        <v>161</v>
      </c>
      <c r="E34" s="57" t="s">
        <v>162</v>
      </c>
      <c r="F34" s="57" t="s">
        <v>180</v>
      </c>
      <c r="G34" s="57" t="s">
        <v>162</v>
      </c>
      <c r="H34" s="57" t="s">
        <v>162</v>
      </c>
      <c r="I34" s="58">
        <v>0</v>
      </c>
      <c r="J34" s="58">
        <v>4730</v>
      </c>
      <c r="K34" s="58">
        <v>-4730</v>
      </c>
    </row>
    <row r="35" spans="1:11" x14ac:dyDescent="0.25">
      <c r="A35" s="60">
        <v>44226</v>
      </c>
      <c r="B35" s="57" t="s">
        <v>33</v>
      </c>
      <c r="C35" s="57" t="s">
        <v>160</v>
      </c>
      <c r="D35" s="57" t="s">
        <v>167</v>
      </c>
      <c r="E35" s="57" t="s">
        <v>162</v>
      </c>
      <c r="F35" s="57" t="s">
        <v>180</v>
      </c>
      <c r="G35" s="57" t="s">
        <v>162</v>
      </c>
      <c r="H35" s="57" t="s">
        <v>162</v>
      </c>
      <c r="I35" s="58">
        <v>4730</v>
      </c>
      <c r="J35" s="58">
        <v>0</v>
      </c>
      <c r="K35" s="58">
        <v>4730</v>
      </c>
    </row>
    <row r="36" spans="1:11" x14ac:dyDescent="0.25">
      <c r="A36" s="60">
        <v>44316</v>
      </c>
      <c r="B36" s="57" t="s">
        <v>1</v>
      </c>
      <c r="C36" s="57" t="s">
        <v>160</v>
      </c>
      <c r="D36" s="57" t="s">
        <v>161</v>
      </c>
      <c r="E36" s="57" t="s">
        <v>162</v>
      </c>
      <c r="F36" s="57" t="s">
        <v>181</v>
      </c>
      <c r="G36" s="57" t="s">
        <v>162</v>
      </c>
      <c r="H36" s="57" t="s">
        <v>162</v>
      </c>
      <c r="I36" s="58">
        <v>0</v>
      </c>
      <c r="J36" s="58">
        <v>5213</v>
      </c>
      <c r="K36" s="58">
        <v>-5213</v>
      </c>
    </row>
    <row r="37" spans="1:11" x14ac:dyDescent="0.25">
      <c r="A37" s="60">
        <v>44316</v>
      </c>
      <c r="B37" s="57" t="s">
        <v>33</v>
      </c>
      <c r="C37" s="57" t="s">
        <v>160</v>
      </c>
      <c r="D37" s="57" t="s">
        <v>167</v>
      </c>
      <c r="E37" s="57" t="s">
        <v>162</v>
      </c>
      <c r="F37" s="57" t="s">
        <v>181</v>
      </c>
      <c r="G37" s="57" t="s">
        <v>162</v>
      </c>
      <c r="H37" s="57" t="s">
        <v>162</v>
      </c>
      <c r="I37" s="58">
        <v>5213</v>
      </c>
      <c r="J37" s="58">
        <v>0</v>
      </c>
      <c r="K37" s="58">
        <v>5213</v>
      </c>
    </row>
    <row r="38" spans="1:11" x14ac:dyDescent="0.25">
      <c r="A38" s="60">
        <v>44407</v>
      </c>
      <c r="B38" s="57" t="s">
        <v>1</v>
      </c>
      <c r="C38" s="57" t="s">
        <v>160</v>
      </c>
      <c r="D38" s="57" t="s">
        <v>161</v>
      </c>
      <c r="E38" s="57" t="s">
        <v>162</v>
      </c>
      <c r="F38" s="57" t="s">
        <v>182</v>
      </c>
      <c r="G38" s="57" t="s">
        <v>162</v>
      </c>
      <c r="H38" s="57" t="s">
        <v>162</v>
      </c>
      <c r="I38" s="58">
        <v>0</v>
      </c>
      <c r="J38" s="58">
        <v>5156</v>
      </c>
      <c r="K38" s="58">
        <v>-5156</v>
      </c>
    </row>
    <row r="39" spans="1:11" x14ac:dyDescent="0.25">
      <c r="A39" s="60">
        <v>44407</v>
      </c>
      <c r="B39" s="57" t="s">
        <v>33</v>
      </c>
      <c r="C39" s="57" t="s">
        <v>160</v>
      </c>
      <c r="D39" s="57" t="s">
        <v>167</v>
      </c>
      <c r="E39" s="57" t="s">
        <v>162</v>
      </c>
      <c r="F39" s="57" t="s">
        <v>182</v>
      </c>
      <c r="G39" s="57" t="s">
        <v>162</v>
      </c>
      <c r="H39" s="57" t="s">
        <v>162</v>
      </c>
      <c r="I39" s="58">
        <v>5156</v>
      </c>
      <c r="J39" s="58">
        <v>0</v>
      </c>
      <c r="K39" s="58">
        <v>5156</v>
      </c>
    </row>
    <row r="40" spans="1:11" x14ac:dyDescent="0.25">
      <c r="A40" s="60">
        <v>44499</v>
      </c>
      <c r="B40" s="57" t="s">
        <v>1</v>
      </c>
      <c r="C40" s="57" t="s">
        <v>160</v>
      </c>
      <c r="D40" s="57" t="s">
        <v>161</v>
      </c>
      <c r="E40" s="57" t="s">
        <v>162</v>
      </c>
      <c r="F40" s="57" t="s">
        <v>183</v>
      </c>
      <c r="G40" s="57" t="s">
        <v>162</v>
      </c>
      <c r="H40" s="57" t="s">
        <v>162</v>
      </c>
      <c r="I40" s="58">
        <v>0</v>
      </c>
      <c r="J40" s="58">
        <v>5127</v>
      </c>
      <c r="K40" s="58">
        <v>-5127</v>
      </c>
    </row>
    <row r="41" spans="1:11" x14ac:dyDescent="0.25">
      <c r="A41" s="60">
        <v>44499</v>
      </c>
      <c r="B41" s="57" t="s">
        <v>33</v>
      </c>
      <c r="C41" s="57" t="s">
        <v>160</v>
      </c>
      <c r="D41" s="57" t="s">
        <v>167</v>
      </c>
      <c r="E41" s="57" t="s">
        <v>162</v>
      </c>
      <c r="F41" s="57" t="s">
        <v>183</v>
      </c>
      <c r="G41" s="57" t="s">
        <v>162</v>
      </c>
      <c r="H41" s="57" t="s">
        <v>162</v>
      </c>
      <c r="I41" s="58">
        <v>5127</v>
      </c>
      <c r="J41" s="58">
        <v>0</v>
      </c>
      <c r="K41" s="58">
        <v>5127</v>
      </c>
    </row>
    <row r="42" spans="1:11" x14ac:dyDescent="0.25">
      <c r="A42" s="60">
        <v>44591</v>
      </c>
      <c r="B42" s="57" t="s">
        <v>1</v>
      </c>
      <c r="C42" s="57" t="s">
        <v>160</v>
      </c>
      <c r="D42" s="57" t="s">
        <v>161</v>
      </c>
      <c r="E42" s="57" t="s">
        <v>162</v>
      </c>
      <c r="F42" s="57" t="s">
        <v>184</v>
      </c>
      <c r="G42" s="57" t="s">
        <v>162</v>
      </c>
      <c r="H42" s="57" t="s">
        <v>162</v>
      </c>
      <c r="I42" s="58">
        <v>0</v>
      </c>
      <c r="J42" s="58">
        <v>5127</v>
      </c>
      <c r="K42" s="58">
        <v>-5127</v>
      </c>
    </row>
    <row r="43" spans="1:11" x14ac:dyDescent="0.25">
      <c r="A43" s="60">
        <v>44591</v>
      </c>
      <c r="B43" s="57" t="s">
        <v>33</v>
      </c>
      <c r="C43" s="57" t="s">
        <v>160</v>
      </c>
      <c r="D43" s="57" t="s">
        <v>167</v>
      </c>
      <c r="E43" s="57" t="s">
        <v>162</v>
      </c>
      <c r="F43" s="57" t="s">
        <v>184</v>
      </c>
      <c r="G43" s="57" t="s">
        <v>162</v>
      </c>
      <c r="H43" s="57" t="s">
        <v>162</v>
      </c>
      <c r="I43" s="58">
        <v>5127</v>
      </c>
      <c r="J43" s="58">
        <v>0</v>
      </c>
      <c r="K43" s="58">
        <v>5127</v>
      </c>
    </row>
    <row r="44" spans="1:11" x14ac:dyDescent="0.25">
      <c r="A44" s="60">
        <v>44712</v>
      </c>
      <c r="B44" s="57" t="s">
        <v>1</v>
      </c>
      <c r="C44" s="57" t="s">
        <v>160</v>
      </c>
      <c r="D44" s="57" t="s">
        <v>161</v>
      </c>
      <c r="E44" s="57" t="s">
        <v>162</v>
      </c>
      <c r="F44" s="57" t="s">
        <v>185</v>
      </c>
      <c r="G44" s="57" t="s">
        <v>162</v>
      </c>
      <c r="H44" s="57" t="s">
        <v>162</v>
      </c>
      <c r="I44" s="58">
        <v>0</v>
      </c>
      <c r="J44" s="58">
        <v>2906</v>
      </c>
      <c r="K44" s="58">
        <v>-2906</v>
      </c>
    </row>
    <row r="45" spans="1:11" x14ac:dyDescent="0.25">
      <c r="A45" s="60">
        <v>44712</v>
      </c>
      <c r="B45" s="57" t="s">
        <v>33</v>
      </c>
      <c r="C45" s="57" t="s">
        <v>160</v>
      </c>
      <c r="D45" s="57" t="s">
        <v>167</v>
      </c>
      <c r="E45" s="57" t="s">
        <v>162</v>
      </c>
      <c r="F45" s="57" t="s">
        <v>185</v>
      </c>
      <c r="G45" s="57" t="s">
        <v>162</v>
      </c>
      <c r="H45" s="57" t="s">
        <v>162</v>
      </c>
      <c r="I45" s="58">
        <v>2906</v>
      </c>
      <c r="J45" s="58">
        <v>0</v>
      </c>
      <c r="K45" s="58">
        <v>2906</v>
      </c>
    </row>
    <row r="46" spans="1:11" x14ac:dyDescent="0.25">
      <c r="A46" s="60">
        <v>44773</v>
      </c>
      <c r="B46" s="57" t="s">
        <v>1</v>
      </c>
      <c r="C46" s="57" t="s">
        <v>160</v>
      </c>
      <c r="D46" s="57" t="s">
        <v>161</v>
      </c>
      <c r="E46" s="57" t="s">
        <v>162</v>
      </c>
      <c r="F46" s="57" t="s">
        <v>186</v>
      </c>
      <c r="G46" s="57" t="s">
        <v>162</v>
      </c>
      <c r="H46" s="57" t="s">
        <v>162</v>
      </c>
      <c r="I46" s="58">
        <v>0</v>
      </c>
      <c r="J46" s="58">
        <v>3403</v>
      </c>
      <c r="K46" s="58">
        <v>-3403</v>
      </c>
    </row>
    <row r="47" spans="1:11" x14ac:dyDescent="0.25">
      <c r="A47" s="60">
        <v>44773</v>
      </c>
      <c r="B47" s="57" t="s">
        <v>33</v>
      </c>
      <c r="C47" s="57" t="s">
        <v>160</v>
      </c>
      <c r="D47" s="57" t="s">
        <v>167</v>
      </c>
      <c r="E47" s="57" t="s">
        <v>162</v>
      </c>
      <c r="F47" s="57" t="s">
        <v>186</v>
      </c>
      <c r="G47" s="57" t="s">
        <v>162</v>
      </c>
      <c r="H47" s="57" t="s">
        <v>162</v>
      </c>
      <c r="I47" s="58">
        <v>3403</v>
      </c>
      <c r="J47" s="58">
        <v>0</v>
      </c>
      <c r="K47" s="58">
        <v>3403</v>
      </c>
    </row>
    <row r="48" spans="1:11" x14ac:dyDescent="0.25">
      <c r="A48" s="60">
        <v>44865</v>
      </c>
      <c r="B48" s="57" t="s">
        <v>1</v>
      </c>
      <c r="C48" s="57" t="s">
        <v>160</v>
      </c>
      <c r="D48" s="57" t="s">
        <v>161</v>
      </c>
      <c r="E48" s="57" t="s">
        <v>162</v>
      </c>
      <c r="F48" s="57" t="s">
        <v>187</v>
      </c>
      <c r="G48" s="57" t="s">
        <v>162</v>
      </c>
      <c r="H48" s="57" t="s">
        <v>162</v>
      </c>
      <c r="I48" s="58">
        <v>0</v>
      </c>
      <c r="J48" s="58">
        <v>3579</v>
      </c>
      <c r="K48" s="58">
        <v>-3579</v>
      </c>
    </row>
    <row r="49" spans="1:11" x14ac:dyDescent="0.25">
      <c r="A49" s="60">
        <v>44865</v>
      </c>
      <c r="B49" s="57" t="s">
        <v>33</v>
      </c>
      <c r="C49" s="57" t="s">
        <v>160</v>
      </c>
      <c r="D49" s="57" t="s">
        <v>167</v>
      </c>
      <c r="E49" s="57" t="s">
        <v>162</v>
      </c>
      <c r="F49" s="57" t="s">
        <v>187</v>
      </c>
      <c r="G49" s="57" t="s">
        <v>162</v>
      </c>
      <c r="H49" s="57" t="s">
        <v>162</v>
      </c>
      <c r="I49" s="58">
        <v>3579</v>
      </c>
      <c r="J49" s="58">
        <v>0</v>
      </c>
      <c r="K49" s="58">
        <v>3579</v>
      </c>
    </row>
    <row r="50" spans="1:11" x14ac:dyDescent="0.25">
      <c r="A50" s="60">
        <v>44957</v>
      </c>
      <c r="B50" s="57" t="s">
        <v>1</v>
      </c>
      <c r="C50" s="57" t="s">
        <v>160</v>
      </c>
      <c r="D50" s="57" t="s">
        <v>161</v>
      </c>
      <c r="E50" s="57" t="s">
        <v>162</v>
      </c>
      <c r="F50" s="57" t="s">
        <v>163</v>
      </c>
      <c r="G50" s="57" t="s">
        <v>162</v>
      </c>
      <c r="H50" s="57" t="s">
        <v>162</v>
      </c>
      <c r="I50" s="58">
        <v>0</v>
      </c>
      <c r="J50" s="58">
        <v>3578</v>
      </c>
      <c r="K50" s="58">
        <v>-3578</v>
      </c>
    </row>
    <row r="51" spans="1:11" x14ac:dyDescent="0.25">
      <c r="A51" s="60">
        <v>44957</v>
      </c>
      <c r="B51" s="57" t="s">
        <v>33</v>
      </c>
      <c r="C51" s="57" t="s">
        <v>160</v>
      </c>
      <c r="D51" s="57" t="s">
        <v>167</v>
      </c>
      <c r="E51" s="57" t="s">
        <v>162</v>
      </c>
      <c r="F51" s="57" t="s">
        <v>163</v>
      </c>
      <c r="G51" s="57" t="s">
        <v>162</v>
      </c>
      <c r="H51" s="57" t="s">
        <v>162</v>
      </c>
      <c r="I51" s="58">
        <v>3578</v>
      </c>
      <c r="J51" s="58">
        <v>0</v>
      </c>
      <c r="K51" s="58">
        <v>3578</v>
      </c>
    </row>
    <row r="52" spans="1:11" x14ac:dyDescent="0.25">
      <c r="A52" s="60">
        <v>45076</v>
      </c>
      <c r="B52" s="57" t="s">
        <v>1</v>
      </c>
      <c r="C52" s="57" t="s">
        <v>160</v>
      </c>
      <c r="D52" s="57" t="s">
        <v>161</v>
      </c>
      <c r="E52" s="57" t="s">
        <v>162</v>
      </c>
      <c r="F52" s="57" t="s">
        <v>164</v>
      </c>
      <c r="G52" s="57" t="s">
        <v>162</v>
      </c>
      <c r="H52" s="57" t="s">
        <v>162</v>
      </c>
      <c r="I52" s="58">
        <v>0</v>
      </c>
      <c r="J52" s="58">
        <v>1445</v>
      </c>
      <c r="K52" s="58">
        <v>-1445</v>
      </c>
    </row>
    <row r="53" spans="1:11" x14ac:dyDescent="0.25">
      <c r="A53" s="60">
        <v>45076</v>
      </c>
      <c r="B53" s="57" t="s">
        <v>33</v>
      </c>
      <c r="C53" s="57" t="s">
        <v>160</v>
      </c>
      <c r="D53" s="57" t="s">
        <v>167</v>
      </c>
      <c r="E53" s="57" t="s">
        <v>162</v>
      </c>
      <c r="F53" s="57" t="s">
        <v>164</v>
      </c>
      <c r="G53" s="57" t="s">
        <v>162</v>
      </c>
      <c r="H53" s="57" t="s">
        <v>162</v>
      </c>
      <c r="I53" s="58">
        <v>1445</v>
      </c>
      <c r="J53" s="58">
        <v>0</v>
      </c>
      <c r="K53" s="58">
        <v>1445</v>
      </c>
    </row>
    <row r="54" spans="1:11" x14ac:dyDescent="0.25">
      <c r="A54" s="60">
        <v>45137</v>
      </c>
      <c r="B54" s="57" t="s">
        <v>1</v>
      </c>
      <c r="C54" s="57" t="s">
        <v>160</v>
      </c>
      <c r="D54" s="57" t="s">
        <v>161</v>
      </c>
      <c r="E54" s="57" t="s">
        <v>162</v>
      </c>
      <c r="F54" s="57" t="s">
        <v>165</v>
      </c>
      <c r="G54" s="57" t="s">
        <v>162</v>
      </c>
      <c r="H54" s="57" t="s">
        <v>162</v>
      </c>
      <c r="I54" s="58">
        <v>0</v>
      </c>
      <c r="J54" s="58">
        <v>1783</v>
      </c>
      <c r="K54" s="58">
        <v>-1783</v>
      </c>
    </row>
    <row r="55" spans="1:11" x14ac:dyDescent="0.25">
      <c r="A55" s="60">
        <v>45137</v>
      </c>
      <c r="B55" s="57" t="s">
        <v>33</v>
      </c>
      <c r="C55" s="57" t="s">
        <v>160</v>
      </c>
      <c r="D55" s="57" t="s">
        <v>167</v>
      </c>
      <c r="E55" s="57" t="s">
        <v>162</v>
      </c>
      <c r="F55" s="57" t="s">
        <v>165</v>
      </c>
      <c r="G55" s="57" t="s">
        <v>162</v>
      </c>
      <c r="H55" s="57" t="s">
        <v>162</v>
      </c>
      <c r="I55" s="58">
        <v>1783</v>
      </c>
      <c r="J55" s="58">
        <v>0</v>
      </c>
      <c r="K55" s="58">
        <v>1783</v>
      </c>
    </row>
    <row r="56" spans="1:11" x14ac:dyDescent="0.25">
      <c r="A56" s="60">
        <v>45229</v>
      </c>
      <c r="B56" s="57" t="s">
        <v>1</v>
      </c>
      <c r="C56" s="57" t="s">
        <v>160</v>
      </c>
      <c r="D56" s="57" t="s">
        <v>161</v>
      </c>
      <c r="E56" s="57" t="s">
        <v>162</v>
      </c>
      <c r="F56" s="57" t="s">
        <v>166</v>
      </c>
      <c r="G56" s="57" t="s">
        <v>162</v>
      </c>
      <c r="H56" s="57" t="s">
        <v>162</v>
      </c>
      <c r="I56" s="58">
        <v>0</v>
      </c>
      <c r="J56" s="58">
        <v>1783</v>
      </c>
      <c r="K56" s="58">
        <v>-1783</v>
      </c>
    </row>
    <row r="57" spans="1:11" x14ac:dyDescent="0.25">
      <c r="A57" s="60">
        <v>45229</v>
      </c>
      <c r="B57" s="57" t="s">
        <v>33</v>
      </c>
      <c r="C57" s="57" t="s">
        <v>160</v>
      </c>
      <c r="D57" s="57" t="s">
        <v>167</v>
      </c>
      <c r="E57" s="57" t="s">
        <v>162</v>
      </c>
      <c r="F57" s="57" t="s">
        <v>166</v>
      </c>
      <c r="G57" s="57" t="s">
        <v>162</v>
      </c>
      <c r="H57" s="57" t="s">
        <v>162</v>
      </c>
      <c r="I57" s="58">
        <v>1783</v>
      </c>
      <c r="J57" s="58">
        <v>0</v>
      </c>
      <c r="K57" s="58">
        <v>1783</v>
      </c>
    </row>
  </sheetData>
  <autoFilter ref="A1:K57" xr:uid="{9F3FEE37-6C28-4399-B914-86A24C0D8D21}"/>
  <sortState xmlns:xlrd2="http://schemas.microsoft.com/office/spreadsheetml/2017/richdata2" ref="A2:K57">
    <sortCondition ref="A2:A5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DA490-09D8-429A-A156-72979DC539D0}">
  <sheetPr>
    <tabColor rgb="FF00B050"/>
    <pageSetUpPr fitToPage="1"/>
  </sheetPr>
  <dimension ref="A1:O76"/>
  <sheetViews>
    <sheetView zoomScaleNormal="100" workbookViewId="0">
      <selection activeCell="D53" sqref="D53"/>
    </sheetView>
  </sheetViews>
  <sheetFormatPr defaultColWidth="9.140625" defaultRowHeight="12.75" x14ac:dyDescent="0.2"/>
  <cols>
    <col min="1" max="1" width="36.7109375" style="2" customWidth="1"/>
    <col min="2" max="2" width="12.140625" style="2" customWidth="1"/>
    <col min="3" max="3" width="11.85546875" style="2" customWidth="1"/>
    <col min="4" max="5" width="12.28515625" style="2" customWidth="1"/>
    <col min="6" max="6" width="12.7109375" style="2" customWidth="1"/>
    <col min="7" max="7" width="12.140625" style="2" customWidth="1"/>
    <col min="8" max="8" width="12.7109375" style="2" customWidth="1"/>
    <col min="9" max="9" width="12.28515625" style="2" bestFit="1" customWidth="1"/>
    <col min="10" max="10" width="12" style="2" bestFit="1" customWidth="1"/>
    <col min="11" max="11" width="11.85546875" style="2" bestFit="1" customWidth="1"/>
    <col min="12" max="12" width="11.5703125" style="2" bestFit="1" customWidth="1"/>
    <col min="13" max="13" width="12" style="2" bestFit="1" customWidth="1"/>
    <col min="14" max="14" width="12.42578125" style="2" bestFit="1" customWidth="1"/>
    <col min="15" max="15" width="13.28515625" style="2" customWidth="1"/>
    <col min="16" max="16384" width="9.140625" style="2"/>
  </cols>
  <sheetData>
    <row r="1" spans="1:15" ht="18.75" x14ac:dyDescent="0.3">
      <c r="A1" s="1" t="s">
        <v>3</v>
      </c>
      <c r="C1" s="1" t="s">
        <v>192</v>
      </c>
    </row>
    <row r="2" spans="1:15" ht="18.75" x14ac:dyDescent="0.3">
      <c r="A2" s="1" t="s">
        <v>4</v>
      </c>
      <c r="C2" s="1"/>
    </row>
    <row r="3" spans="1:15" x14ac:dyDescent="0.2">
      <c r="A3" s="3" t="s">
        <v>32</v>
      </c>
      <c r="B3" s="4">
        <v>1.0999999999999999E-2</v>
      </c>
      <c r="C3" s="5">
        <f t="shared" ref="C3" si="0">B3/12</f>
        <v>9.1666666666666665E-4</v>
      </c>
    </row>
    <row r="4" spans="1:15" ht="6" customHeight="1" x14ac:dyDescent="0.2">
      <c r="B4" s="6"/>
      <c r="C4" s="7"/>
      <c r="J4" s="2">
        <v>0</v>
      </c>
    </row>
    <row r="5" spans="1:15" x14ac:dyDescent="0.2">
      <c r="A5" s="8" t="s">
        <v>6</v>
      </c>
      <c r="B5" s="9">
        <v>1.0999999999999999E-2</v>
      </c>
      <c r="C5" s="10">
        <f>B5/12</f>
        <v>9.1666666666666665E-4</v>
      </c>
    </row>
    <row r="6" spans="1:15" x14ac:dyDescent="0.2">
      <c r="A6" s="8" t="s">
        <v>7</v>
      </c>
      <c r="B6" s="9">
        <v>1.0999999999999999E-2</v>
      </c>
      <c r="C6" s="10">
        <f t="shared" ref="C6:C8" si="1">B6/12</f>
        <v>9.1666666666666665E-4</v>
      </c>
    </row>
    <row r="7" spans="1:15" x14ac:dyDescent="0.2">
      <c r="A7" s="8" t="s">
        <v>8</v>
      </c>
      <c r="B7" s="9">
        <v>1.0999999999999999E-2</v>
      </c>
      <c r="C7" s="10">
        <f t="shared" si="1"/>
        <v>9.1666666666666665E-4</v>
      </c>
    </row>
    <row r="8" spans="1:15" x14ac:dyDescent="0.2">
      <c r="A8" s="8" t="s">
        <v>9</v>
      </c>
      <c r="B8" s="9">
        <v>1.4999999999999999E-2</v>
      </c>
      <c r="C8" s="10">
        <f t="shared" si="1"/>
        <v>1.25E-3</v>
      </c>
    </row>
    <row r="9" spans="1:15" x14ac:dyDescent="0.2">
      <c r="B9" s="6"/>
      <c r="C9" s="7"/>
    </row>
    <row r="10" spans="1:15" x14ac:dyDescent="0.2">
      <c r="A10" s="62"/>
      <c r="B10" s="138">
        <v>2017</v>
      </c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</row>
    <row r="11" spans="1:15" hidden="1" x14ac:dyDescent="0.2">
      <c r="A11" s="8"/>
      <c r="B11" s="11"/>
      <c r="C11" s="12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5" hidden="1" x14ac:dyDescent="0.2">
      <c r="C12" s="6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5" hidden="1" x14ac:dyDescent="0.2">
      <c r="A13" s="13"/>
      <c r="B13" s="14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  <row r="14" spans="1:15" hidden="1" x14ac:dyDescent="0.2">
      <c r="A14" s="13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7"/>
      <c r="O14" s="18"/>
    </row>
    <row r="15" spans="1:15" hidden="1" x14ac:dyDescent="0.2">
      <c r="A15" s="13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8"/>
    </row>
    <row r="16" spans="1:15" hidden="1" x14ac:dyDescent="0.2">
      <c r="A16" s="13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5" hidden="1" x14ac:dyDescent="0.2">
      <c r="A17" s="13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8"/>
    </row>
    <row r="18" spans="1:15" hidden="1" x14ac:dyDescent="0.2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5" hidden="1" x14ac:dyDescent="0.2">
      <c r="A19" s="8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7"/>
      <c r="O19" s="18"/>
    </row>
    <row r="20" spans="1:15" hidden="1" x14ac:dyDescent="0.2">
      <c r="A20" s="8"/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9"/>
    </row>
    <row r="21" spans="1:15" x14ac:dyDescent="0.2">
      <c r="A21" s="8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9"/>
    </row>
    <row r="22" spans="1:15" x14ac:dyDescent="0.2">
      <c r="A22" s="63" t="s">
        <v>144</v>
      </c>
      <c r="B22" s="64" t="s">
        <v>10</v>
      </c>
      <c r="C22" s="65" t="s">
        <v>11</v>
      </c>
      <c r="D22" s="64" t="s">
        <v>12</v>
      </c>
      <c r="E22" s="64" t="s">
        <v>13</v>
      </c>
      <c r="F22" s="64" t="s">
        <v>14</v>
      </c>
      <c r="G22" s="64" t="s">
        <v>15</v>
      </c>
      <c r="H22" s="64" t="s">
        <v>16</v>
      </c>
      <c r="I22" s="64" t="s">
        <v>17</v>
      </c>
      <c r="J22" s="64" t="s">
        <v>18</v>
      </c>
      <c r="K22" s="64" t="s">
        <v>19</v>
      </c>
      <c r="L22" s="64" t="s">
        <v>20</v>
      </c>
      <c r="M22" s="64" t="s">
        <v>21</v>
      </c>
      <c r="N22" s="64" t="s">
        <v>22</v>
      </c>
      <c r="O22" s="66"/>
    </row>
    <row r="23" spans="1:15" x14ac:dyDescent="0.2">
      <c r="A23" s="67" t="s">
        <v>29</v>
      </c>
      <c r="C23" s="6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68"/>
    </row>
    <row r="24" spans="1:15" x14ac:dyDescent="0.2">
      <c r="A24" s="69" t="s">
        <v>23</v>
      </c>
      <c r="B24" s="109">
        <f>'CAM 2016'!M26</f>
        <v>16022</v>
      </c>
      <c r="C24" s="89">
        <f>B28</f>
        <v>21362</v>
      </c>
      <c r="D24" s="89">
        <f>C28</f>
        <v>21362</v>
      </c>
      <c r="E24" s="89">
        <f t="shared" ref="E24" si="2">D28</f>
        <v>21362</v>
      </c>
      <c r="F24" s="89">
        <f t="shared" ref="F24" si="3">E28</f>
        <v>27222</v>
      </c>
      <c r="G24" s="89">
        <f>F28</f>
        <v>27222</v>
      </c>
      <c r="H24" s="89">
        <f t="shared" ref="H24" si="4">G28</f>
        <v>27222</v>
      </c>
      <c r="I24" s="89">
        <f t="shared" ref="I24" si="5">H28</f>
        <v>33082</v>
      </c>
      <c r="J24" s="89">
        <f t="shared" ref="J24" si="6">I28</f>
        <v>33082</v>
      </c>
      <c r="K24" s="89">
        <f t="shared" ref="K24" si="7">J28</f>
        <v>33082</v>
      </c>
      <c r="L24" s="89">
        <f t="shared" ref="L24" si="8">K28</f>
        <v>38219</v>
      </c>
      <c r="M24" s="89">
        <f t="shared" ref="M24" si="9">L28</f>
        <v>38219</v>
      </c>
      <c r="N24" s="90"/>
      <c r="O24" s="91"/>
    </row>
    <row r="25" spans="1:15" x14ac:dyDescent="0.2">
      <c r="A25" s="69" t="s">
        <v>24</v>
      </c>
      <c r="B25" s="92">
        <f>B58</f>
        <v>5340</v>
      </c>
      <c r="C25" s="92">
        <v>0</v>
      </c>
      <c r="D25" s="92">
        <v>0</v>
      </c>
      <c r="E25" s="92">
        <f>D58</f>
        <v>5860</v>
      </c>
      <c r="F25" s="92">
        <v>0</v>
      </c>
      <c r="G25" s="92">
        <v>0</v>
      </c>
      <c r="H25" s="92">
        <f>G58</f>
        <v>5860</v>
      </c>
      <c r="I25" s="92">
        <v>0</v>
      </c>
      <c r="J25" s="92">
        <v>0</v>
      </c>
      <c r="K25" s="92">
        <f>J58</f>
        <v>5137</v>
      </c>
      <c r="L25" s="92">
        <v>0</v>
      </c>
      <c r="M25" s="92">
        <v>0</v>
      </c>
      <c r="N25" s="93"/>
      <c r="O25" s="91">
        <f>SUM(B25:M25)</f>
        <v>22197</v>
      </c>
    </row>
    <row r="26" spans="1:15" x14ac:dyDescent="0.2">
      <c r="A26" s="69" t="s">
        <v>25</v>
      </c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90"/>
      <c r="O26" s="91"/>
    </row>
    <row r="27" spans="1:15" x14ac:dyDescent="0.2">
      <c r="A27" s="69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90"/>
      <c r="O27" s="91"/>
    </row>
    <row r="28" spans="1:15" x14ac:dyDescent="0.2">
      <c r="A28" s="69" t="s">
        <v>30</v>
      </c>
      <c r="B28" s="89">
        <f>SUM(B24:B26)</f>
        <v>21362</v>
      </c>
      <c r="C28" s="89">
        <f>SUM(C24:C26)</f>
        <v>21362</v>
      </c>
      <c r="D28" s="89">
        <f t="shared" ref="D28:M28" si="10">SUM(D24:D26)</f>
        <v>21362</v>
      </c>
      <c r="E28" s="89">
        <f t="shared" si="10"/>
        <v>27222</v>
      </c>
      <c r="F28" s="89">
        <f t="shared" si="10"/>
        <v>27222</v>
      </c>
      <c r="G28" s="89">
        <f t="shared" si="10"/>
        <v>27222</v>
      </c>
      <c r="H28" s="89">
        <f t="shared" si="10"/>
        <v>33082</v>
      </c>
      <c r="I28" s="89">
        <f t="shared" si="10"/>
        <v>33082</v>
      </c>
      <c r="J28" s="89">
        <f t="shared" si="10"/>
        <v>33082</v>
      </c>
      <c r="K28" s="89">
        <f t="shared" si="10"/>
        <v>38219</v>
      </c>
      <c r="L28" s="89">
        <f t="shared" si="10"/>
        <v>38219</v>
      </c>
      <c r="M28" s="89">
        <f t="shared" si="10"/>
        <v>38219</v>
      </c>
      <c r="N28" s="90"/>
      <c r="O28" s="91"/>
    </row>
    <row r="29" spans="1:15" x14ac:dyDescent="0.2">
      <c r="A29" s="67"/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90"/>
      <c r="O29" s="91"/>
    </row>
    <row r="30" spans="1:15" x14ac:dyDescent="0.2">
      <c r="A30" s="73" t="s">
        <v>26</v>
      </c>
      <c r="B30" s="89">
        <f>ROUND(B24*$C$3,2)</f>
        <v>14.69</v>
      </c>
      <c r="C30" s="89">
        <f>ROUND(C24*$C$5,2)</f>
        <v>19.579999999999998</v>
      </c>
      <c r="D30" s="89">
        <f t="shared" ref="D30:E30" si="11">ROUND(D24*$C$5,2)</f>
        <v>19.579999999999998</v>
      </c>
      <c r="E30" s="89">
        <f t="shared" si="11"/>
        <v>19.579999999999998</v>
      </c>
      <c r="F30" s="89">
        <f>ROUND(F24*$C$6,2)</f>
        <v>24.95</v>
      </c>
      <c r="G30" s="89">
        <f t="shared" ref="G30:H30" si="12">ROUND(G24*$C$6,2)</f>
        <v>24.95</v>
      </c>
      <c r="H30" s="89">
        <f t="shared" si="12"/>
        <v>24.95</v>
      </c>
      <c r="I30" s="89">
        <f>ROUND(I24*$C$7,2)</f>
        <v>30.33</v>
      </c>
      <c r="J30" s="89">
        <f t="shared" ref="J30" si="13">ROUND(J24*$C$7,2)</f>
        <v>30.33</v>
      </c>
      <c r="K30" s="89">
        <f>ROUND(K24*$C$8,2)</f>
        <v>41.35</v>
      </c>
      <c r="L30" s="89">
        <f>ROUND(L24*$C$8,2)</f>
        <v>47.77</v>
      </c>
      <c r="M30" s="89">
        <f>ROUND(M24*$C$8,2)</f>
        <v>47.77</v>
      </c>
      <c r="N30" s="93"/>
      <c r="O30" s="91">
        <f>SUM(B30:M30)</f>
        <v>345.83</v>
      </c>
    </row>
    <row r="31" spans="1:15" x14ac:dyDescent="0.2">
      <c r="A31" s="74" t="s">
        <v>27</v>
      </c>
      <c r="B31" s="110">
        <f>'CAM 2016'!M29+B30</f>
        <v>88.14</v>
      </c>
      <c r="C31" s="94">
        <f>B31+C30</f>
        <v>107.72</v>
      </c>
      <c r="D31" s="94">
        <f t="shared" ref="D31" si="14">C31+D30</f>
        <v>127.3</v>
      </c>
      <c r="E31" s="94">
        <f t="shared" ref="E31" si="15">D31+E30</f>
        <v>146.88</v>
      </c>
      <c r="F31" s="94">
        <f t="shared" ref="F31" si="16">E31+F30</f>
        <v>171.82999999999998</v>
      </c>
      <c r="G31" s="94">
        <f>F31+G30</f>
        <v>196.77999999999997</v>
      </c>
      <c r="H31" s="94">
        <f>G31+H30</f>
        <v>221.72999999999996</v>
      </c>
      <c r="I31" s="94">
        <f t="shared" ref="I31" si="17">H31+I30</f>
        <v>252.05999999999995</v>
      </c>
      <c r="J31" s="94">
        <f t="shared" ref="J31" si="18">I31+J30</f>
        <v>282.38999999999993</v>
      </c>
      <c r="K31" s="94">
        <f t="shared" ref="K31" si="19">J31+K30</f>
        <v>323.73999999999995</v>
      </c>
      <c r="L31" s="94">
        <f t="shared" ref="L31" si="20">K31+L30</f>
        <v>371.50999999999993</v>
      </c>
      <c r="M31" s="94">
        <f t="shared" ref="M31" si="21">L31+M30</f>
        <v>419.27999999999992</v>
      </c>
      <c r="N31" s="94"/>
      <c r="O31" s="96"/>
    </row>
    <row r="32" spans="1:15" x14ac:dyDescent="0.2">
      <c r="A32" s="8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</row>
    <row r="33" spans="1:15" x14ac:dyDescent="0.2">
      <c r="A33" s="63" t="s">
        <v>191</v>
      </c>
      <c r="B33" s="97" t="s">
        <v>10</v>
      </c>
      <c r="C33" s="97" t="s">
        <v>11</v>
      </c>
      <c r="D33" s="97" t="s">
        <v>12</v>
      </c>
      <c r="E33" s="97" t="s">
        <v>13</v>
      </c>
      <c r="F33" s="97" t="s">
        <v>14</v>
      </c>
      <c r="G33" s="97" t="s">
        <v>15</v>
      </c>
      <c r="H33" s="97" t="s">
        <v>16</v>
      </c>
      <c r="I33" s="97" t="s">
        <v>17</v>
      </c>
      <c r="J33" s="97" t="s">
        <v>18</v>
      </c>
      <c r="K33" s="97" t="s">
        <v>19</v>
      </c>
      <c r="L33" s="97" t="s">
        <v>20</v>
      </c>
      <c r="M33" s="97" t="s">
        <v>21</v>
      </c>
      <c r="N33" s="97"/>
      <c r="O33" s="98"/>
    </row>
    <row r="34" spans="1:15" x14ac:dyDescent="0.2">
      <c r="A34" s="67" t="s">
        <v>29</v>
      </c>
      <c r="B34" s="90"/>
      <c r="C34" s="90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1"/>
    </row>
    <row r="35" spans="1:15" x14ac:dyDescent="0.2">
      <c r="A35" s="69" t="s">
        <v>23</v>
      </c>
      <c r="B35" s="109">
        <f>+[1]IFRS!$M$35</f>
        <v>-13456</v>
      </c>
      <c r="C35" s="89">
        <f>B39</f>
        <v>-17942</v>
      </c>
      <c r="D35" s="89">
        <f>C39</f>
        <v>-17942</v>
      </c>
      <c r="E35" s="89">
        <f t="shared" ref="E35:F35" si="22">D39</f>
        <v>-17942</v>
      </c>
      <c r="F35" s="89">
        <f t="shared" si="22"/>
        <v>-21908</v>
      </c>
      <c r="G35" s="89">
        <f>F39</f>
        <v>-21908</v>
      </c>
      <c r="H35" s="89">
        <f t="shared" ref="H35:M35" si="23">G39</f>
        <v>-21908</v>
      </c>
      <c r="I35" s="89">
        <f t="shared" si="23"/>
        <v>-25874</v>
      </c>
      <c r="J35" s="89">
        <f t="shared" si="23"/>
        <v>-25874</v>
      </c>
      <c r="K35" s="89">
        <f t="shared" si="23"/>
        <v>-25874</v>
      </c>
      <c r="L35" s="89">
        <f t="shared" si="23"/>
        <v>-30563</v>
      </c>
      <c r="M35" s="89">
        <f t="shared" si="23"/>
        <v>-30563</v>
      </c>
      <c r="N35" s="90"/>
      <c r="O35" s="91"/>
    </row>
    <row r="36" spans="1:15" x14ac:dyDescent="0.2">
      <c r="A36" s="69" t="s">
        <v>24</v>
      </c>
      <c r="B36" s="92">
        <v>-4486</v>
      </c>
      <c r="C36" s="92">
        <v>0</v>
      </c>
      <c r="D36" s="92">
        <v>0</v>
      </c>
      <c r="E36" s="92">
        <v>-3966</v>
      </c>
      <c r="F36" s="92">
        <v>0</v>
      </c>
      <c r="G36" s="92">
        <v>0</v>
      </c>
      <c r="H36" s="92">
        <v>-3966</v>
      </c>
      <c r="I36" s="92">
        <v>0</v>
      </c>
      <c r="J36" s="92">
        <v>0</v>
      </c>
      <c r="K36" s="92">
        <f>-(4659+30)</f>
        <v>-4689</v>
      </c>
      <c r="L36" s="92">
        <v>0</v>
      </c>
      <c r="M36" s="92">
        <v>0</v>
      </c>
      <c r="N36" s="93"/>
      <c r="O36" s="91">
        <f>SUM(B36:M36)</f>
        <v>-17107</v>
      </c>
    </row>
    <row r="37" spans="1:15" x14ac:dyDescent="0.2">
      <c r="A37" s="69" t="s">
        <v>25</v>
      </c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90"/>
      <c r="O37" s="91"/>
    </row>
    <row r="38" spans="1:15" x14ac:dyDescent="0.2">
      <c r="A38" s="69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90"/>
      <c r="O38" s="91"/>
    </row>
    <row r="39" spans="1:15" x14ac:dyDescent="0.2">
      <c r="A39" s="69" t="s">
        <v>30</v>
      </c>
      <c r="B39" s="89">
        <f>SUM(B35:B37)</f>
        <v>-17942</v>
      </c>
      <c r="C39" s="89">
        <f>SUM(C35:C37)</f>
        <v>-17942</v>
      </c>
      <c r="D39" s="89">
        <f t="shared" ref="D39:M39" si="24">SUM(D35:D37)</f>
        <v>-17942</v>
      </c>
      <c r="E39" s="89">
        <f t="shared" si="24"/>
        <v>-21908</v>
      </c>
      <c r="F39" s="89">
        <f t="shared" si="24"/>
        <v>-21908</v>
      </c>
      <c r="G39" s="89">
        <f t="shared" si="24"/>
        <v>-21908</v>
      </c>
      <c r="H39" s="89">
        <f t="shared" si="24"/>
        <v>-25874</v>
      </c>
      <c r="I39" s="89">
        <f t="shared" si="24"/>
        <v>-25874</v>
      </c>
      <c r="J39" s="89">
        <f t="shared" si="24"/>
        <v>-25874</v>
      </c>
      <c r="K39" s="89">
        <f t="shared" si="24"/>
        <v>-30563</v>
      </c>
      <c r="L39" s="89">
        <f t="shared" si="24"/>
        <v>-30563</v>
      </c>
      <c r="M39" s="89">
        <f t="shared" si="24"/>
        <v>-30563</v>
      </c>
      <c r="N39" s="90"/>
      <c r="O39" s="91"/>
    </row>
    <row r="40" spans="1:15" x14ac:dyDescent="0.2">
      <c r="A40" s="67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90"/>
      <c r="O40" s="91"/>
    </row>
    <row r="41" spans="1:15" x14ac:dyDescent="0.2">
      <c r="A41" s="73" t="s">
        <v>26</v>
      </c>
      <c r="B41" s="89">
        <f>ROUND(B35*$C$3,2)</f>
        <v>-12.33</v>
      </c>
      <c r="C41" s="89">
        <f>ROUND(C35*$C$5,2)</f>
        <v>-16.45</v>
      </c>
      <c r="D41" s="89">
        <f t="shared" ref="D41:E41" si="25">ROUND(D35*$C$5,2)</f>
        <v>-16.45</v>
      </c>
      <c r="E41" s="89">
        <f t="shared" si="25"/>
        <v>-16.45</v>
      </c>
      <c r="F41" s="89">
        <f>ROUND(F35*$C$6,2)</f>
        <v>-20.079999999999998</v>
      </c>
      <c r="G41" s="89">
        <f t="shared" ref="G41:H41" si="26">ROUND(G35*$C$6,2)</f>
        <v>-20.079999999999998</v>
      </c>
      <c r="H41" s="89">
        <f t="shared" si="26"/>
        <v>-20.079999999999998</v>
      </c>
      <c r="I41" s="89">
        <f>ROUND(I35*$C$7,2)</f>
        <v>-23.72</v>
      </c>
      <c r="J41" s="89">
        <f t="shared" ref="J41" si="27">ROUND(J35*$C$7,2)</f>
        <v>-23.72</v>
      </c>
      <c r="K41" s="89">
        <f>ROUND(K35*$C$8,2)</f>
        <v>-32.340000000000003</v>
      </c>
      <c r="L41" s="89">
        <f>ROUND(L35*$C$8,2)</f>
        <v>-38.200000000000003</v>
      </c>
      <c r="M41" s="89">
        <f>ROUND(M35*$C$8,2)</f>
        <v>-38.200000000000003</v>
      </c>
      <c r="N41" s="93"/>
      <c r="O41" s="91">
        <f>SUM(B41:M41)</f>
        <v>-278.09999999999997</v>
      </c>
    </row>
    <row r="42" spans="1:15" x14ac:dyDescent="0.2">
      <c r="A42" s="74" t="s">
        <v>27</v>
      </c>
      <c r="B42" s="110">
        <f>+[1]IFRS!$M$42+B41</f>
        <v>-73.98</v>
      </c>
      <c r="C42" s="94">
        <f>B42+C41</f>
        <v>-90.43</v>
      </c>
      <c r="D42" s="94">
        <f t="shared" ref="D42:F42" si="28">C42+D41</f>
        <v>-106.88000000000001</v>
      </c>
      <c r="E42" s="94">
        <f t="shared" si="28"/>
        <v>-123.33000000000001</v>
      </c>
      <c r="F42" s="94">
        <f t="shared" si="28"/>
        <v>-143.41000000000003</v>
      </c>
      <c r="G42" s="94">
        <f>F42+G41</f>
        <v>-163.49</v>
      </c>
      <c r="H42" s="94">
        <f>G42+H41</f>
        <v>-183.57</v>
      </c>
      <c r="I42" s="94">
        <f t="shared" ref="I42:M42" si="29">H42+I41</f>
        <v>-207.29</v>
      </c>
      <c r="J42" s="94">
        <f t="shared" si="29"/>
        <v>-231.01</v>
      </c>
      <c r="K42" s="94">
        <f t="shared" si="29"/>
        <v>-263.35000000000002</v>
      </c>
      <c r="L42" s="94">
        <f t="shared" si="29"/>
        <v>-301.55</v>
      </c>
      <c r="M42" s="94">
        <f t="shared" si="29"/>
        <v>-339.75</v>
      </c>
      <c r="N42" s="94"/>
      <c r="O42" s="96"/>
    </row>
    <row r="43" spans="1:15" x14ac:dyDescent="0.2">
      <c r="A43" s="8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</row>
    <row r="44" spans="1:15" x14ac:dyDescent="0.2">
      <c r="A44" s="83" t="s">
        <v>31</v>
      </c>
      <c r="B44" s="100">
        <f>+B28+B31+B39+B42</f>
        <v>3434.1599999999994</v>
      </c>
      <c r="C44" s="100">
        <f t="shared" ref="C44:M44" si="30">+C28+C31+C39+C42</f>
        <v>3437.2900000000013</v>
      </c>
      <c r="D44" s="100">
        <f t="shared" si="30"/>
        <v>3440.4199999999992</v>
      </c>
      <c r="E44" s="100">
        <f t="shared" si="30"/>
        <v>5337.5500000000011</v>
      </c>
      <c r="F44" s="100">
        <f t="shared" si="30"/>
        <v>5342.4200000000019</v>
      </c>
      <c r="G44" s="100">
        <f t="shared" si="30"/>
        <v>5347.2899999999991</v>
      </c>
      <c r="H44" s="100">
        <f t="shared" si="30"/>
        <v>7246.1600000000035</v>
      </c>
      <c r="I44" s="100">
        <f t="shared" si="30"/>
        <v>7252.7699999999977</v>
      </c>
      <c r="J44" s="100">
        <f t="shared" si="30"/>
        <v>7259.3799999999992</v>
      </c>
      <c r="K44" s="100">
        <f t="shared" si="30"/>
        <v>7716.3899999999976</v>
      </c>
      <c r="L44" s="100">
        <f t="shared" si="30"/>
        <v>7725.9600000000019</v>
      </c>
      <c r="M44" s="100">
        <f t="shared" si="30"/>
        <v>7735.5299999999988</v>
      </c>
      <c r="N44" s="101"/>
      <c r="O44" s="102"/>
    </row>
    <row r="45" spans="1:15" x14ac:dyDescent="0.2">
      <c r="A45" s="8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</row>
    <row r="46" spans="1:15" x14ac:dyDescent="0.2">
      <c r="A46" s="20"/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90">
        <f>M17+M20+M28+M31+M39+M42</f>
        <v>7735.5299999999988</v>
      </c>
      <c r="O46" s="90"/>
    </row>
    <row r="47" spans="1:15" hidden="1" x14ac:dyDescent="0.2"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</row>
    <row r="48" spans="1:15" hidden="1" x14ac:dyDescent="0.2"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</row>
    <row r="49" spans="1:15" hidden="1" x14ac:dyDescent="0.2">
      <c r="A49" s="18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</row>
    <row r="50" spans="1:15" hidden="1" x14ac:dyDescent="0.2">
      <c r="A50" s="18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</row>
    <row r="51" spans="1:15" x14ac:dyDescent="0.2"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</row>
    <row r="52" spans="1:15" x14ac:dyDescent="0.2">
      <c r="A52" s="2" t="s">
        <v>0</v>
      </c>
      <c r="B52" s="61"/>
      <c r="C52" s="61"/>
      <c r="D52" s="105">
        <f>'CAM 2016'!D47</f>
        <v>7837</v>
      </c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90"/>
    </row>
    <row r="53" spans="1:15" x14ac:dyDescent="0.2">
      <c r="A53" s="2" t="s">
        <v>143</v>
      </c>
      <c r="B53" s="105">
        <f>'OEB costs'!F5</f>
        <v>13177</v>
      </c>
      <c r="C53" s="61"/>
      <c r="D53" s="105">
        <f>'OEB costs'!F6</f>
        <v>13697</v>
      </c>
      <c r="E53" s="61"/>
      <c r="F53" s="61"/>
      <c r="G53" s="105">
        <f>'OEB costs'!F7</f>
        <v>13697</v>
      </c>
      <c r="H53" s="61"/>
      <c r="I53" s="61"/>
      <c r="J53" s="105">
        <f>'OEB costs'!F8</f>
        <v>12974</v>
      </c>
      <c r="K53" s="61"/>
      <c r="L53" s="61"/>
      <c r="M53" s="61"/>
      <c r="N53" s="106" t="s">
        <v>190</v>
      </c>
      <c r="O53" s="90"/>
    </row>
    <row r="54" spans="1:15" x14ac:dyDescent="0.2">
      <c r="A54" s="63" t="s">
        <v>41</v>
      </c>
      <c r="B54" s="107" t="s">
        <v>147</v>
      </c>
      <c r="C54" s="107" t="s">
        <v>148</v>
      </c>
      <c r="D54" s="107" t="s">
        <v>147</v>
      </c>
      <c r="E54" s="107" t="s">
        <v>148</v>
      </c>
      <c r="F54" s="107"/>
      <c r="G54" s="107" t="s">
        <v>147</v>
      </c>
      <c r="H54" s="107" t="s">
        <v>148</v>
      </c>
      <c r="I54" s="107"/>
      <c r="J54" s="107" t="s">
        <v>147</v>
      </c>
      <c r="K54" s="107" t="s">
        <v>148</v>
      </c>
      <c r="L54" s="107"/>
      <c r="M54" s="107"/>
      <c r="N54" s="81"/>
      <c r="O54" s="90"/>
    </row>
    <row r="55" spans="1:15" x14ac:dyDescent="0.2">
      <c r="A55" s="67" t="s">
        <v>1</v>
      </c>
      <c r="B55" s="61">
        <f>C57</f>
        <v>13177</v>
      </c>
      <c r="C55" s="61"/>
      <c r="D55" s="61">
        <f>E57</f>
        <v>13697</v>
      </c>
      <c r="E55" s="61"/>
      <c r="F55" s="61"/>
      <c r="G55" s="61">
        <f>H57</f>
        <v>13697</v>
      </c>
      <c r="H55" s="61"/>
      <c r="I55" s="61"/>
      <c r="J55" s="61">
        <f>K57</f>
        <v>12974</v>
      </c>
      <c r="K55" s="61"/>
      <c r="L55" s="61"/>
      <c r="M55" s="61"/>
      <c r="N55" s="77">
        <f>SUM(B55:M55)</f>
        <v>53545</v>
      </c>
      <c r="O55" s="90"/>
    </row>
    <row r="56" spans="1:15" x14ac:dyDescent="0.2">
      <c r="A56" s="67" t="s">
        <v>2</v>
      </c>
      <c r="B56" s="61"/>
      <c r="C56" s="61">
        <f>C57-$D$52</f>
        <v>5340</v>
      </c>
      <c r="D56" s="61"/>
      <c r="E56" s="61">
        <f>E57-$D$52</f>
        <v>5860</v>
      </c>
      <c r="F56" s="61"/>
      <c r="G56" s="61"/>
      <c r="H56" s="61">
        <f>H57-$D$52</f>
        <v>5860</v>
      </c>
      <c r="I56" s="61"/>
      <c r="J56" s="61"/>
      <c r="K56" s="61">
        <f>K57-$D$52</f>
        <v>5137</v>
      </c>
      <c r="L56" s="61"/>
      <c r="M56" s="61"/>
      <c r="N56" s="77">
        <f>-SUM(B56:M56)</f>
        <v>-22197</v>
      </c>
      <c r="O56" s="90"/>
    </row>
    <row r="57" spans="1:15" x14ac:dyDescent="0.2">
      <c r="A57" s="67" t="s">
        <v>145</v>
      </c>
      <c r="B57" s="61"/>
      <c r="C57" s="61">
        <f>B53</f>
        <v>13177</v>
      </c>
      <c r="D57" s="61"/>
      <c r="E57" s="61">
        <f>D53</f>
        <v>13697</v>
      </c>
      <c r="F57" s="61"/>
      <c r="G57" s="61"/>
      <c r="H57" s="61">
        <f>G53</f>
        <v>13697</v>
      </c>
      <c r="I57" s="61"/>
      <c r="J57" s="61"/>
      <c r="K57" s="61">
        <f>J53</f>
        <v>12974</v>
      </c>
      <c r="L57" s="61"/>
      <c r="M57" s="61"/>
      <c r="N57" s="77">
        <f>-SUM(B57:M57)</f>
        <v>-53545</v>
      </c>
      <c r="O57" s="90"/>
    </row>
    <row r="58" spans="1:15" x14ac:dyDescent="0.2">
      <c r="A58" s="78" t="s">
        <v>29</v>
      </c>
      <c r="B58" s="108">
        <f>C56</f>
        <v>5340</v>
      </c>
      <c r="C58" s="108"/>
      <c r="D58" s="108">
        <f>E56</f>
        <v>5860</v>
      </c>
      <c r="E58" s="108"/>
      <c r="F58" s="108"/>
      <c r="G58" s="108">
        <f>H56</f>
        <v>5860</v>
      </c>
      <c r="H58" s="108"/>
      <c r="I58" s="108"/>
      <c r="J58" s="108">
        <f>K56</f>
        <v>5137</v>
      </c>
      <c r="K58" s="108"/>
      <c r="L58" s="108"/>
      <c r="M58" s="108"/>
      <c r="N58" s="80">
        <f t="shared" ref="N58" si="31">SUM(B58:M58)</f>
        <v>22197</v>
      </c>
      <c r="O58" s="90"/>
    </row>
    <row r="59" spans="1:15" x14ac:dyDescent="0.2"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90"/>
    </row>
    <row r="60" spans="1:15" x14ac:dyDescent="0.2">
      <c r="A60" s="63" t="s">
        <v>40</v>
      </c>
      <c r="B60" s="107" t="s">
        <v>147</v>
      </c>
      <c r="C60" s="107" t="s">
        <v>148</v>
      </c>
      <c r="D60" s="107" t="s">
        <v>147</v>
      </c>
      <c r="E60" s="107" t="s">
        <v>148</v>
      </c>
      <c r="F60" s="107"/>
      <c r="G60" s="107" t="s">
        <v>147</v>
      </c>
      <c r="H60" s="107" t="s">
        <v>148</v>
      </c>
      <c r="I60" s="107"/>
      <c r="J60" s="107" t="s">
        <v>147</v>
      </c>
      <c r="K60" s="107" t="s">
        <v>148</v>
      </c>
      <c r="L60" s="107"/>
      <c r="M60" s="107"/>
      <c r="N60" s="81"/>
      <c r="O60" s="90"/>
    </row>
    <row r="61" spans="1:15" x14ac:dyDescent="0.2">
      <c r="A61" s="67" t="s">
        <v>1</v>
      </c>
      <c r="B61" s="61">
        <v>17663</v>
      </c>
      <c r="C61" s="61"/>
      <c r="D61" s="61">
        <v>17663</v>
      </c>
      <c r="E61" s="61"/>
      <c r="F61" s="61"/>
      <c r="G61" s="61">
        <v>17663</v>
      </c>
      <c r="H61" s="61"/>
      <c r="I61" s="61"/>
      <c r="J61" s="61">
        <v>17663</v>
      </c>
      <c r="K61" s="61"/>
      <c r="L61" s="61"/>
      <c r="M61" s="61"/>
      <c r="N61" s="77">
        <f t="shared" ref="N61:N65" si="32">SUM(B61:M61)</f>
        <v>70652</v>
      </c>
      <c r="O61" s="90"/>
    </row>
    <row r="62" spans="1:15" x14ac:dyDescent="0.2">
      <c r="A62" s="67" t="s">
        <v>29</v>
      </c>
      <c r="B62" s="61"/>
      <c r="C62" s="61">
        <f>B61-C63</f>
        <v>4486</v>
      </c>
      <c r="D62" s="61"/>
      <c r="E62" s="61">
        <f>D61-E63</f>
        <v>3966</v>
      </c>
      <c r="F62" s="61"/>
      <c r="G62" s="61"/>
      <c r="H62" s="61">
        <f>G61-H63</f>
        <v>3966</v>
      </c>
      <c r="I62" s="61"/>
      <c r="J62" s="61"/>
      <c r="K62" s="61">
        <f>J61-K63</f>
        <v>4689</v>
      </c>
      <c r="L62" s="61"/>
      <c r="M62" s="61"/>
      <c r="N62" s="77">
        <f>-SUM(B62:M62)</f>
        <v>-17107</v>
      </c>
      <c r="O62" s="90"/>
    </row>
    <row r="63" spans="1:15" x14ac:dyDescent="0.2">
      <c r="A63" s="67" t="s">
        <v>145</v>
      </c>
      <c r="B63" s="61"/>
      <c r="C63" s="61">
        <f>B53</f>
        <v>13177</v>
      </c>
      <c r="D63" s="61"/>
      <c r="E63" s="61">
        <f>D53</f>
        <v>13697</v>
      </c>
      <c r="F63" s="61"/>
      <c r="G63" s="61"/>
      <c r="H63" s="61">
        <f>G53</f>
        <v>13697</v>
      </c>
      <c r="I63" s="61"/>
      <c r="J63" s="61"/>
      <c r="K63" s="61">
        <f>J53</f>
        <v>12974</v>
      </c>
      <c r="L63" s="61"/>
      <c r="M63" s="61"/>
      <c r="N63" s="77">
        <f>-SUM(B63:M63)</f>
        <v>-53545</v>
      </c>
      <c r="O63" s="90"/>
    </row>
    <row r="64" spans="1:15" x14ac:dyDescent="0.2">
      <c r="A64" s="67" t="s">
        <v>1</v>
      </c>
      <c r="B64" s="61"/>
      <c r="C64" s="61">
        <f>C62</f>
        <v>4486</v>
      </c>
      <c r="D64" s="61"/>
      <c r="E64" s="61">
        <f>E62</f>
        <v>3966</v>
      </c>
      <c r="F64" s="61"/>
      <c r="G64" s="61"/>
      <c r="H64" s="61">
        <f>H62</f>
        <v>3966</v>
      </c>
      <c r="I64" s="61"/>
      <c r="J64" s="61"/>
      <c r="K64" s="61">
        <f>K62</f>
        <v>4689</v>
      </c>
      <c r="L64" s="61"/>
      <c r="M64" s="61"/>
      <c r="N64" s="77">
        <f>-SUM(B64:M64)</f>
        <v>-17107</v>
      </c>
      <c r="O64" s="90"/>
    </row>
    <row r="65" spans="1:15" x14ac:dyDescent="0.2">
      <c r="A65" s="78" t="s">
        <v>2</v>
      </c>
      <c r="B65" s="108">
        <f>C64</f>
        <v>4486</v>
      </c>
      <c r="C65" s="108"/>
      <c r="D65" s="108">
        <f>E64</f>
        <v>3966</v>
      </c>
      <c r="E65" s="108"/>
      <c r="F65" s="108"/>
      <c r="G65" s="108">
        <f>H64</f>
        <v>3966</v>
      </c>
      <c r="H65" s="108"/>
      <c r="I65" s="108"/>
      <c r="J65" s="108">
        <f>K64</f>
        <v>4689</v>
      </c>
      <c r="K65" s="108"/>
      <c r="L65" s="108"/>
      <c r="M65" s="108"/>
      <c r="N65" s="80">
        <f t="shared" si="32"/>
        <v>17107</v>
      </c>
      <c r="O65" s="90"/>
    </row>
    <row r="66" spans="1:15" x14ac:dyDescent="0.2"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</row>
    <row r="67" spans="1:15" x14ac:dyDescent="0.2"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</row>
    <row r="68" spans="1:15" x14ac:dyDescent="0.2">
      <c r="A68" s="63" t="s">
        <v>188</v>
      </c>
      <c r="B68" s="104"/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98"/>
      <c r="O68" s="90"/>
    </row>
    <row r="69" spans="1:15" x14ac:dyDescent="0.2">
      <c r="A69" s="67" t="s">
        <v>36</v>
      </c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1">
        <f>O30</f>
        <v>345.83</v>
      </c>
      <c r="O69" s="90"/>
    </row>
    <row r="70" spans="1:15" x14ac:dyDescent="0.2">
      <c r="A70" s="78" t="s">
        <v>35</v>
      </c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6">
        <f>-N69</f>
        <v>-345.83</v>
      </c>
      <c r="O70" s="90"/>
    </row>
    <row r="71" spans="1:15" x14ac:dyDescent="0.2"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</row>
    <row r="72" spans="1:15" x14ac:dyDescent="0.2">
      <c r="A72" s="63" t="s">
        <v>189</v>
      </c>
      <c r="B72" s="104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98"/>
      <c r="O72" s="90"/>
    </row>
    <row r="73" spans="1:15" x14ac:dyDescent="0.2">
      <c r="A73" s="67" t="s">
        <v>36</v>
      </c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1">
        <f>O41</f>
        <v>-278.09999999999997</v>
      </c>
      <c r="O73" s="90"/>
    </row>
    <row r="74" spans="1:15" x14ac:dyDescent="0.2">
      <c r="A74" s="78" t="s">
        <v>37</v>
      </c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6">
        <f>-N73</f>
        <v>278.09999999999997</v>
      </c>
      <c r="O74" s="90"/>
    </row>
    <row r="75" spans="1:15" x14ac:dyDescent="0.2"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</row>
    <row r="76" spans="1:15" x14ac:dyDescent="0.2"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</row>
  </sheetData>
  <mergeCells count="1">
    <mergeCell ref="B10:N10"/>
  </mergeCells>
  <printOptions horizontalCentered="1"/>
  <pageMargins left="0" right="0" top="1" bottom="1" header="0.5" footer="0.5"/>
  <pageSetup scale="65" orientation="landscape" r:id="rId1"/>
  <headerFooter alignWithMargins="0">
    <oddHeader>&amp;C&amp;A</oddHeader>
    <oddFooter>&amp;L&amp;Z&amp;F&amp;R&amp;D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5E961-385F-4BF5-B9F7-CEA1EDDDA48F}">
  <sheetPr>
    <tabColor rgb="FF00B050"/>
    <pageSetUpPr fitToPage="1"/>
  </sheetPr>
  <dimension ref="A1:O86"/>
  <sheetViews>
    <sheetView zoomScaleNormal="100" workbookViewId="0">
      <selection activeCell="D65" sqref="D65"/>
    </sheetView>
  </sheetViews>
  <sheetFormatPr defaultColWidth="9.140625" defaultRowHeight="12.75" x14ac:dyDescent="0.2"/>
  <cols>
    <col min="1" max="1" width="36.7109375" style="2" customWidth="1"/>
    <col min="2" max="2" width="12.140625" style="2" customWidth="1"/>
    <col min="3" max="3" width="11.85546875" style="2" customWidth="1"/>
    <col min="4" max="5" width="12.28515625" style="2" customWidth="1"/>
    <col min="6" max="6" width="12.7109375" style="2" customWidth="1"/>
    <col min="7" max="7" width="12.140625" style="2" customWidth="1"/>
    <col min="8" max="8" width="12.7109375" style="2" customWidth="1"/>
    <col min="9" max="9" width="12.28515625" style="2" bestFit="1" customWidth="1"/>
    <col min="10" max="10" width="12" style="2" bestFit="1" customWidth="1"/>
    <col min="11" max="11" width="11.85546875" style="2" bestFit="1" customWidth="1"/>
    <col min="12" max="12" width="11.5703125" style="2" bestFit="1" customWidth="1"/>
    <col min="13" max="13" width="12" style="2" bestFit="1" customWidth="1"/>
    <col min="14" max="14" width="12.42578125" style="2" bestFit="1" customWidth="1"/>
    <col min="15" max="15" width="13.28515625" style="2" customWidth="1"/>
    <col min="16" max="16384" width="9.140625" style="2"/>
  </cols>
  <sheetData>
    <row r="1" spans="1:15" ht="18.75" x14ac:dyDescent="0.3">
      <c r="A1" s="1" t="s">
        <v>3</v>
      </c>
      <c r="C1" s="1" t="s">
        <v>192</v>
      </c>
    </row>
    <row r="2" spans="1:15" ht="18.75" x14ac:dyDescent="0.3">
      <c r="A2" s="1" t="s">
        <v>4</v>
      </c>
      <c r="C2" s="1"/>
    </row>
    <row r="3" spans="1:15" x14ac:dyDescent="0.2">
      <c r="A3" s="3" t="s">
        <v>32</v>
      </c>
      <c r="B3" s="4">
        <v>1.4999999999999999E-2</v>
      </c>
      <c r="C3" s="5">
        <f t="shared" ref="C3" si="0">B3/12</f>
        <v>1.25E-3</v>
      </c>
    </row>
    <row r="4" spans="1:15" ht="6" customHeight="1" x14ac:dyDescent="0.2">
      <c r="B4" s="6"/>
      <c r="C4" s="7"/>
      <c r="J4" s="2">
        <v>0</v>
      </c>
    </row>
    <row r="5" spans="1:15" x14ac:dyDescent="0.2">
      <c r="A5" s="8" t="s">
        <v>6</v>
      </c>
      <c r="B5" s="9">
        <v>1.4999999999999999E-2</v>
      </c>
      <c r="C5" s="10">
        <f>B5/12</f>
        <v>1.25E-3</v>
      </c>
    </row>
    <row r="6" spans="1:15" x14ac:dyDescent="0.2">
      <c r="A6" s="8" t="s">
        <v>7</v>
      </c>
      <c r="B6" s="9">
        <v>1.89E-2</v>
      </c>
      <c r="C6" s="10">
        <f t="shared" ref="C6:C8" si="1">B6/12</f>
        <v>1.575E-3</v>
      </c>
    </row>
    <row r="7" spans="1:15" x14ac:dyDescent="0.2">
      <c r="A7" s="8" t="s">
        <v>8</v>
      </c>
      <c r="B7" s="9">
        <v>1.89E-2</v>
      </c>
      <c r="C7" s="10">
        <f t="shared" si="1"/>
        <v>1.575E-3</v>
      </c>
    </row>
    <row r="8" spans="1:15" x14ac:dyDescent="0.2">
      <c r="A8" s="8" t="s">
        <v>9</v>
      </c>
      <c r="B8" s="9">
        <v>2.1700000000000001E-2</v>
      </c>
      <c r="C8" s="10">
        <f t="shared" si="1"/>
        <v>1.8083333333333335E-3</v>
      </c>
    </row>
    <row r="9" spans="1:15" x14ac:dyDescent="0.2">
      <c r="B9" s="6"/>
      <c r="C9" s="7"/>
    </row>
    <row r="10" spans="1:15" x14ac:dyDescent="0.2">
      <c r="A10" s="62"/>
      <c r="B10" s="138">
        <v>2018</v>
      </c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</row>
    <row r="11" spans="1:15" hidden="1" x14ac:dyDescent="0.2">
      <c r="A11" s="8"/>
      <c r="B11" s="11"/>
      <c r="C11" s="12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5" hidden="1" x14ac:dyDescent="0.2">
      <c r="C12" s="6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5" hidden="1" x14ac:dyDescent="0.2">
      <c r="A13" s="13"/>
      <c r="B13" s="14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  <row r="14" spans="1:15" hidden="1" x14ac:dyDescent="0.2">
      <c r="A14" s="13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7"/>
      <c r="O14" s="18"/>
    </row>
    <row r="15" spans="1:15" hidden="1" x14ac:dyDescent="0.2">
      <c r="A15" s="13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8"/>
    </row>
    <row r="16" spans="1:15" hidden="1" x14ac:dyDescent="0.2">
      <c r="A16" s="13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5" hidden="1" x14ac:dyDescent="0.2">
      <c r="A17" s="13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8"/>
    </row>
    <row r="18" spans="1:15" hidden="1" x14ac:dyDescent="0.2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5" hidden="1" x14ac:dyDescent="0.2">
      <c r="A19" s="8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7"/>
      <c r="O19" s="18"/>
    </row>
    <row r="20" spans="1:15" hidden="1" x14ac:dyDescent="0.2">
      <c r="A20" s="8"/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9"/>
    </row>
    <row r="21" spans="1:15" x14ac:dyDescent="0.2">
      <c r="A21" s="8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9"/>
    </row>
    <row r="22" spans="1:15" x14ac:dyDescent="0.2">
      <c r="A22" s="63" t="s">
        <v>144</v>
      </c>
      <c r="B22" s="64" t="s">
        <v>10</v>
      </c>
      <c r="C22" s="65" t="s">
        <v>11</v>
      </c>
      <c r="D22" s="64" t="s">
        <v>12</v>
      </c>
      <c r="E22" s="64" t="s">
        <v>13</v>
      </c>
      <c r="F22" s="64" t="s">
        <v>14</v>
      </c>
      <c r="G22" s="64" t="s">
        <v>15</v>
      </c>
      <c r="H22" s="64" t="s">
        <v>16</v>
      </c>
      <c r="I22" s="64" t="s">
        <v>17</v>
      </c>
      <c r="J22" s="64" t="s">
        <v>18</v>
      </c>
      <c r="K22" s="64" t="s">
        <v>19</v>
      </c>
      <c r="L22" s="64" t="s">
        <v>20</v>
      </c>
      <c r="M22" s="64" t="s">
        <v>21</v>
      </c>
      <c r="N22" s="64" t="s">
        <v>22</v>
      </c>
      <c r="O22" s="66"/>
    </row>
    <row r="23" spans="1:15" x14ac:dyDescent="0.2">
      <c r="A23" s="67" t="s">
        <v>29</v>
      </c>
      <c r="C23" s="6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68"/>
    </row>
    <row r="24" spans="1:15" x14ac:dyDescent="0.2">
      <c r="A24" s="69" t="s">
        <v>23</v>
      </c>
      <c r="B24" s="109">
        <f>'CAM 2017'!M28</f>
        <v>38219</v>
      </c>
      <c r="C24" s="89">
        <f>B28</f>
        <v>43356</v>
      </c>
      <c r="D24" s="89">
        <f>C28</f>
        <v>43356</v>
      </c>
      <c r="E24" s="89">
        <f t="shared" ref="E24" si="2">D28</f>
        <v>43356</v>
      </c>
      <c r="F24" s="89">
        <f t="shared" ref="F24" si="3">E28</f>
        <v>48666</v>
      </c>
      <c r="G24" s="89">
        <f>F28</f>
        <v>48666</v>
      </c>
      <c r="H24" s="89">
        <f t="shared" ref="H24" si="4">G28</f>
        <v>52884</v>
      </c>
      <c r="I24" s="89">
        <f t="shared" ref="I24" si="5">H28</f>
        <v>52884</v>
      </c>
      <c r="J24" s="89">
        <f t="shared" ref="J24" si="6">I28</f>
        <v>52884</v>
      </c>
      <c r="K24" s="89">
        <f t="shared" ref="K24" si="7">J28</f>
        <v>52884</v>
      </c>
      <c r="L24" s="89">
        <f t="shared" ref="L24" si="8">K28</f>
        <v>57102</v>
      </c>
      <c r="M24" s="89">
        <f t="shared" ref="M24" si="9">L28</f>
        <v>57102</v>
      </c>
      <c r="N24" s="90"/>
      <c r="O24" s="91"/>
    </row>
    <row r="25" spans="1:15" x14ac:dyDescent="0.2">
      <c r="A25" s="69" t="s">
        <v>24</v>
      </c>
      <c r="B25" s="92">
        <f>B70</f>
        <v>5137</v>
      </c>
      <c r="C25" s="92">
        <v>0</v>
      </c>
      <c r="D25" s="92">
        <v>0</v>
      </c>
      <c r="E25" s="92">
        <f>D70</f>
        <v>5310</v>
      </c>
      <c r="F25" s="92">
        <v>0</v>
      </c>
      <c r="G25" s="92">
        <f>G70</f>
        <v>4218</v>
      </c>
      <c r="H25" s="92"/>
      <c r="I25" s="92">
        <v>0</v>
      </c>
      <c r="J25" s="92">
        <v>0</v>
      </c>
      <c r="K25" s="92">
        <f>J70</f>
        <v>4218</v>
      </c>
      <c r="L25" s="92">
        <v>0</v>
      </c>
      <c r="M25" s="92">
        <v>0</v>
      </c>
      <c r="N25" s="93"/>
      <c r="O25" s="91">
        <f>SUM(B25:M25)</f>
        <v>18883</v>
      </c>
    </row>
    <row r="26" spans="1:15" x14ac:dyDescent="0.2">
      <c r="A26" s="69" t="s">
        <v>25</v>
      </c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90"/>
      <c r="O26" s="91"/>
    </row>
    <row r="27" spans="1:15" x14ac:dyDescent="0.2">
      <c r="A27" s="69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90"/>
      <c r="O27" s="91"/>
    </row>
    <row r="28" spans="1:15" x14ac:dyDescent="0.2">
      <c r="A28" s="69" t="s">
        <v>30</v>
      </c>
      <c r="B28" s="89">
        <f>SUM(B24:B26)</f>
        <v>43356</v>
      </c>
      <c r="C28" s="89">
        <f>SUM(C24:C26)</f>
        <v>43356</v>
      </c>
      <c r="D28" s="89">
        <f t="shared" ref="D28:M28" si="10">SUM(D24:D26)</f>
        <v>43356</v>
      </c>
      <c r="E28" s="89">
        <f t="shared" si="10"/>
        <v>48666</v>
      </c>
      <c r="F28" s="89">
        <f t="shared" si="10"/>
        <v>48666</v>
      </c>
      <c r="G28" s="89">
        <f t="shared" si="10"/>
        <v>52884</v>
      </c>
      <c r="H28" s="89">
        <f t="shared" si="10"/>
        <v>52884</v>
      </c>
      <c r="I28" s="89">
        <f t="shared" si="10"/>
        <v>52884</v>
      </c>
      <c r="J28" s="89">
        <f t="shared" si="10"/>
        <v>52884</v>
      </c>
      <c r="K28" s="89">
        <f t="shared" si="10"/>
        <v>57102</v>
      </c>
      <c r="L28" s="89">
        <f t="shared" si="10"/>
        <v>57102</v>
      </c>
      <c r="M28" s="89">
        <f t="shared" si="10"/>
        <v>57102</v>
      </c>
      <c r="N28" s="90"/>
      <c r="O28" s="91"/>
    </row>
    <row r="29" spans="1:15" x14ac:dyDescent="0.2">
      <c r="A29" s="67"/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90"/>
      <c r="O29" s="91"/>
    </row>
    <row r="30" spans="1:15" x14ac:dyDescent="0.2">
      <c r="A30" s="73" t="s">
        <v>26</v>
      </c>
      <c r="B30" s="89">
        <f>ROUND(B24*$C$3,2)</f>
        <v>47.77</v>
      </c>
      <c r="C30" s="89">
        <f>ROUND(C24*$C$5,2)</f>
        <v>54.2</v>
      </c>
      <c r="D30" s="89">
        <f t="shared" ref="D30:E30" si="11">ROUND(D24*$C$5,2)</f>
        <v>54.2</v>
      </c>
      <c r="E30" s="89">
        <f t="shared" si="11"/>
        <v>54.2</v>
      </c>
      <c r="F30" s="89">
        <f>ROUND(F24*$C$6,2)</f>
        <v>76.650000000000006</v>
      </c>
      <c r="G30" s="89">
        <f t="shared" ref="G30:H30" si="12">ROUND(G24*$C$6,2)</f>
        <v>76.650000000000006</v>
      </c>
      <c r="H30" s="89">
        <f t="shared" si="12"/>
        <v>83.29</v>
      </c>
      <c r="I30" s="89">
        <f>ROUND(I24*$C$7,2)</f>
        <v>83.29</v>
      </c>
      <c r="J30" s="89">
        <f>ROUND(J24*$C$7,2)</f>
        <v>83.29</v>
      </c>
      <c r="K30" s="89">
        <f>ROUND(K24*$C$8,2)</f>
        <v>95.63</v>
      </c>
      <c r="L30" s="89">
        <f>ROUND(L24*$C$8,2)</f>
        <v>103.26</v>
      </c>
      <c r="M30" s="89">
        <f>ROUND(M24*$C$8,2)</f>
        <v>103.26</v>
      </c>
      <c r="N30" s="93"/>
      <c r="O30" s="91">
        <f>SUM(B30:M30)</f>
        <v>915.68999999999994</v>
      </c>
    </row>
    <row r="31" spans="1:15" x14ac:dyDescent="0.2">
      <c r="A31" s="74" t="s">
        <v>27</v>
      </c>
      <c r="B31" s="110">
        <f>'CAM 2017'!M31+B30</f>
        <v>467.0499999999999</v>
      </c>
      <c r="C31" s="94">
        <f>B31+C30</f>
        <v>521.24999999999989</v>
      </c>
      <c r="D31" s="94">
        <f t="shared" ref="D31" si="13">C31+D30</f>
        <v>575.44999999999993</v>
      </c>
      <c r="E31" s="94">
        <f t="shared" ref="E31" si="14">D31+E30</f>
        <v>629.65</v>
      </c>
      <c r="F31" s="94">
        <f t="shared" ref="F31" si="15">E31+F30</f>
        <v>706.3</v>
      </c>
      <c r="G31" s="94">
        <f>F31+G30</f>
        <v>782.94999999999993</v>
      </c>
      <c r="H31" s="94">
        <f>G31+H30</f>
        <v>866.2399999999999</v>
      </c>
      <c r="I31" s="94">
        <f t="shared" ref="I31" si="16">H31+I30</f>
        <v>949.52999999999986</v>
      </c>
      <c r="J31" s="94">
        <f t="shared" ref="J31" si="17">I31+J30</f>
        <v>1032.82</v>
      </c>
      <c r="K31" s="94">
        <f t="shared" ref="K31" si="18">J31+K30</f>
        <v>1128.4499999999998</v>
      </c>
      <c r="L31" s="94">
        <f t="shared" ref="L31" si="19">K31+L30</f>
        <v>1231.7099999999998</v>
      </c>
      <c r="M31" s="94">
        <f t="shared" ref="M31" si="20">L31+M30</f>
        <v>1334.9699999999998</v>
      </c>
      <c r="N31" s="94"/>
      <c r="O31" s="96"/>
    </row>
    <row r="32" spans="1:15" x14ac:dyDescent="0.2">
      <c r="A32" s="8"/>
      <c r="B32" s="111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</row>
    <row r="33" spans="1:15" x14ac:dyDescent="0.2">
      <c r="A33" s="63" t="s">
        <v>191</v>
      </c>
      <c r="B33" s="97" t="s">
        <v>10</v>
      </c>
      <c r="C33" s="97" t="s">
        <v>11</v>
      </c>
      <c r="D33" s="97" t="s">
        <v>12</v>
      </c>
      <c r="E33" s="97" t="s">
        <v>13</v>
      </c>
      <c r="F33" s="97" t="s">
        <v>14</v>
      </c>
      <c r="G33" s="97" t="s">
        <v>15</v>
      </c>
      <c r="H33" s="97" t="s">
        <v>16</v>
      </c>
      <c r="I33" s="97" t="s">
        <v>17</v>
      </c>
      <c r="J33" s="97" t="s">
        <v>18</v>
      </c>
      <c r="K33" s="97" t="s">
        <v>19</v>
      </c>
      <c r="L33" s="97" t="s">
        <v>20</v>
      </c>
      <c r="M33" s="97" t="s">
        <v>21</v>
      </c>
      <c r="N33" s="97"/>
      <c r="O33" s="98"/>
    </row>
    <row r="34" spans="1:15" x14ac:dyDescent="0.2">
      <c r="A34" s="67" t="s">
        <v>29</v>
      </c>
      <c r="B34" s="90"/>
      <c r="C34" s="90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1"/>
    </row>
    <row r="35" spans="1:15" x14ac:dyDescent="0.2">
      <c r="A35" s="69" t="s">
        <v>23</v>
      </c>
      <c r="B35" s="109">
        <f>[2]IFRS!$M$35</f>
        <v>-30563</v>
      </c>
      <c r="C35" s="89">
        <f>B39</f>
        <v>-35252</v>
      </c>
      <c r="D35" s="89">
        <f>C39</f>
        <v>-35252</v>
      </c>
      <c r="E35" s="89">
        <f t="shared" ref="E35:F35" si="21">D39</f>
        <v>-35252</v>
      </c>
      <c r="F35" s="89">
        <f t="shared" si="21"/>
        <v>-39768</v>
      </c>
      <c r="G35" s="89">
        <f>F39</f>
        <v>-39768</v>
      </c>
      <c r="H35" s="89">
        <f t="shared" ref="H35:M35" si="22">G39</f>
        <v>-45376</v>
      </c>
      <c r="I35" s="89">
        <f t="shared" si="22"/>
        <v>-45376</v>
      </c>
      <c r="J35" s="89">
        <f t="shared" si="22"/>
        <v>-45376</v>
      </c>
      <c r="K35" s="89">
        <f t="shared" si="22"/>
        <v>-45376</v>
      </c>
      <c r="L35" s="89">
        <f t="shared" si="22"/>
        <v>-50984</v>
      </c>
      <c r="M35" s="89">
        <f t="shared" si="22"/>
        <v>-50984</v>
      </c>
      <c r="N35" s="90"/>
      <c r="O35" s="91"/>
    </row>
    <row r="36" spans="1:15" x14ac:dyDescent="0.2">
      <c r="A36" s="69" t="s">
        <v>24</v>
      </c>
      <c r="B36" s="92">
        <v>-4689</v>
      </c>
      <c r="C36" s="92">
        <v>0</v>
      </c>
      <c r="D36" s="92">
        <v>0</v>
      </c>
      <c r="E36" s="92">
        <v>-4516</v>
      </c>
      <c r="F36" s="92">
        <v>0</v>
      </c>
      <c r="G36" s="92">
        <v>-5608</v>
      </c>
      <c r="H36" s="92"/>
      <c r="I36" s="92">
        <v>0</v>
      </c>
      <c r="J36" s="92">
        <v>0</v>
      </c>
      <c r="K36" s="92">
        <v>-5608</v>
      </c>
      <c r="L36" s="92">
        <v>0</v>
      </c>
      <c r="M36" s="92">
        <v>0</v>
      </c>
      <c r="N36" s="93"/>
      <c r="O36" s="91">
        <f>SUM(B36:M36)</f>
        <v>-20421</v>
      </c>
    </row>
    <row r="37" spans="1:15" x14ac:dyDescent="0.2">
      <c r="A37" s="69" t="s">
        <v>25</v>
      </c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90"/>
      <c r="O37" s="91"/>
    </row>
    <row r="38" spans="1:15" x14ac:dyDescent="0.2">
      <c r="A38" s="69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90"/>
      <c r="O38" s="91"/>
    </row>
    <row r="39" spans="1:15" x14ac:dyDescent="0.2">
      <c r="A39" s="69" t="s">
        <v>30</v>
      </c>
      <c r="B39" s="89">
        <f>SUM(B35:B37)</f>
        <v>-35252</v>
      </c>
      <c r="C39" s="89">
        <f>SUM(C35:C37)</f>
        <v>-35252</v>
      </c>
      <c r="D39" s="89">
        <f t="shared" ref="D39:M39" si="23">SUM(D35:D37)</f>
        <v>-35252</v>
      </c>
      <c r="E39" s="89">
        <f t="shared" si="23"/>
        <v>-39768</v>
      </c>
      <c r="F39" s="89">
        <f t="shared" si="23"/>
        <v>-39768</v>
      </c>
      <c r="G39" s="89">
        <f t="shared" si="23"/>
        <v>-45376</v>
      </c>
      <c r="H39" s="89">
        <f t="shared" si="23"/>
        <v>-45376</v>
      </c>
      <c r="I39" s="89">
        <f t="shared" si="23"/>
        <v>-45376</v>
      </c>
      <c r="J39" s="89">
        <f t="shared" si="23"/>
        <v>-45376</v>
      </c>
      <c r="K39" s="89">
        <f t="shared" si="23"/>
        <v>-50984</v>
      </c>
      <c r="L39" s="89">
        <f t="shared" si="23"/>
        <v>-50984</v>
      </c>
      <c r="M39" s="89">
        <f t="shared" si="23"/>
        <v>-50984</v>
      </c>
      <c r="N39" s="90"/>
      <c r="O39" s="91"/>
    </row>
    <row r="40" spans="1:15" x14ac:dyDescent="0.2">
      <c r="A40" s="67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90"/>
      <c r="O40" s="91"/>
    </row>
    <row r="41" spans="1:15" x14ac:dyDescent="0.2">
      <c r="A41" s="73" t="s">
        <v>26</v>
      </c>
      <c r="B41" s="89">
        <f>ROUND(B35*$C$3,2)</f>
        <v>-38.200000000000003</v>
      </c>
      <c r="C41" s="89">
        <f>ROUND(C35*$C$5,2)</f>
        <v>-44.07</v>
      </c>
      <c r="D41" s="89">
        <f t="shared" ref="D41:E41" si="24">ROUND(D35*$C$5,2)</f>
        <v>-44.07</v>
      </c>
      <c r="E41" s="89">
        <f t="shared" si="24"/>
        <v>-44.07</v>
      </c>
      <c r="F41" s="89">
        <f>ROUND(F35*$C$6,2)</f>
        <v>-62.63</v>
      </c>
      <c r="G41" s="89">
        <f t="shared" ref="G41:H41" si="25">ROUND(G35*$C$6,2)</f>
        <v>-62.63</v>
      </c>
      <c r="H41" s="89">
        <f t="shared" si="25"/>
        <v>-71.47</v>
      </c>
      <c r="I41" s="89">
        <f>ROUND(I35*$C$7,2)</f>
        <v>-71.47</v>
      </c>
      <c r="J41" s="89">
        <f>ROUND(J35*$C$7,2)</f>
        <v>-71.47</v>
      </c>
      <c r="K41" s="89">
        <f>ROUND(K35*$C$8,2)</f>
        <v>-82.05</v>
      </c>
      <c r="L41" s="89">
        <f>ROUND(L35*$C$8,2)</f>
        <v>-92.2</v>
      </c>
      <c r="M41" s="89">
        <f>ROUND(M35*$C$8,2)</f>
        <v>-92.2</v>
      </c>
      <c r="N41" s="93"/>
      <c r="O41" s="91">
        <f>SUM(B41:M41)</f>
        <v>-776.53000000000009</v>
      </c>
    </row>
    <row r="42" spans="1:15" x14ac:dyDescent="0.2">
      <c r="A42" s="74" t="s">
        <v>27</v>
      </c>
      <c r="B42" s="110">
        <f>[2]IFRS!$M$42+B41</f>
        <v>-377.95</v>
      </c>
      <c r="C42" s="94">
        <f>B42+C41</f>
        <v>-422.02</v>
      </c>
      <c r="D42" s="94">
        <f t="shared" ref="D42:F42" si="26">C42+D41</f>
        <v>-466.09</v>
      </c>
      <c r="E42" s="94">
        <f t="shared" si="26"/>
        <v>-510.15999999999997</v>
      </c>
      <c r="F42" s="94">
        <f t="shared" si="26"/>
        <v>-572.79</v>
      </c>
      <c r="G42" s="94">
        <f>F42+G41</f>
        <v>-635.41999999999996</v>
      </c>
      <c r="H42" s="94">
        <f>G42+H41</f>
        <v>-706.89</v>
      </c>
      <c r="I42" s="94">
        <f t="shared" ref="I42:M42" si="27">H42+I41</f>
        <v>-778.36</v>
      </c>
      <c r="J42" s="94">
        <f t="shared" si="27"/>
        <v>-849.83</v>
      </c>
      <c r="K42" s="94">
        <f t="shared" si="27"/>
        <v>-931.88</v>
      </c>
      <c r="L42" s="94">
        <f t="shared" si="27"/>
        <v>-1024.08</v>
      </c>
      <c r="M42" s="94">
        <f t="shared" si="27"/>
        <v>-1116.28</v>
      </c>
      <c r="N42" s="94"/>
      <c r="O42" s="96"/>
    </row>
    <row r="43" spans="1:15" x14ac:dyDescent="0.2">
      <c r="A43" s="8"/>
      <c r="B43" s="111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</row>
    <row r="44" spans="1:15" hidden="1" x14ac:dyDescent="0.2">
      <c r="A44" s="8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0"/>
    </row>
    <row r="45" spans="1:15" hidden="1" x14ac:dyDescent="0.2">
      <c r="B45" s="90"/>
      <c r="C45" s="90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0"/>
    </row>
    <row r="46" spans="1:15" hidden="1" x14ac:dyDescent="0.2">
      <c r="A46" s="13"/>
      <c r="B46" s="112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</row>
    <row r="47" spans="1:15" hidden="1" x14ac:dyDescent="0.2">
      <c r="A47" s="13"/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93"/>
      <c r="O47" s="90"/>
    </row>
    <row r="48" spans="1:15" hidden="1" x14ac:dyDescent="0.2">
      <c r="A48" s="13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</row>
    <row r="49" spans="1:15" hidden="1" x14ac:dyDescent="0.2">
      <c r="A49" s="13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</row>
    <row r="50" spans="1:15" hidden="1" x14ac:dyDescent="0.2">
      <c r="A50" s="13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</row>
    <row r="51" spans="1:15" hidden="1" x14ac:dyDescent="0.2"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</row>
    <row r="52" spans="1:15" hidden="1" x14ac:dyDescent="0.2">
      <c r="A52" s="8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3"/>
      <c r="O52" s="90"/>
    </row>
    <row r="53" spans="1:15" hidden="1" x14ac:dyDescent="0.2">
      <c r="A53" s="8"/>
      <c r="B53" s="112"/>
      <c r="C53" s="90"/>
      <c r="D53" s="90"/>
      <c r="E53" s="90"/>
      <c r="F53" s="90"/>
      <c r="G53" s="90"/>
      <c r="H53" s="90"/>
      <c r="I53" s="90"/>
      <c r="J53" s="111"/>
      <c r="K53" s="111"/>
      <c r="L53" s="90"/>
      <c r="M53" s="90"/>
      <c r="N53" s="90"/>
      <c r="O53" s="90"/>
    </row>
    <row r="54" spans="1:15" hidden="1" x14ac:dyDescent="0.2">
      <c r="A54" s="8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 t="s">
        <v>34</v>
      </c>
    </row>
    <row r="55" spans="1:15" x14ac:dyDescent="0.2">
      <c r="A55" s="83" t="s">
        <v>31</v>
      </c>
      <c r="B55" s="100">
        <f>B28+B31+B39+B42</f>
        <v>8193.1000000000022</v>
      </c>
      <c r="C55" s="100">
        <f t="shared" ref="C55:M55" si="28">C28+C31+C39+C42</f>
        <v>8203.23</v>
      </c>
      <c r="D55" s="100">
        <f t="shared" si="28"/>
        <v>8213.3599999999969</v>
      </c>
      <c r="E55" s="100">
        <f t="shared" si="28"/>
        <v>9017.4900000000016</v>
      </c>
      <c r="F55" s="100">
        <f t="shared" si="28"/>
        <v>9031.510000000002</v>
      </c>
      <c r="G55" s="100">
        <f t="shared" si="28"/>
        <v>7655.529999999997</v>
      </c>
      <c r="H55" s="100">
        <f t="shared" si="28"/>
        <v>7667.3499999999976</v>
      </c>
      <c r="I55" s="100">
        <f t="shared" si="28"/>
        <v>7679.1699999999992</v>
      </c>
      <c r="J55" s="100">
        <f t="shared" si="28"/>
        <v>7690.99</v>
      </c>
      <c r="K55" s="100">
        <f t="shared" si="28"/>
        <v>6314.569999999997</v>
      </c>
      <c r="L55" s="100">
        <f t="shared" si="28"/>
        <v>6325.6299999999992</v>
      </c>
      <c r="M55" s="100">
        <f t="shared" si="28"/>
        <v>6336.6900000000014</v>
      </c>
      <c r="N55" s="101"/>
      <c r="O55" s="102"/>
    </row>
    <row r="56" spans="1:15" x14ac:dyDescent="0.2">
      <c r="A56" s="8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</row>
    <row r="57" spans="1:15" x14ac:dyDescent="0.2">
      <c r="A57" s="20"/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90">
        <f>M17+M20+M28+M31+M39+M42+M50+M53</f>
        <v>6336.6900000000014</v>
      </c>
      <c r="O57" s="90"/>
    </row>
    <row r="58" spans="1:15" hidden="1" x14ac:dyDescent="0.2"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</row>
    <row r="59" spans="1:15" hidden="1" x14ac:dyDescent="0.2"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</row>
    <row r="60" spans="1:15" hidden="1" x14ac:dyDescent="0.2">
      <c r="A60" s="18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</row>
    <row r="61" spans="1:15" hidden="1" x14ac:dyDescent="0.2">
      <c r="A61" s="18"/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</row>
    <row r="62" spans="1:15" hidden="1" x14ac:dyDescent="0.2"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</row>
    <row r="63" spans="1:15" x14ac:dyDescent="0.2"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</row>
    <row r="64" spans="1:15" x14ac:dyDescent="0.2">
      <c r="A64" s="2" t="s">
        <v>0</v>
      </c>
      <c r="B64" s="61"/>
      <c r="C64" s="61"/>
      <c r="D64" s="105">
        <f>'CAM 2017'!D52</f>
        <v>7837</v>
      </c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90"/>
    </row>
    <row r="65" spans="1:15" x14ac:dyDescent="0.2">
      <c r="A65" s="2" t="s">
        <v>143</v>
      </c>
      <c r="B65" s="105">
        <f>'OEB costs'!F9</f>
        <v>12974</v>
      </c>
      <c r="C65" s="61"/>
      <c r="D65" s="105">
        <f>'OEB costs'!F10</f>
        <v>13147</v>
      </c>
      <c r="E65" s="61"/>
      <c r="F65" s="61"/>
      <c r="G65" s="105">
        <f>'OEB costs'!F11</f>
        <v>12055</v>
      </c>
      <c r="H65" s="61"/>
      <c r="I65" s="61"/>
      <c r="J65" s="105">
        <f>'OEB costs'!F12</f>
        <v>12055</v>
      </c>
      <c r="K65" s="61"/>
      <c r="L65" s="61"/>
      <c r="M65" s="61"/>
      <c r="N65" s="106" t="s">
        <v>190</v>
      </c>
      <c r="O65" s="90"/>
    </row>
    <row r="66" spans="1:15" x14ac:dyDescent="0.2">
      <c r="A66" s="63" t="s">
        <v>41</v>
      </c>
      <c r="B66" s="107" t="s">
        <v>147</v>
      </c>
      <c r="C66" s="107" t="s">
        <v>148</v>
      </c>
      <c r="D66" s="107" t="s">
        <v>147</v>
      </c>
      <c r="E66" s="107" t="s">
        <v>148</v>
      </c>
      <c r="F66" s="107"/>
      <c r="G66" s="107" t="s">
        <v>147</v>
      </c>
      <c r="H66" s="107" t="s">
        <v>148</v>
      </c>
      <c r="I66" s="107"/>
      <c r="J66" s="107" t="s">
        <v>147</v>
      </c>
      <c r="K66" s="107" t="s">
        <v>148</v>
      </c>
      <c r="L66" s="107"/>
      <c r="M66" s="107"/>
      <c r="N66" s="81"/>
      <c r="O66" s="90"/>
    </row>
    <row r="67" spans="1:15" x14ac:dyDescent="0.2">
      <c r="A67" s="67" t="s">
        <v>1</v>
      </c>
      <c r="B67" s="61">
        <f>C69</f>
        <v>12974</v>
      </c>
      <c r="C67" s="61"/>
      <c r="D67" s="61">
        <f>E69</f>
        <v>13147</v>
      </c>
      <c r="E67" s="61"/>
      <c r="F67" s="61"/>
      <c r="G67" s="61">
        <f>H69</f>
        <v>12055</v>
      </c>
      <c r="H67" s="61"/>
      <c r="I67" s="61"/>
      <c r="J67" s="61">
        <f>K69</f>
        <v>12055</v>
      </c>
      <c r="K67" s="61"/>
      <c r="L67" s="61"/>
      <c r="M67" s="61"/>
      <c r="N67" s="77">
        <f>SUM(B67:M67)</f>
        <v>50231</v>
      </c>
      <c r="O67" s="90"/>
    </row>
    <row r="68" spans="1:15" x14ac:dyDescent="0.2">
      <c r="A68" s="67" t="s">
        <v>2</v>
      </c>
      <c r="B68" s="61"/>
      <c r="C68" s="61">
        <f>C69-$D64</f>
        <v>5137</v>
      </c>
      <c r="D68" s="61"/>
      <c r="E68" s="61">
        <f>E69-$D64</f>
        <v>5310</v>
      </c>
      <c r="F68" s="61"/>
      <c r="G68" s="61"/>
      <c r="H68" s="61">
        <f>H69-$D64</f>
        <v>4218</v>
      </c>
      <c r="I68" s="61"/>
      <c r="J68" s="61"/>
      <c r="K68" s="61">
        <f>K69-$D64</f>
        <v>4218</v>
      </c>
      <c r="L68" s="61"/>
      <c r="M68" s="61"/>
      <c r="N68" s="77">
        <f>-SUM(B68:M68)</f>
        <v>-18883</v>
      </c>
      <c r="O68" s="90"/>
    </row>
    <row r="69" spans="1:15" x14ac:dyDescent="0.2">
      <c r="A69" s="67" t="s">
        <v>145</v>
      </c>
      <c r="B69" s="61"/>
      <c r="C69" s="61">
        <f>B65</f>
        <v>12974</v>
      </c>
      <c r="D69" s="61"/>
      <c r="E69" s="61">
        <f>D65</f>
        <v>13147</v>
      </c>
      <c r="F69" s="61"/>
      <c r="G69" s="61"/>
      <c r="H69" s="61">
        <f>G65</f>
        <v>12055</v>
      </c>
      <c r="I69" s="61"/>
      <c r="J69" s="61"/>
      <c r="K69" s="61">
        <f>J65</f>
        <v>12055</v>
      </c>
      <c r="L69" s="61"/>
      <c r="M69" s="61"/>
      <c r="N69" s="77">
        <f>-SUM(B69:M69)</f>
        <v>-50231</v>
      </c>
      <c r="O69" s="90"/>
    </row>
    <row r="70" spans="1:15" x14ac:dyDescent="0.2">
      <c r="A70" s="78" t="s">
        <v>29</v>
      </c>
      <c r="B70" s="108">
        <f>C68</f>
        <v>5137</v>
      </c>
      <c r="C70" s="108"/>
      <c r="D70" s="108">
        <f>E68</f>
        <v>5310</v>
      </c>
      <c r="E70" s="108"/>
      <c r="F70" s="108"/>
      <c r="G70" s="108">
        <f>H68</f>
        <v>4218</v>
      </c>
      <c r="H70" s="108"/>
      <c r="I70" s="108"/>
      <c r="J70" s="108">
        <f>K68</f>
        <v>4218</v>
      </c>
      <c r="K70" s="108"/>
      <c r="L70" s="108"/>
      <c r="M70" s="108"/>
      <c r="N70" s="80">
        <f t="shared" ref="N70" si="29">SUM(B70:M70)</f>
        <v>18883</v>
      </c>
      <c r="O70" s="90"/>
    </row>
    <row r="71" spans="1:15" x14ac:dyDescent="0.2"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90"/>
    </row>
    <row r="72" spans="1:15" x14ac:dyDescent="0.2">
      <c r="A72" s="63" t="s">
        <v>40</v>
      </c>
      <c r="B72" s="107" t="s">
        <v>147</v>
      </c>
      <c r="C72" s="107" t="s">
        <v>148</v>
      </c>
      <c r="D72" s="107" t="s">
        <v>147</v>
      </c>
      <c r="E72" s="107" t="s">
        <v>148</v>
      </c>
      <c r="F72" s="107"/>
      <c r="G72" s="107" t="s">
        <v>147</v>
      </c>
      <c r="H72" s="107" t="s">
        <v>148</v>
      </c>
      <c r="I72" s="107"/>
      <c r="J72" s="107" t="s">
        <v>147</v>
      </c>
      <c r="K72" s="107" t="s">
        <v>148</v>
      </c>
      <c r="L72" s="107"/>
      <c r="M72" s="107"/>
      <c r="N72" s="81"/>
      <c r="O72" s="90"/>
    </row>
    <row r="73" spans="1:15" x14ac:dyDescent="0.2">
      <c r="A73" s="67" t="s">
        <v>1</v>
      </c>
      <c r="B73" s="61">
        <v>17663</v>
      </c>
      <c r="C73" s="61"/>
      <c r="D73" s="61">
        <v>17663</v>
      </c>
      <c r="E73" s="61"/>
      <c r="F73" s="61"/>
      <c r="G73" s="61">
        <v>17663</v>
      </c>
      <c r="H73" s="61"/>
      <c r="I73" s="61"/>
      <c r="J73" s="61">
        <v>17663</v>
      </c>
      <c r="K73" s="61"/>
      <c r="L73" s="61"/>
      <c r="M73" s="61"/>
      <c r="N73" s="77">
        <f t="shared" ref="N73:N77" si="30">SUM(B73:M73)</f>
        <v>70652</v>
      </c>
      <c r="O73" s="90"/>
    </row>
    <row r="74" spans="1:15" x14ac:dyDescent="0.2">
      <c r="A74" s="67" t="s">
        <v>29</v>
      </c>
      <c r="B74" s="61"/>
      <c r="C74" s="61">
        <f>B73-C75</f>
        <v>4689</v>
      </c>
      <c r="D74" s="61"/>
      <c r="E74" s="61">
        <f>D73-E75</f>
        <v>4516</v>
      </c>
      <c r="F74" s="61"/>
      <c r="G74" s="61"/>
      <c r="H74" s="61">
        <f>G73-H75</f>
        <v>5608</v>
      </c>
      <c r="I74" s="61"/>
      <c r="J74" s="61"/>
      <c r="K74" s="61">
        <f>J73-K75</f>
        <v>5608</v>
      </c>
      <c r="L74" s="61"/>
      <c r="M74" s="61"/>
      <c r="N74" s="77">
        <f>-SUM(B74:M74)</f>
        <v>-20421</v>
      </c>
      <c r="O74" s="90"/>
    </row>
    <row r="75" spans="1:15" x14ac:dyDescent="0.2">
      <c r="A75" s="67" t="s">
        <v>145</v>
      </c>
      <c r="B75" s="61"/>
      <c r="C75" s="61">
        <f>B65</f>
        <v>12974</v>
      </c>
      <c r="D75" s="61"/>
      <c r="E75" s="61">
        <f>D65</f>
        <v>13147</v>
      </c>
      <c r="F75" s="61"/>
      <c r="G75" s="61"/>
      <c r="H75" s="61">
        <f>G65</f>
        <v>12055</v>
      </c>
      <c r="I75" s="61"/>
      <c r="J75" s="61"/>
      <c r="K75" s="61">
        <f>J65</f>
        <v>12055</v>
      </c>
      <c r="L75" s="61"/>
      <c r="M75" s="61"/>
      <c r="N75" s="77">
        <f>-SUM(B75:M75)</f>
        <v>-50231</v>
      </c>
      <c r="O75" s="90"/>
    </row>
    <row r="76" spans="1:15" x14ac:dyDescent="0.2">
      <c r="A76" s="67" t="s">
        <v>1</v>
      </c>
      <c r="B76" s="61"/>
      <c r="C76" s="61">
        <f>C74</f>
        <v>4689</v>
      </c>
      <c r="D76" s="61"/>
      <c r="E76" s="61">
        <f>E74</f>
        <v>4516</v>
      </c>
      <c r="F76" s="61"/>
      <c r="G76" s="61"/>
      <c r="H76" s="61">
        <f>H74</f>
        <v>5608</v>
      </c>
      <c r="I76" s="61"/>
      <c r="J76" s="61"/>
      <c r="K76" s="61">
        <f>K74</f>
        <v>5608</v>
      </c>
      <c r="L76" s="61"/>
      <c r="M76" s="61"/>
      <c r="N76" s="77">
        <f>-SUM(B76:M76)</f>
        <v>-20421</v>
      </c>
      <c r="O76" s="90"/>
    </row>
    <row r="77" spans="1:15" x14ac:dyDescent="0.2">
      <c r="A77" s="78" t="s">
        <v>2</v>
      </c>
      <c r="B77" s="108">
        <f>C76</f>
        <v>4689</v>
      </c>
      <c r="C77" s="108"/>
      <c r="D77" s="108">
        <f>E76</f>
        <v>4516</v>
      </c>
      <c r="E77" s="108"/>
      <c r="F77" s="108"/>
      <c r="G77" s="108">
        <f>H76</f>
        <v>5608</v>
      </c>
      <c r="H77" s="108"/>
      <c r="I77" s="108"/>
      <c r="J77" s="108">
        <f>K76</f>
        <v>5608</v>
      </c>
      <c r="K77" s="108"/>
      <c r="L77" s="108"/>
      <c r="M77" s="108"/>
      <c r="N77" s="80">
        <f t="shared" si="30"/>
        <v>20421</v>
      </c>
      <c r="O77" s="90"/>
    </row>
    <row r="78" spans="1:15" x14ac:dyDescent="0.2"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</row>
    <row r="79" spans="1:15" x14ac:dyDescent="0.2"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</row>
    <row r="80" spans="1:15" x14ac:dyDescent="0.2">
      <c r="A80" s="63" t="s">
        <v>188</v>
      </c>
      <c r="B80" s="104"/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98"/>
      <c r="O80" s="90"/>
    </row>
    <row r="81" spans="1:15" x14ac:dyDescent="0.2">
      <c r="A81" s="67" t="s">
        <v>36</v>
      </c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1">
        <f>O30</f>
        <v>915.68999999999994</v>
      </c>
      <c r="O81" s="90"/>
    </row>
    <row r="82" spans="1:15" x14ac:dyDescent="0.2">
      <c r="A82" s="78" t="s">
        <v>35</v>
      </c>
      <c r="B82" s="94"/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6">
        <f>-N81</f>
        <v>-915.68999999999994</v>
      </c>
      <c r="O82" s="90"/>
    </row>
    <row r="83" spans="1:15" x14ac:dyDescent="0.2"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</row>
    <row r="84" spans="1:15" x14ac:dyDescent="0.2">
      <c r="A84" s="63" t="s">
        <v>189</v>
      </c>
      <c r="B84" s="104"/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98"/>
      <c r="O84" s="90"/>
    </row>
    <row r="85" spans="1:15" x14ac:dyDescent="0.2">
      <c r="A85" s="67" t="s">
        <v>36</v>
      </c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1">
        <f>O41</f>
        <v>-776.53000000000009</v>
      </c>
      <c r="O85" s="90"/>
    </row>
    <row r="86" spans="1:15" x14ac:dyDescent="0.2">
      <c r="A86" s="78" t="s">
        <v>37</v>
      </c>
      <c r="B86" s="94"/>
      <c r="C86" s="94"/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6">
        <f>-N85</f>
        <v>776.53000000000009</v>
      </c>
      <c r="O86" s="90"/>
    </row>
  </sheetData>
  <mergeCells count="1">
    <mergeCell ref="B10:N10"/>
  </mergeCells>
  <printOptions horizontalCentered="1"/>
  <pageMargins left="0" right="0" top="1" bottom="1" header="0.5" footer="0.5"/>
  <pageSetup scale="56" orientation="landscape" r:id="rId1"/>
  <headerFooter alignWithMargins="0">
    <oddHeader>&amp;C&amp;A</oddHeader>
    <oddFooter>&amp;L&amp;Z&amp;F&amp;R&amp;D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3B714-46A7-4922-9F74-06A9EBCAF4C0}">
  <sheetPr>
    <tabColor rgb="FF00B050"/>
    <pageSetUpPr fitToPage="1"/>
  </sheetPr>
  <dimension ref="A1:P93"/>
  <sheetViews>
    <sheetView zoomScaleNormal="100" workbookViewId="0">
      <selection activeCell="D72" sqref="D72"/>
    </sheetView>
  </sheetViews>
  <sheetFormatPr defaultColWidth="9.140625" defaultRowHeight="12.75" x14ac:dyDescent="0.2"/>
  <cols>
    <col min="1" max="1" width="36.7109375" style="2" customWidth="1"/>
    <col min="2" max="2" width="12.140625" style="2" customWidth="1"/>
    <col min="3" max="3" width="11.85546875" style="2" customWidth="1"/>
    <col min="4" max="5" width="12.28515625" style="2" customWidth="1"/>
    <col min="6" max="6" width="12.7109375" style="2" customWidth="1"/>
    <col min="7" max="7" width="12.140625" style="2" customWidth="1"/>
    <col min="8" max="8" width="12.7109375" style="2" customWidth="1"/>
    <col min="9" max="9" width="12.28515625" style="2" bestFit="1" customWidth="1"/>
    <col min="10" max="10" width="12" style="2" bestFit="1" customWidth="1"/>
    <col min="11" max="11" width="11.85546875" style="2" bestFit="1" customWidth="1"/>
    <col min="12" max="12" width="11.5703125" style="2" bestFit="1" customWidth="1"/>
    <col min="13" max="13" width="12" style="2" bestFit="1" customWidth="1"/>
    <col min="14" max="14" width="12.42578125" style="2" bestFit="1" customWidth="1"/>
    <col min="15" max="15" width="13.28515625" style="2" customWidth="1"/>
    <col min="16" max="16" width="10.5703125" style="2" bestFit="1" customWidth="1"/>
    <col min="17" max="16384" width="9.140625" style="2"/>
  </cols>
  <sheetData>
    <row r="1" spans="1:15" ht="18.75" x14ac:dyDescent="0.3">
      <c r="A1" s="1" t="s">
        <v>3</v>
      </c>
      <c r="C1" s="1" t="s">
        <v>192</v>
      </c>
    </row>
    <row r="2" spans="1:15" ht="18.75" x14ac:dyDescent="0.3">
      <c r="A2" s="1" t="s">
        <v>4</v>
      </c>
      <c r="C2" s="1"/>
    </row>
    <row r="3" spans="1:15" ht="6" customHeight="1" x14ac:dyDescent="0.2">
      <c r="B3" s="6"/>
      <c r="C3" s="7"/>
      <c r="J3" s="2">
        <v>0</v>
      </c>
    </row>
    <row r="4" spans="1:15" x14ac:dyDescent="0.2">
      <c r="A4" s="8" t="s">
        <v>6</v>
      </c>
      <c r="B4" s="9">
        <v>2.4500000000000001E-2</v>
      </c>
      <c r="C4" s="10">
        <f>B4/12</f>
        <v>2.0416666666666669E-3</v>
      </c>
    </row>
    <row r="5" spans="1:15" x14ac:dyDescent="0.2">
      <c r="A5" s="8" t="s">
        <v>7</v>
      </c>
      <c r="B5" s="9">
        <v>2.18E-2</v>
      </c>
      <c r="C5" s="10">
        <f t="shared" ref="C5:C7" si="0">B5/12</f>
        <v>1.8166666666666667E-3</v>
      </c>
    </row>
    <row r="6" spans="1:15" x14ac:dyDescent="0.2">
      <c r="A6" s="8" t="s">
        <v>8</v>
      </c>
      <c r="B6" s="9">
        <v>2.18E-2</v>
      </c>
      <c r="C6" s="10">
        <f t="shared" si="0"/>
        <v>1.8166666666666667E-3</v>
      </c>
    </row>
    <row r="7" spans="1:15" x14ac:dyDescent="0.2">
      <c r="A7" s="8" t="s">
        <v>9</v>
      </c>
      <c r="B7" s="9">
        <v>2.18E-2</v>
      </c>
      <c r="C7" s="10">
        <f t="shared" si="0"/>
        <v>1.8166666666666667E-3</v>
      </c>
    </row>
    <row r="8" spans="1:15" x14ac:dyDescent="0.2">
      <c r="B8" s="6"/>
      <c r="C8" s="7"/>
    </row>
    <row r="9" spans="1:15" x14ac:dyDescent="0.2">
      <c r="A9" s="62"/>
      <c r="B9" s="138">
        <v>2019</v>
      </c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</row>
    <row r="10" spans="1:15" hidden="1" x14ac:dyDescent="0.2">
      <c r="A10" s="8"/>
      <c r="B10" s="11"/>
      <c r="C10" s="12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5" hidden="1" x14ac:dyDescent="0.2">
      <c r="C11" s="6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5" hidden="1" x14ac:dyDescent="0.2">
      <c r="A12" s="13"/>
      <c r="B12" s="14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spans="1:15" hidden="1" x14ac:dyDescent="0.2">
      <c r="A13" s="13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7"/>
      <c r="O13" s="18"/>
    </row>
    <row r="14" spans="1:15" hidden="1" x14ac:dyDescent="0.2">
      <c r="A14" s="13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8"/>
    </row>
    <row r="15" spans="1:15" hidden="1" x14ac:dyDescent="0.2">
      <c r="A15" s="13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5" hidden="1" x14ac:dyDescent="0.2">
      <c r="A16" s="13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8"/>
    </row>
    <row r="17" spans="1:15" hidden="1" x14ac:dyDescent="0.2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5" hidden="1" x14ac:dyDescent="0.2">
      <c r="A18" s="8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7"/>
      <c r="O18" s="18"/>
    </row>
    <row r="19" spans="1:15" hidden="1" x14ac:dyDescent="0.2">
      <c r="A19" s="8"/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9"/>
    </row>
    <row r="20" spans="1:15" x14ac:dyDescent="0.2">
      <c r="A20" s="8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9"/>
    </row>
    <row r="21" spans="1:15" x14ac:dyDescent="0.2">
      <c r="A21" s="63" t="s">
        <v>144</v>
      </c>
      <c r="B21" s="64" t="s">
        <v>10</v>
      </c>
      <c r="C21" s="65" t="s">
        <v>11</v>
      </c>
      <c r="D21" s="64" t="s">
        <v>12</v>
      </c>
      <c r="E21" s="64" t="s">
        <v>13</v>
      </c>
      <c r="F21" s="64" t="s">
        <v>14</v>
      </c>
      <c r="G21" s="64" t="s">
        <v>15</v>
      </c>
      <c r="H21" s="64" t="s">
        <v>16</v>
      </c>
      <c r="I21" s="64" t="s">
        <v>17</v>
      </c>
      <c r="J21" s="64" t="s">
        <v>18</v>
      </c>
      <c r="K21" s="64" t="s">
        <v>19</v>
      </c>
      <c r="L21" s="64" t="s">
        <v>20</v>
      </c>
      <c r="M21" s="64" t="s">
        <v>21</v>
      </c>
      <c r="N21" s="64" t="s">
        <v>22</v>
      </c>
      <c r="O21" s="66"/>
    </row>
    <row r="22" spans="1:15" x14ac:dyDescent="0.2">
      <c r="A22" s="67" t="s">
        <v>29</v>
      </c>
      <c r="C22" s="6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68"/>
    </row>
    <row r="23" spans="1:15" x14ac:dyDescent="0.2">
      <c r="A23" s="69" t="s">
        <v>23</v>
      </c>
      <c r="B23" s="109">
        <f>'CAM 2018'!M28</f>
        <v>57102</v>
      </c>
      <c r="C23" s="89">
        <f>B27</f>
        <v>61320</v>
      </c>
      <c r="D23" s="89">
        <f>C27</f>
        <v>61320</v>
      </c>
      <c r="E23" s="89">
        <f t="shared" ref="E23" si="1">D27</f>
        <v>61320</v>
      </c>
      <c r="F23" s="89">
        <f t="shared" ref="F23" si="2">E27</f>
        <v>66630</v>
      </c>
      <c r="G23" s="89">
        <f>F27</f>
        <v>66630</v>
      </c>
      <c r="H23" s="89">
        <f t="shared" ref="H23" si="3">G27</f>
        <v>66630</v>
      </c>
      <c r="I23" s="89">
        <f t="shared" ref="I23" si="4">H27</f>
        <v>71908</v>
      </c>
      <c r="J23" s="89">
        <f t="shared" ref="J23" si="5">I27</f>
        <v>71908</v>
      </c>
      <c r="K23" s="89">
        <f t="shared" ref="K23" si="6">J27</f>
        <v>71908</v>
      </c>
      <c r="L23" s="89">
        <f t="shared" ref="L23" si="7">K27</f>
        <v>77186</v>
      </c>
      <c r="M23" s="89">
        <f t="shared" ref="M23" si="8">L27</f>
        <v>77186</v>
      </c>
      <c r="N23" s="90"/>
      <c r="O23" s="91"/>
    </row>
    <row r="24" spans="1:15" x14ac:dyDescent="0.2">
      <c r="A24" s="69" t="s">
        <v>24</v>
      </c>
      <c r="B24" s="92">
        <f>B77</f>
        <v>4218</v>
      </c>
      <c r="C24" s="92"/>
      <c r="D24" s="92"/>
      <c r="E24" s="92">
        <f>D77</f>
        <v>5310</v>
      </c>
      <c r="F24" s="92"/>
      <c r="G24" s="92"/>
      <c r="H24" s="92">
        <f>G77</f>
        <v>5278</v>
      </c>
      <c r="I24" s="92"/>
      <c r="J24" s="92"/>
      <c r="K24" s="92">
        <f>J77</f>
        <v>5278</v>
      </c>
      <c r="L24" s="92"/>
      <c r="M24" s="92"/>
      <c r="N24" s="93"/>
      <c r="O24" s="91">
        <f>SUM(B24:M24)</f>
        <v>20084</v>
      </c>
    </row>
    <row r="25" spans="1:15" x14ac:dyDescent="0.2">
      <c r="A25" s="69" t="s">
        <v>25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90"/>
      <c r="O25" s="91"/>
    </row>
    <row r="26" spans="1:15" x14ac:dyDescent="0.2">
      <c r="A26" s="69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90"/>
      <c r="O26" s="91"/>
    </row>
    <row r="27" spans="1:15" x14ac:dyDescent="0.2">
      <c r="A27" s="69" t="s">
        <v>30</v>
      </c>
      <c r="B27" s="89">
        <f>SUM(B23:B25)</f>
        <v>61320</v>
      </c>
      <c r="C27" s="89">
        <f>SUM(C23:C25)</f>
        <v>61320</v>
      </c>
      <c r="D27" s="89">
        <f t="shared" ref="D27:M27" si="9">SUM(D23:D25)</f>
        <v>61320</v>
      </c>
      <c r="E27" s="89">
        <f t="shared" si="9"/>
        <v>66630</v>
      </c>
      <c r="F27" s="89">
        <f t="shared" si="9"/>
        <v>66630</v>
      </c>
      <c r="G27" s="89">
        <f t="shared" si="9"/>
        <v>66630</v>
      </c>
      <c r="H27" s="89">
        <f t="shared" si="9"/>
        <v>71908</v>
      </c>
      <c r="I27" s="89">
        <f t="shared" si="9"/>
        <v>71908</v>
      </c>
      <c r="J27" s="89">
        <f t="shared" si="9"/>
        <v>71908</v>
      </c>
      <c r="K27" s="89">
        <f t="shared" si="9"/>
        <v>77186</v>
      </c>
      <c r="L27" s="89">
        <f t="shared" si="9"/>
        <v>77186</v>
      </c>
      <c r="M27" s="89">
        <f t="shared" si="9"/>
        <v>77186</v>
      </c>
      <c r="N27" s="90"/>
      <c r="O27" s="91"/>
    </row>
    <row r="28" spans="1:15" x14ac:dyDescent="0.2">
      <c r="A28" s="67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90"/>
      <c r="O28" s="91"/>
    </row>
    <row r="29" spans="1:15" x14ac:dyDescent="0.2">
      <c r="A29" s="73" t="s">
        <v>26</v>
      </c>
      <c r="B29" s="89">
        <f>ROUND(B23*$C$4,2)</f>
        <v>116.58</v>
      </c>
      <c r="C29" s="89">
        <f>ROUND(C23*$C$4,2)</f>
        <v>125.2</v>
      </c>
      <c r="D29" s="89">
        <f>ROUND(D23*$C$4,2)</f>
        <v>125.2</v>
      </c>
      <c r="E29" s="89">
        <f>ROUND(E23*$C$5,2)</f>
        <v>111.4</v>
      </c>
      <c r="F29" s="89">
        <f>ROUND(F23*$C$5,2)</f>
        <v>121.04</v>
      </c>
      <c r="G29" s="89">
        <f>ROUND(G23*$C$5,2)</f>
        <v>121.04</v>
      </c>
      <c r="H29" s="89">
        <f>ROUND(H23*$C$6,2)</f>
        <v>121.04</v>
      </c>
      <c r="I29" s="89">
        <f>ROUND(I23*$C$6,2)</f>
        <v>130.63</v>
      </c>
      <c r="J29" s="89">
        <f>ROUND(J23*$C$6,2)</f>
        <v>130.63</v>
      </c>
      <c r="K29" s="89">
        <f>ROUND(K23*$C$7,2)</f>
        <v>130.63</v>
      </c>
      <c r="L29" s="89">
        <f>ROUND(L23*$C$7,2)</f>
        <v>140.22</v>
      </c>
      <c r="M29" s="89">
        <f>ROUND(M23*$C$7,2)</f>
        <v>140.22</v>
      </c>
      <c r="N29" s="93"/>
      <c r="O29" s="91">
        <f>SUM(B29:M29)</f>
        <v>1513.83</v>
      </c>
    </row>
    <row r="30" spans="1:15" x14ac:dyDescent="0.2">
      <c r="A30" s="74" t="s">
        <v>27</v>
      </c>
      <c r="B30" s="110">
        <f>'CAM 2018'!M31+B29</f>
        <v>1451.5499999999997</v>
      </c>
      <c r="C30" s="94">
        <f>B30+C29</f>
        <v>1576.7499999999998</v>
      </c>
      <c r="D30" s="94">
        <f t="shared" ref="D30" si="10">C30+D29</f>
        <v>1701.9499999999998</v>
      </c>
      <c r="E30" s="94">
        <f t="shared" ref="E30" si="11">D30+E29</f>
        <v>1813.35</v>
      </c>
      <c r="F30" s="94">
        <f t="shared" ref="F30" si="12">E30+F29</f>
        <v>1934.3899999999999</v>
      </c>
      <c r="G30" s="94">
        <f>F30+G29</f>
        <v>2055.4299999999998</v>
      </c>
      <c r="H30" s="94">
        <f>G30+H29</f>
        <v>2176.4699999999998</v>
      </c>
      <c r="I30" s="94">
        <f t="shared" ref="I30" si="13">H30+I29</f>
        <v>2307.1</v>
      </c>
      <c r="J30" s="94">
        <f t="shared" ref="J30" si="14">I30+J29</f>
        <v>2437.73</v>
      </c>
      <c r="K30" s="94">
        <f t="shared" ref="K30" si="15">J30+K29</f>
        <v>2568.36</v>
      </c>
      <c r="L30" s="94">
        <f t="shared" ref="L30" si="16">K30+L29</f>
        <v>2708.58</v>
      </c>
      <c r="M30" s="94">
        <f t="shared" ref="M30" si="17">L30+M29</f>
        <v>2848.7999999999997</v>
      </c>
      <c r="N30" s="94"/>
      <c r="O30" s="96"/>
    </row>
    <row r="31" spans="1:15" x14ac:dyDescent="0.2">
      <c r="A31" s="8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</row>
    <row r="32" spans="1:15" x14ac:dyDescent="0.2">
      <c r="A32" s="63" t="s">
        <v>191</v>
      </c>
      <c r="B32" s="97" t="s">
        <v>10</v>
      </c>
      <c r="C32" s="97" t="s">
        <v>11</v>
      </c>
      <c r="D32" s="97" t="s">
        <v>12</v>
      </c>
      <c r="E32" s="97" t="s">
        <v>13</v>
      </c>
      <c r="F32" s="97" t="s">
        <v>14</v>
      </c>
      <c r="G32" s="97" t="s">
        <v>15</v>
      </c>
      <c r="H32" s="97" t="s">
        <v>16</v>
      </c>
      <c r="I32" s="97" t="s">
        <v>17</v>
      </c>
      <c r="J32" s="97" t="s">
        <v>18</v>
      </c>
      <c r="K32" s="97" t="s">
        <v>19</v>
      </c>
      <c r="L32" s="97" t="s">
        <v>20</v>
      </c>
      <c r="M32" s="97" t="s">
        <v>21</v>
      </c>
      <c r="N32" s="97" t="s">
        <v>22</v>
      </c>
      <c r="O32" s="98"/>
    </row>
    <row r="33" spans="1:15" x14ac:dyDescent="0.2">
      <c r="A33" s="67" t="s">
        <v>29</v>
      </c>
      <c r="B33" s="90"/>
      <c r="C33" s="90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1"/>
    </row>
    <row r="34" spans="1:15" x14ac:dyDescent="0.2">
      <c r="A34" s="69" t="s">
        <v>23</v>
      </c>
      <c r="B34" s="109">
        <f>+[3]IFRS!$M$35</f>
        <v>-50984</v>
      </c>
      <c r="C34" s="89">
        <f>B38</f>
        <v>-56592</v>
      </c>
      <c r="D34" s="89">
        <f>C38</f>
        <v>-56592</v>
      </c>
      <c r="E34" s="89">
        <f t="shared" ref="E34:F34" si="18">D38</f>
        <v>-56592</v>
      </c>
      <c r="F34" s="89">
        <f t="shared" si="18"/>
        <v>-61108</v>
      </c>
      <c r="G34" s="89">
        <f>F38</f>
        <v>-61108</v>
      </c>
      <c r="H34" s="89">
        <f t="shared" ref="H34:M34" si="19">G38</f>
        <v>-61108</v>
      </c>
      <c r="I34" s="89">
        <f t="shared" si="19"/>
        <v>-65656</v>
      </c>
      <c r="J34" s="89">
        <f t="shared" si="19"/>
        <v>-65656</v>
      </c>
      <c r="K34" s="89">
        <f t="shared" si="19"/>
        <v>-65656</v>
      </c>
      <c r="L34" s="89">
        <f t="shared" si="19"/>
        <v>-70204</v>
      </c>
      <c r="M34" s="89">
        <f t="shared" si="19"/>
        <v>-70204</v>
      </c>
      <c r="N34" s="90"/>
      <c r="O34" s="91"/>
    </row>
    <row r="35" spans="1:15" x14ac:dyDescent="0.2">
      <c r="A35" s="69" t="s">
        <v>24</v>
      </c>
      <c r="B35" s="92">
        <v>-5608</v>
      </c>
      <c r="C35" s="92"/>
      <c r="D35" s="92"/>
      <c r="E35" s="92">
        <v>-4516</v>
      </c>
      <c r="F35" s="92"/>
      <c r="G35" s="92"/>
      <c r="H35" s="92">
        <v>-4548</v>
      </c>
      <c r="I35" s="92"/>
      <c r="J35" s="92"/>
      <c r="K35" s="92">
        <v>-4548</v>
      </c>
      <c r="L35" s="92"/>
      <c r="M35" s="92"/>
      <c r="N35" s="93"/>
      <c r="O35" s="91">
        <f>SUM(B35:M35)</f>
        <v>-19220</v>
      </c>
    </row>
    <row r="36" spans="1:15" x14ac:dyDescent="0.2">
      <c r="A36" s="69" t="s">
        <v>25</v>
      </c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90"/>
      <c r="O36" s="91"/>
    </row>
    <row r="37" spans="1:15" x14ac:dyDescent="0.2">
      <c r="A37" s="69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90"/>
      <c r="O37" s="91"/>
    </row>
    <row r="38" spans="1:15" x14ac:dyDescent="0.2">
      <c r="A38" s="69" t="s">
        <v>30</v>
      </c>
      <c r="B38" s="89">
        <f>SUM(B34:B36)</f>
        <v>-56592</v>
      </c>
      <c r="C38" s="89">
        <f>SUM(C34:C36)</f>
        <v>-56592</v>
      </c>
      <c r="D38" s="89">
        <f t="shared" ref="D38:M38" si="20">SUM(D34:D36)</f>
        <v>-56592</v>
      </c>
      <c r="E38" s="89">
        <f t="shared" si="20"/>
        <v>-61108</v>
      </c>
      <c r="F38" s="89">
        <f t="shared" si="20"/>
        <v>-61108</v>
      </c>
      <c r="G38" s="89">
        <f t="shared" si="20"/>
        <v>-61108</v>
      </c>
      <c r="H38" s="89">
        <f t="shared" si="20"/>
        <v>-65656</v>
      </c>
      <c r="I38" s="89">
        <f t="shared" si="20"/>
        <v>-65656</v>
      </c>
      <c r="J38" s="89">
        <f t="shared" si="20"/>
        <v>-65656</v>
      </c>
      <c r="K38" s="89">
        <f t="shared" si="20"/>
        <v>-70204</v>
      </c>
      <c r="L38" s="89">
        <f t="shared" si="20"/>
        <v>-70204</v>
      </c>
      <c r="M38" s="89">
        <f t="shared" si="20"/>
        <v>-70204</v>
      </c>
      <c r="N38" s="90"/>
      <c r="O38" s="91"/>
    </row>
    <row r="39" spans="1:15" x14ac:dyDescent="0.2">
      <c r="A39" s="67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90"/>
      <c r="O39" s="91"/>
    </row>
    <row r="40" spans="1:15" x14ac:dyDescent="0.2">
      <c r="A40" s="73" t="s">
        <v>26</v>
      </c>
      <c r="B40" s="89">
        <f>ROUND(B34*$C$4,2)</f>
        <v>-104.09</v>
      </c>
      <c r="C40" s="89">
        <f>ROUND(C34*$C$4,2)</f>
        <v>-115.54</v>
      </c>
      <c r="D40" s="89">
        <f>ROUND(D34*$C$4,2)</f>
        <v>-115.54</v>
      </c>
      <c r="E40" s="89">
        <f>ROUND(E34*$C$5,2)</f>
        <v>-102.81</v>
      </c>
      <c r="F40" s="89">
        <f>ROUND(F34*$C$5,2)</f>
        <v>-111.01</v>
      </c>
      <c r="G40" s="89">
        <f>ROUND(G34*$C$5,2)</f>
        <v>-111.01</v>
      </c>
      <c r="H40" s="89">
        <f>ROUND(H34*$C$6,2)</f>
        <v>-111.01</v>
      </c>
      <c r="I40" s="89">
        <f>ROUND(I34*$C$6,2)</f>
        <v>-119.28</v>
      </c>
      <c r="J40" s="89">
        <f>ROUND(J34*$C$6,2)</f>
        <v>-119.28</v>
      </c>
      <c r="K40" s="89">
        <f>ROUND(K34*$C$7,2)</f>
        <v>-119.28</v>
      </c>
      <c r="L40" s="89">
        <f>ROUND(L34*$C$7,2)</f>
        <v>-127.54</v>
      </c>
      <c r="M40" s="89">
        <f>ROUND(M34*$C$7,2)</f>
        <v>-127.54</v>
      </c>
      <c r="N40" s="93"/>
      <c r="O40" s="91">
        <f>SUM(B40:M40)</f>
        <v>-1383.9299999999998</v>
      </c>
    </row>
    <row r="41" spans="1:15" x14ac:dyDescent="0.2">
      <c r="A41" s="74" t="s">
        <v>27</v>
      </c>
      <c r="B41" s="110">
        <f>[3]IFRS!$M$42+B40</f>
        <v>-1220.3699999999999</v>
      </c>
      <c r="C41" s="94">
        <f>B41+C40</f>
        <v>-1335.9099999999999</v>
      </c>
      <c r="D41" s="94">
        <f t="shared" ref="D41:F41" si="21">C41+D40</f>
        <v>-1451.4499999999998</v>
      </c>
      <c r="E41" s="94">
        <f t="shared" si="21"/>
        <v>-1554.2599999999998</v>
      </c>
      <c r="F41" s="94">
        <f t="shared" si="21"/>
        <v>-1665.2699999999998</v>
      </c>
      <c r="G41" s="94">
        <f>F41+G40</f>
        <v>-1776.2799999999997</v>
      </c>
      <c r="H41" s="94">
        <f>G41+H40</f>
        <v>-1887.2899999999997</v>
      </c>
      <c r="I41" s="94">
        <f t="shared" ref="I41:M41" si="22">H41+I40</f>
        <v>-2006.5699999999997</v>
      </c>
      <c r="J41" s="94">
        <f t="shared" si="22"/>
        <v>-2125.85</v>
      </c>
      <c r="K41" s="94">
        <f t="shared" si="22"/>
        <v>-2245.13</v>
      </c>
      <c r="L41" s="94">
        <f t="shared" si="22"/>
        <v>-2372.67</v>
      </c>
      <c r="M41" s="94">
        <f t="shared" si="22"/>
        <v>-2500.21</v>
      </c>
      <c r="N41" s="94"/>
      <c r="O41" s="96"/>
    </row>
    <row r="42" spans="1:15" x14ac:dyDescent="0.2">
      <c r="A42" s="8"/>
      <c r="B42" s="111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</row>
    <row r="43" spans="1:15" hidden="1" x14ac:dyDescent="0.2">
      <c r="A43" s="8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0"/>
    </row>
    <row r="44" spans="1:15" hidden="1" x14ac:dyDescent="0.2">
      <c r="B44" s="90"/>
      <c r="C44" s="90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0"/>
    </row>
    <row r="45" spans="1:15" hidden="1" x14ac:dyDescent="0.2">
      <c r="A45" s="13"/>
      <c r="B45" s="112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</row>
    <row r="46" spans="1:15" hidden="1" x14ac:dyDescent="0.2">
      <c r="A46" s="13"/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93"/>
      <c r="O46" s="90"/>
    </row>
    <row r="47" spans="1:15" hidden="1" x14ac:dyDescent="0.2">
      <c r="A47" s="13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</row>
    <row r="48" spans="1:15" hidden="1" x14ac:dyDescent="0.2">
      <c r="A48" s="13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</row>
    <row r="49" spans="1:16" hidden="1" x14ac:dyDescent="0.2">
      <c r="A49" s="13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</row>
    <row r="50" spans="1:16" hidden="1" x14ac:dyDescent="0.2"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</row>
    <row r="51" spans="1:16" hidden="1" x14ac:dyDescent="0.2">
      <c r="A51" s="8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3"/>
      <c r="O51" s="90"/>
    </row>
    <row r="52" spans="1:16" hidden="1" x14ac:dyDescent="0.2">
      <c r="A52" s="8"/>
      <c r="B52" s="112"/>
      <c r="C52" s="90"/>
      <c r="D52" s="90"/>
      <c r="E52" s="90"/>
      <c r="F52" s="90"/>
      <c r="G52" s="90"/>
      <c r="H52" s="90"/>
      <c r="I52" s="90"/>
      <c r="J52" s="111"/>
      <c r="K52" s="111"/>
      <c r="L52" s="90"/>
      <c r="M52" s="90"/>
      <c r="N52" s="90"/>
      <c r="O52" s="90"/>
    </row>
    <row r="53" spans="1:16" hidden="1" x14ac:dyDescent="0.2">
      <c r="A53" s="8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 t="s">
        <v>34</v>
      </c>
    </row>
    <row r="54" spans="1:16" x14ac:dyDescent="0.2">
      <c r="A54" s="83" t="s">
        <v>31</v>
      </c>
      <c r="B54" s="100">
        <f>B27+B30+B38+B41</f>
        <v>4959.180000000003</v>
      </c>
      <c r="C54" s="100">
        <f t="shared" ref="C54:M54" si="23">C27+C30+C38+C41</f>
        <v>4968.84</v>
      </c>
      <c r="D54" s="100">
        <f t="shared" si="23"/>
        <v>4978.4999999999973</v>
      </c>
      <c r="E54" s="100">
        <f t="shared" si="23"/>
        <v>5781.0900000000056</v>
      </c>
      <c r="F54" s="100">
        <f t="shared" si="23"/>
        <v>5791.12</v>
      </c>
      <c r="G54" s="100">
        <f t="shared" si="23"/>
        <v>5801.1499999999933</v>
      </c>
      <c r="H54" s="100">
        <f t="shared" si="23"/>
        <v>6541.1800000000012</v>
      </c>
      <c r="I54" s="100">
        <f t="shared" si="23"/>
        <v>6552.5300000000061</v>
      </c>
      <c r="J54" s="100">
        <f t="shared" si="23"/>
        <v>6563.8799999999956</v>
      </c>
      <c r="K54" s="100">
        <f t="shared" si="23"/>
        <v>7305.2300000000005</v>
      </c>
      <c r="L54" s="100">
        <f t="shared" si="23"/>
        <v>7317.9100000000017</v>
      </c>
      <c r="M54" s="100">
        <f t="shared" si="23"/>
        <v>7330.5900000000029</v>
      </c>
      <c r="N54" s="101"/>
      <c r="O54" s="102"/>
    </row>
    <row r="55" spans="1:16" x14ac:dyDescent="0.2">
      <c r="A55" s="8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</row>
    <row r="56" spans="1:16" x14ac:dyDescent="0.2">
      <c r="A56" s="20"/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90">
        <f>M16+M19+M27+M30+M38+M41+M49+M52</f>
        <v>7330.5900000000029</v>
      </c>
      <c r="O56" s="90"/>
    </row>
    <row r="57" spans="1:16" hidden="1" x14ac:dyDescent="0.2"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18"/>
    </row>
    <row r="58" spans="1:16" hidden="1" x14ac:dyDescent="0.2"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18"/>
    </row>
    <row r="59" spans="1:16" hidden="1" x14ac:dyDescent="0.2">
      <c r="A59" s="18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18"/>
    </row>
    <row r="60" spans="1:16" hidden="1" x14ac:dyDescent="0.2">
      <c r="A60" s="18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</row>
    <row r="61" spans="1:16" hidden="1" x14ac:dyDescent="0.2"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</row>
    <row r="62" spans="1:16" hidden="1" x14ac:dyDescent="0.2"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</row>
    <row r="63" spans="1:16" hidden="1" x14ac:dyDescent="0.2"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</row>
    <row r="64" spans="1:16" hidden="1" x14ac:dyDescent="0.2"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</row>
    <row r="65" spans="1:15" hidden="1" x14ac:dyDescent="0.2"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</row>
    <row r="66" spans="1:15" hidden="1" x14ac:dyDescent="0.2"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</row>
    <row r="67" spans="1:15" hidden="1" x14ac:dyDescent="0.2"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</row>
    <row r="68" spans="1:15" hidden="1" x14ac:dyDescent="0.2"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</row>
    <row r="69" spans="1:15" hidden="1" x14ac:dyDescent="0.2"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</row>
    <row r="70" spans="1:15" x14ac:dyDescent="0.2"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</row>
    <row r="71" spans="1:15" x14ac:dyDescent="0.2">
      <c r="A71" s="2" t="s">
        <v>0</v>
      </c>
      <c r="B71" s="61"/>
      <c r="C71" s="61"/>
      <c r="D71" s="105">
        <f>'CAM 2018'!D64</f>
        <v>7837</v>
      </c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90"/>
    </row>
    <row r="72" spans="1:15" x14ac:dyDescent="0.2">
      <c r="A72" s="2" t="s">
        <v>143</v>
      </c>
      <c r="B72" s="105">
        <f>'OEB costs'!F13</f>
        <v>12055</v>
      </c>
      <c r="C72" s="61"/>
      <c r="D72" s="105">
        <f>'OEB costs'!F14</f>
        <v>13147</v>
      </c>
      <c r="E72" s="61"/>
      <c r="F72" s="61"/>
      <c r="G72" s="105">
        <f>'OEB costs'!F15</f>
        <v>13115</v>
      </c>
      <c r="H72" s="61"/>
      <c r="I72" s="61"/>
      <c r="J72" s="105">
        <f>'OEB costs'!F16</f>
        <v>13115</v>
      </c>
      <c r="K72" s="61"/>
      <c r="L72" s="61"/>
      <c r="M72" s="61"/>
      <c r="N72" s="106" t="s">
        <v>190</v>
      </c>
      <c r="O72" s="90"/>
    </row>
    <row r="73" spans="1:15" x14ac:dyDescent="0.2">
      <c r="A73" s="63" t="s">
        <v>41</v>
      </c>
      <c r="B73" s="107" t="s">
        <v>147</v>
      </c>
      <c r="C73" s="107" t="s">
        <v>148</v>
      </c>
      <c r="D73" s="107" t="s">
        <v>147</v>
      </c>
      <c r="E73" s="107" t="s">
        <v>148</v>
      </c>
      <c r="F73" s="107"/>
      <c r="G73" s="107" t="s">
        <v>147</v>
      </c>
      <c r="H73" s="107" t="s">
        <v>148</v>
      </c>
      <c r="I73" s="107"/>
      <c r="J73" s="107" t="s">
        <v>147</v>
      </c>
      <c r="K73" s="107" t="s">
        <v>148</v>
      </c>
      <c r="L73" s="107"/>
      <c r="M73" s="107"/>
      <c r="N73" s="81"/>
      <c r="O73" s="90"/>
    </row>
    <row r="74" spans="1:15" x14ac:dyDescent="0.2">
      <c r="A74" s="67" t="s">
        <v>1</v>
      </c>
      <c r="B74" s="61">
        <f>C76</f>
        <v>12055</v>
      </c>
      <c r="C74" s="61"/>
      <c r="D74" s="61">
        <f>E76</f>
        <v>13147</v>
      </c>
      <c r="E74" s="61"/>
      <c r="F74" s="61"/>
      <c r="G74" s="61">
        <f>H76</f>
        <v>13115</v>
      </c>
      <c r="H74" s="61"/>
      <c r="I74" s="61"/>
      <c r="J74" s="61">
        <f>K76</f>
        <v>13115</v>
      </c>
      <c r="K74" s="61"/>
      <c r="L74" s="61"/>
      <c r="M74" s="61"/>
      <c r="N74" s="77">
        <f>SUM(B74:M74)</f>
        <v>51432</v>
      </c>
      <c r="O74" s="90"/>
    </row>
    <row r="75" spans="1:15" x14ac:dyDescent="0.2">
      <c r="A75" s="67" t="s">
        <v>2</v>
      </c>
      <c r="B75" s="61"/>
      <c r="C75" s="61">
        <f>C76-$D71</f>
        <v>4218</v>
      </c>
      <c r="D75" s="61"/>
      <c r="E75" s="61">
        <f>E76-$D71</f>
        <v>5310</v>
      </c>
      <c r="F75" s="61"/>
      <c r="G75" s="61"/>
      <c r="H75" s="61">
        <f>H76-$D71</f>
        <v>5278</v>
      </c>
      <c r="I75" s="61"/>
      <c r="J75" s="61"/>
      <c r="K75" s="61">
        <f>K76-$D71</f>
        <v>5278</v>
      </c>
      <c r="L75" s="61"/>
      <c r="M75" s="61"/>
      <c r="N75" s="77">
        <f>-SUM(B75:M75)</f>
        <v>-20084</v>
      </c>
      <c r="O75" s="90"/>
    </row>
    <row r="76" spans="1:15" x14ac:dyDescent="0.2">
      <c r="A76" s="67" t="s">
        <v>145</v>
      </c>
      <c r="B76" s="61"/>
      <c r="C76" s="61">
        <f>B72</f>
        <v>12055</v>
      </c>
      <c r="D76" s="61"/>
      <c r="E76" s="61">
        <f>D72</f>
        <v>13147</v>
      </c>
      <c r="F76" s="61"/>
      <c r="G76" s="61"/>
      <c r="H76" s="61">
        <f>G72</f>
        <v>13115</v>
      </c>
      <c r="I76" s="61"/>
      <c r="J76" s="61"/>
      <c r="K76" s="61">
        <f>J72</f>
        <v>13115</v>
      </c>
      <c r="L76" s="61"/>
      <c r="M76" s="61"/>
      <c r="N76" s="77">
        <f>-SUM(B76:M76)</f>
        <v>-51432</v>
      </c>
      <c r="O76" s="90"/>
    </row>
    <row r="77" spans="1:15" x14ac:dyDescent="0.2">
      <c r="A77" s="78" t="s">
        <v>29</v>
      </c>
      <c r="B77" s="108">
        <f>C75</f>
        <v>4218</v>
      </c>
      <c r="C77" s="108"/>
      <c r="D77" s="108">
        <f>E75</f>
        <v>5310</v>
      </c>
      <c r="E77" s="108"/>
      <c r="F77" s="108"/>
      <c r="G77" s="108">
        <f>H75</f>
        <v>5278</v>
      </c>
      <c r="H77" s="108"/>
      <c r="I77" s="108"/>
      <c r="J77" s="108">
        <f>K75</f>
        <v>5278</v>
      </c>
      <c r="K77" s="108"/>
      <c r="L77" s="108"/>
      <c r="M77" s="108"/>
      <c r="N77" s="80">
        <f t="shared" ref="N77" si="24">SUM(B77:M77)</f>
        <v>20084</v>
      </c>
      <c r="O77" s="90"/>
    </row>
    <row r="78" spans="1:15" x14ac:dyDescent="0.2"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90"/>
    </row>
    <row r="79" spans="1:15" x14ac:dyDescent="0.2">
      <c r="A79" s="63" t="s">
        <v>40</v>
      </c>
      <c r="B79" s="107" t="s">
        <v>147</v>
      </c>
      <c r="C79" s="107" t="s">
        <v>148</v>
      </c>
      <c r="D79" s="107" t="s">
        <v>147</v>
      </c>
      <c r="E79" s="107" t="s">
        <v>148</v>
      </c>
      <c r="F79" s="107"/>
      <c r="G79" s="107" t="s">
        <v>147</v>
      </c>
      <c r="H79" s="107" t="s">
        <v>148</v>
      </c>
      <c r="I79" s="107"/>
      <c r="J79" s="107" t="s">
        <v>147</v>
      </c>
      <c r="K79" s="107" t="s">
        <v>148</v>
      </c>
      <c r="L79" s="107"/>
      <c r="M79" s="107"/>
      <c r="N79" s="81"/>
      <c r="O79" s="90"/>
    </row>
    <row r="80" spans="1:15" x14ac:dyDescent="0.2">
      <c r="A80" s="67" t="s">
        <v>1</v>
      </c>
      <c r="B80" s="61">
        <v>17663</v>
      </c>
      <c r="C80" s="61"/>
      <c r="D80" s="61">
        <v>17663</v>
      </c>
      <c r="E80" s="61"/>
      <c r="F80" s="61"/>
      <c r="G80" s="61">
        <v>17663</v>
      </c>
      <c r="H80" s="61"/>
      <c r="I80" s="61"/>
      <c r="J80" s="61">
        <v>17663</v>
      </c>
      <c r="K80" s="61"/>
      <c r="L80" s="61"/>
      <c r="M80" s="61"/>
      <c r="N80" s="77">
        <f t="shared" ref="N80:N84" si="25">SUM(B80:M80)</f>
        <v>70652</v>
      </c>
      <c r="O80" s="90"/>
    </row>
    <row r="81" spans="1:15" x14ac:dyDescent="0.2">
      <c r="A81" s="67" t="s">
        <v>29</v>
      </c>
      <c r="B81" s="61"/>
      <c r="C81" s="61">
        <f>B80-C82</f>
        <v>5608</v>
      </c>
      <c r="D81" s="61"/>
      <c r="E81" s="61">
        <f>D80-E82</f>
        <v>4516</v>
      </c>
      <c r="F81" s="61"/>
      <c r="G81" s="61"/>
      <c r="H81" s="61">
        <f>G80-H82</f>
        <v>4548</v>
      </c>
      <c r="I81" s="61"/>
      <c r="J81" s="61"/>
      <c r="K81" s="61">
        <f>J80-K82</f>
        <v>4548</v>
      </c>
      <c r="L81" s="61"/>
      <c r="M81" s="61"/>
      <c r="N81" s="77">
        <f>-SUM(B81:M81)</f>
        <v>-19220</v>
      </c>
      <c r="O81" s="90"/>
    </row>
    <row r="82" spans="1:15" x14ac:dyDescent="0.2">
      <c r="A82" s="67" t="s">
        <v>145</v>
      </c>
      <c r="B82" s="61"/>
      <c r="C82" s="61">
        <f>B72</f>
        <v>12055</v>
      </c>
      <c r="D82" s="61"/>
      <c r="E82" s="61">
        <f>D72</f>
        <v>13147</v>
      </c>
      <c r="F82" s="61"/>
      <c r="G82" s="61"/>
      <c r="H82" s="61">
        <f>G72</f>
        <v>13115</v>
      </c>
      <c r="I82" s="61"/>
      <c r="J82" s="61"/>
      <c r="K82" s="61">
        <f>J72</f>
        <v>13115</v>
      </c>
      <c r="L82" s="61"/>
      <c r="M82" s="61"/>
      <c r="N82" s="77">
        <f>-SUM(B82:M82)</f>
        <v>-51432</v>
      </c>
      <c r="O82" s="90"/>
    </row>
    <row r="83" spans="1:15" x14ac:dyDescent="0.2">
      <c r="A83" s="67" t="s">
        <v>1</v>
      </c>
      <c r="B83" s="61"/>
      <c r="C83" s="61">
        <f>C81</f>
        <v>5608</v>
      </c>
      <c r="D83" s="61"/>
      <c r="E83" s="61">
        <f>E81</f>
        <v>4516</v>
      </c>
      <c r="F83" s="61"/>
      <c r="G83" s="61"/>
      <c r="H83" s="61">
        <f>H81</f>
        <v>4548</v>
      </c>
      <c r="I83" s="61"/>
      <c r="J83" s="61"/>
      <c r="K83" s="61">
        <f>K81</f>
        <v>4548</v>
      </c>
      <c r="L83" s="61"/>
      <c r="M83" s="61"/>
      <c r="N83" s="77">
        <f>-SUM(B83:M83)</f>
        <v>-19220</v>
      </c>
      <c r="O83" s="90"/>
    </row>
    <row r="84" spans="1:15" x14ac:dyDescent="0.2">
      <c r="A84" s="78" t="s">
        <v>2</v>
      </c>
      <c r="B84" s="108">
        <f>C83</f>
        <v>5608</v>
      </c>
      <c r="C84" s="108"/>
      <c r="D84" s="108">
        <f>E83</f>
        <v>4516</v>
      </c>
      <c r="E84" s="108"/>
      <c r="F84" s="108"/>
      <c r="G84" s="108">
        <f>H83</f>
        <v>4548</v>
      </c>
      <c r="H84" s="108"/>
      <c r="I84" s="108"/>
      <c r="J84" s="108">
        <f>K83</f>
        <v>4548</v>
      </c>
      <c r="K84" s="108"/>
      <c r="L84" s="108"/>
      <c r="M84" s="108"/>
      <c r="N84" s="80">
        <f t="shared" si="25"/>
        <v>19220</v>
      </c>
      <c r="O84" s="90"/>
    </row>
    <row r="85" spans="1:15" x14ac:dyDescent="0.2"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</row>
    <row r="86" spans="1:15" x14ac:dyDescent="0.2"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</row>
    <row r="87" spans="1:15" x14ac:dyDescent="0.2">
      <c r="A87" s="63" t="s">
        <v>188</v>
      </c>
      <c r="B87" s="104"/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98"/>
      <c r="O87" s="90"/>
    </row>
    <row r="88" spans="1:15" x14ac:dyDescent="0.2">
      <c r="A88" s="67" t="s">
        <v>36</v>
      </c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1">
        <f>O29</f>
        <v>1513.83</v>
      </c>
      <c r="O88" s="90"/>
    </row>
    <row r="89" spans="1:15" x14ac:dyDescent="0.2">
      <c r="A89" s="78" t="s">
        <v>35</v>
      </c>
      <c r="B89" s="94"/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6">
        <f>-N88</f>
        <v>-1513.83</v>
      </c>
      <c r="O89" s="90"/>
    </row>
    <row r="90" spans="1:15" x14ac:dyDescent="0.2"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</row>
    <row r="91" spans="1:15" x14ac:dyDescent="0.2">
      <c r="A91" s="63" t="s">
        <v>189</v>
      </c>
      <c r="B91" s="104"/>
      <c r="C91" s="104"/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98"/>
      <c r="O91" s="90"/>
    </row>
    <row r="92" spans="1:15" x14ac:dyDescent="0.2">
      <c r="A92" s="67" t="s">
        <v>36</v>
      </c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1">
        <f>O40</f>
        <v>-1383.9299999999998</v>
      </c>
      <c r="O92" s="90"/>
    </row>
    <row r="93" spans="1:15" x14ac:dyDescent="0.2">
      <c r="A93" s="78" t="s">
        <v>37</v>
      </c>
      <c r="B93" s="94"/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6">
        <f>-N92</f>
        <v>1383.9299999999998</v>
      </c>
      <c r="O93" s="90"/>
    </row>
  </sheetData>
  <mergeCells count="1">
    <mergeCell ref="B9:N9"/>
  </mergeCells>
  <printOptions horizontalCentered="1"/>
  <pageMargins left="0" right="0" top="1" bottom="1" header="0.5" footer="0.5"/>
  <pageSetup scale="51" orientation="landscape" r:id="rId1"/>
  <headerFooter alignWithMargins="0">
    <oddHeader>&amp;C&amp;A</oddHeader>
    <oddFooter>&amp;L&amp;Z&amp;F&amp;R&amp;D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B3D1D-7D59-4198-977C-B7B87732959C}">
  <sheetPr>
    <tabColor rgb="FF00B050"/>
  </sheetPr>
  <dimension ref="A1:O94"/>
  <sheetViews>
    <sheetView topLeftCell="A25" zoomScale="110" zoomScaleNormal="110" workbookViewId="0">
      <selection activeCell="D73" sqref="D73"/>
    </sheetView>
  </sheetViews>
  <sheetFormatPr defaultColWidth="9.140625" defaultRowHeight="12.75" x14ac:dyDescent="0.2"/>
  <cols>
    <col min="1" max="1" width="36.7109375" style="2" customWidth="1"/>
    <col min="2" max="2" width="12.140625" style="2" customWidth="1"/>
    <col min="3" max="3" width="11.85546875" style="2" customWidth="1"/>
    <col min="4" max="5" width="12.28515625" style="2" customWidth="1"/>
    <col min="6" max="6" width="12.7109375" style="2" customWidth="1"/>
    <col min="7" max="7" width="12.140625" style="2" customWidth="1"/>
    <col min="8" max="8" width="15.42578125" style="2" customWidth="1"/>
    <col min="9" max="9" width="12.28515625" style="2" bestFit="1" customWidth="1"/>
    <col min="10" max="10" width="12" style="2" bestFit="1" customWidth="1"/>
    <col min="11" max="11" width="11.85546875" style="2" bestFit="1" customWidth="1"/>
    <col min="12" max="12" width="11.5703125" style="2" bestFit="1" customWidth="1"/>
    <col min="13" max="13" width="12" style="2" bestFit="1" customWidth="1"/>
    <col min="14" max="14" width="12.42578125" style="2" bestFit="1" customWidth="1"/>
    <col min="15" max="15" width="13.28515625" style="2" customWidth="1"/>
    <col min="16" max="16384" width="9.140625" style="2"/>
  </cols>
  <sheetData>
    <row r="1" spans="1:15" ht="18.75" x14ac:dyDescent="0.3">
      <c r="A1" s="1" t="s">
        <v>3</v>
      </c>
      <c r="C1" s="1" t="s">
        <v>192</v>
      </c>
    </row>
    <row r="2" spans="1:15" ht="18.75" x14ac:dyDescent="0.3">
      <c r="A2" s="1" t="s">
        <v>4</v>
      </c>
      <c r="C2" s="1"/>
    </row>
    <row r="3" spans="1:15" ht="6" customHeight="1" x14ac:dyDescent="0.2">
      <c r="B3" s="6"/>
      <c r="C3" s="7"/>
    </row>
    <row r="4" spans="1:15" x14ac:dyDescent="0.2">
      <c r="A4" s="8" t="s">
        <v>6</v>
      </c>
      <c r="B4" s="9">
        <v>2.18E-2</v>
      </c>
      <c r="C4" s="10">
        <f>B4/12</f>
        <v>1.8166666666666667E-3</v>
      </c>
    </row>
    <row r="5" spans="1:15" x14ac:dyDescent="0.2">
      <c r="A5" s="8" t="s">
        <v>7</v>
      </c>
      <c r="B5" s="9">
        <v>2.18E-2</v>
      </c>
      <c r="C5" s="10">
        <f t="shared" ref="C5" si="0">B5/12</f>
        <v>1.8166666666666667E-3</v>
      </c>
    </row>
    <row r="6" spans="1:15" x14ac:dyDescent="0.2">
      <c r="A6" s="8" t="s">
        <v>8</v>
      </c>
      <c r="B6" s="9">
        <v>5.7000000000000002E-3</v>
      </c>
      <c r="C6" s="10">
        <f>B6/12</f>
        <v>4.75E-4</v>
      </c>
    </row>
    <row r="7" spans="1:15" x14ac:dyDescent="0.2">
      <c r="A7" s="8" t="s">
        <v>9</v>
      </c>
      <c r="B7" s="9">
        <v>5.7000000000000002E-3</v>
      </c>
      <c r="C7" s="10">
        <f>B7/12</f>
        <v>4.75E-4</v>
      </c>
    </row>
    <row r="8" spans="1:15" x14ac:dyDescent="0.2">
      <c r="B8" s="6"/>
      <c r="C8" s="7"/>
    </row>
    <row r="9" spans="1:15" x14ac:dyDescent="0.2">
      <c r="A9" s="62"/>
      <c r="B9" s="138">
        <v>2020</v>
      </c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</row>
    <row r="10" spans="1:15" hidden="1" x14ac:dyDescent="0.2">
      <c r="A10" s="8"/>
      <c r="B10" s="11"/>
      <c r="C10" s="12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5" hidden="1" x14ac:dyDescent="0.2">
      <c r="C11" s="6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5" hidden="1" x14ac:dyDescent="0.2">
      <c r="A12" s="13"/>
      <c r="B12" s="14"/>
      <c r="C12" s="15"/>
      <c r="D12" s="15"/>
      <c r="E12" s="14"/>
      <c r="F12" s="15"/>
      <c r="G12" s="15"/>
      <c r="H12" s="15"/>
      <c r="I12" s="15"/>
      <c r="J12" s="15"/>
      <c r="K12" s="15"/>
      <c r="L12" s="15"/>
      <c r="M12" s="15"/>
    </row>
    <row r="13" spans="1:15" hidden="1" x14ac:dyDescent="0.2">
      <c r="A13" s="13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7"/>
      <c r="O13" s="18"/>
    </row>
    <row r="14" spans="1:15" hidden="1" x14ac:dyDescent="0.2">
      <c r="A14" s="13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8"/>
    </row>
    <row r="15" spans="1:15" hidden="1" x14ac:dyDescent="0.2">
      <c r="A15" s="13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5" hidden="1" x14ac:dyDescent="0.2">
      <c r="A16" s="13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8"/>
    </row>
    <row r="17" spans="1:15" hidden="1" x14ac:dyDescent="0.2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5" hidden="1" x14ac:dyDescent="0.2">
      <c r="A18" s="8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7"/>
      <c r="O18" s="18"/>
    </row>
    <row r="19" spans="1:15" hidden="1" x14ac:dyDescent="0.2">
      <c r="A19" s="8"/>
      <c r="B19" s="14"/>
      <c r="C19" s="15"/>
      <c r="D19" s="15"/>
      <c r="E19" s="14"/>
      <c r="F19" s="15"/>
      <c r="G19" s="15"/>
      <c r="H19" s="15"/>
      <c r="I19" s="15"/>
      <c r="J19" s="15"/>
      <c r="K19" s="15"/>
      <c r="L19" s="15"/>
      <c r="M19" s="15"/>
      <c r="N19" s="19"/>
    </row>
    <row r="20" spans="1:15" x14ac:dyDescent="0.2">
      <c r="A20" s="8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9"/>
    </row>
    <row r="21" spans="1:15" x14ac:dyDescent="0.2">
      <c r="A21" s="63" t="s">
        <v>144</v>
      </c>
      <c r="B21" s="64" t="s">
        <v>10</v>
      </c>
      <c r="C21" s="65" t="s">
        <v>11</v>
      </c>
      <c r="D21" s="64" t="s">
        <v>12</v>
      </c>
      <c r="E21" s="64" t="s">
        <v>13</v>
      </c>
      <c r="F21" s="64" t="s">
        <v>14</v>
      </c>
      <c r="G21" s="64" t="s">
        <v>15</v>
      </c>
      <c r="H21" s="64" t="s">
        <v>16</v>
      </c>
      <c r="I21" s="64" t="s">
        <v>17</v>
      </c>
      <c r="J21" s="64" t="s">
        <v>18</v>
      </c>
      <c r="K21" s="64" t="s">
        <v>19</v>
      </c>
      <c r="L21" s="64" t="s">
        <v>20</v>
      </c>
      <c r="M21" s="64" t="s">
        <v>21</v>
      </c>
      <c r="N21" s="64" t="s">
        <v>22</v>
      </c>
      <c r="O21" s="66"/>
    </row>
    <row r="22" spans="1:15" x14ac:dyDescent="0.2">
      <c r="A22" s="67" t="s">
        <v>29</v>
      </c>
      <c r="C22" s="6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68"/>
    </row>
    <row r="23" spans="1:15" x14ac:dyDescent="0.2">
      <c r="A23" s="69" t="s">
        <v>23</v>
      </c>
      <c r="B23" s="109">
        <f>'CAM 2019'!M27</f>
        <v>77186</v>
      </c>
      <c r="C23" s="89">
        <f>B27</f>
        <v>82464</v>
      </c>
      <c r="D23" s="89">
        <f>C27</f>
        <v>82464</v>
      </c>
      <c r="E23" s="89">
        <f t="shared" ref="E23" si="1">D27</f>
        <v>82464</v>
      </c>
      <c r="F23" s="89">
        <f t="shared" ref="F23" si="2">E27</f>
        <v>87710</v>
      </c>
      <c r="G23" s="89">
        <f>F27</f>
        <v>87710</v>
      </c>
      <c r="H23" s="89">
        <f t="shared" ref="H23" si="3">G27</f>
        <v>87710</v>
      </c>
      <c r="I23" s="89">
        <f t="shared" ref="I23" si="4">H27</f>
        <v>92806</v>
      </c>
      <c r="J23" s="89">
        <f t="shared" ref="J23" si="5">I27</f>
        <v>92806</v>
      </c>
      <c r="K23" s="89">
        <f t="shared" ref="K23" si="6">J27</f>
        <v>92806</v>
      </c>
      <c r="L23" s="89">
        <f t="shared" ref="L23" si="7">K27</f>
        <v>97903</v>
      </c>
      <c r="M23" s="89">
        <f t="shared" ref="M23" si="8">L27</f>
        <v>97903</v>
      </c>
      <c r="N23" s="90"/>
      <c r="O23" s="91"/>
    </row>
    <row r="24" spans="1:15" x14ac:dyDescent="0.2">
      <c r="A24" s="69" t="s">
        <v>24</v>
      </c>
      <c r="B24" s="92">
        <f>B78</f>
        <v>5278</v>
      </c>
      <c r="C24" s="92"/>
      <c r="D24" s="92"/>
      <c r="E24" s="92">
        <f>D78</f>
        <v>5246</v>
      </c>
      <c r="F24" s="92"/>
      <c r="G24" s="92"/>
      <c r="H24" s="92">
        <f>G78</f>
        <v>5096</v>
      </c>
      <c r="I24" s="92"/>
      <c r="J24" s="92"/>
      <c r="K24" s="92">
        <f>J78</f>
        <v>5097</v>
      </c>
      <c r="L24" s="92">
        <v>0</v>
      </c>
      <c r="M24" s="92"/>
      <c r="N24" s="93"/>
      <c r="O24" s="91">
        <f>SUM(B24:M24)</f>
        <v>20717</v>
      </c>
    </row>
    <row r="25" spans="1:15" x14ac:dyDescent="0.2">
      <c r="A25" s="69" t="s">
        <v>25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90"/>
      <c r="O25" s="91"/>
    </row>
    <row r="26" spans="1:15" x14ac:dyDescent="0.2">
      <c r="A26" s="69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90"/>
      <c r="O26" s="91"/>
    </row>
    <row r="27" spans="1:15" x14ac:dyDescent="0.2">
      <c r="A27" s="69" t="s">
        <v>30</v>
      </c>
      <c r="B27" s="89">
        <f>SUM(B23:B25)</f>
        <v>82464</v>
      </c>
      <c r="C27" s="89">
        <f>SUM(C23:C25)</f>
        <v>82464</v>
      </c>
      <c r="D27" s="89">
        <f t="shared" ref="D27:M27" si="9">SUM(D23:D25)</f>
        <v>82464</v>
      </c>
      <c r="E27" s="109">
        <f t="shared" si="9"/>
        <v>87710</v>
      </c>
      <c r="F27" s="89">
        <f t="shared" si="9"/>
        <v>87710</v>
      </c>
      <c r="G27" s="89">
        <f t="shared" si="9"/>
        <v>87710</v>
      </c>
      <c r="H27" s="89">
        <f t="shared" si="9"/>
        <v>92806</v>
      </c>
      <c r="I27" s="89">
        <f t="shared" si="9"/>
        <v>92806</v>
      </c>
      <c r="J27" s="89">
        <f t="shared" si="9"/>
        <v>92806</v>
      </c>
      <c r="K27" s="89">
        <f t="shared" si="9"/>
        <v>97903</v>
      </c>
      <c r="L27" s="89">
        <f t="shared" si="9"/>
        <v>97903</v>
      </c>
      <c r="M27" s="89">
        <f t="shared" si="9"/>
        <v>97903</v>
      </c>
      <c r="N27" s="90"/>
      <c r="O27" s="91"/>
    </row>
    <row r="28" spans="1:15" x14ac:dyDescent="0.2">
      <c r="A28" s="67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90"/>
      <c r="O28" s="91"/>
    </row>
    <row r="29" spans="1:15" x14ac:dyDescent="0.2">
      <c r="A29" s="73" t="s">
        <v>26</v>
      </c>
      <c r="B29" s="89">
        <f>ROUND(B23*$C$4,2)</f>
        <v>140.22</v>
      </c>
      <c r="C29" s="89">
        <f>ROUND(C23*$C$4,2)</f>
        <v>149.81</v>
      </c>
      <c r="D29" s="89">
        <f>ROUND(D23*$C$4,2)</f>
        <v>149.81</v>
      </c>
      <c r="E29" s="89">
        <f>ROUND(E23*$C$5,2)</f>
        <v>149.81</v>
      </c>
      <c r="F29" s="89">
        <f>ROUND(F23*$C$5,2)</f>
        <v>159.34</v>
      </c>
      <c r="G29" s="89">
        <f>ROUND(G23*$C$5,2)</f>
        <v>159.34</v>
      </c>
      <c r="H29" s="89">
        <f>ROUND(H23*$C$6,2)</f>
        <v>41.66</v>
      </c>
      <c r="I29" s="89">
        <f>ROUND(I23*$C$6,2)</f>
        <v>44.08</v>
      </c>
      <c r="J29" s="89">
        <f>ROUND(J23*$C$6,2)</f>
        <v>44.08</v>
      </c>
      <c r="K29" s="89">
        <f>ROUND(K23*$C$7,2)</f>
        <v>44.08</v>
      </c>
      <c r="L29" s="89">
        <f>ROUND(L23*$C$7,2)</f>
        <v>46.5</v>
      </c>
      <c r="M29" s="89">
        <f>ROUND(M23*$C$7,2)</f>
        <v>46.5</v>
      </c>
      <c r="N29" s="93"/>
      <c r="O29" s="91">
        <f>SUM(B29:M29)</f>
        <v>1175.23</v>
      </c>
    </row>
    <row r="30" spans="1:15" x14ac:dyDescent="0.2">
      <c r="A30" s="74" t="s">
        <v>27</v>
      </c>
      <c r="B30" s="110">
        <f>'CAM 2019'!M30+B29</f>
        <v>2989.0199999999995</v>
      </c>
      <c r="C30" s="94">
        <f>B30+C29</f>
        <v>3138.8299999999995</v>
      </c>
      <c r="D30" s="94">
        <f t="shared" ref="D30" si="10">C30+D29</f>
        <v>3288.6399999999994</v>
      </c>
      <c r="E30" s="110">
        <f t="shared" ref="E30" si="11">D30+E29</f>
        <v>3438.4499999999994</v>
      </c>
      <c r="F30" s="94">
        <f t="shared" ref="F30" si="12">E30+F29</f>
        <v>3597.7899999999995</v>
      </c>
      <c r="G30" s="94">
        <f>F30+G29</f>
        <v>3757.1299999999997</v>
      </c>
      <c r="H30" s="94">
        <f>G30+H29</f>
        <v>3798.7899999999995</v>
      </c>
      <c r="I30" s="94">
        <f t="shared" ref="I30" si="13">H30+I29</f>
        <v>3842.8699999999994</v>
      </c>
      <c r="J30" s="94">
        <f t="shared" ref="J30" si="14">I30+J29</f>
        <v>3886.9499999999994</v>
      </c>
      <c r="K30" s="94">
        <f t="shared" ref="K30" si="15">J30+K29</f>
        <v>3931.0299999999993</v>
      </c>
      <c r="L30" s="94">
        <f t="shared" ref="L30" si="16">K30+L29</f>
        <v>3977.5299999999993</v>
      </c>
      <c r="M30" s="94">
        <f t="shared" ref="M30" si="17">L30+M29</f>
        <v>4024.0299999999993</v>
      </c>
      <c r="N30" s="94"/>
      <c r="O30" s="96"/>
    </row>
    <row r="31" spans="1:15" x14ac:dyDescent="0.2">
      <c r="A31" s="8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</row>
    <row r="32" spans="1:15" x14ac:dyDescent="0.2">
      <c r="A32" s="63" t="s">
        <v>191</v>
      </c>
      <c r="B32" s="97" t="s">
        <v>10</v>
      </c>
      <c r="C32" s="97" t="s">
        <v>11</v>
      </c>
      <c r="D32" s="97" t="s">
        <v>12</v>
      </c>
      <c r="E32" s="97" t="s">
        <v>13</v>
      </c>
      <c r="F32" s="97" t="s">
        <v>14</v>
      </c>
      <c r="G32" s="97" t="s">
        <v>15</v>
      </c>
      <c r="H32" s="97" t="s">
        <v>16</v>
      </c>
      <c r="I32" s="97" t="s">
        <v>17</v>
      </c>
      <c r="J32" s="97" t="s">
        <v>18</v>
      </c>
      <c r="K32" s="97" t="s">
        <v>19</v>
      </c>
      <c r="L32" s="97" t="s">
        <v>20</v>
      </c>
      <c r="M32" s="97" t="s">
        <v>21</v>
      </c>
      <c r="N32" s="97" t="s">
        <v>22</v>
      </c>
      <c r="O32" s="98"/>
    </row>
    <row r="33" spans="1:15" x14ac:dyDescent="0.2">
      <c r="A33" s="67" t="s">
        <v>29</v>
      </c>
      <c r="B33" s="90"/>
      <c r="C33" s="90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1"/>
    </row>
    <row r="34" spans="1:15" x14ac:dyDescent="0.2">
      <c r="A34" s="69" t="s">
        <v>23</v>
      </c>
      <c r="B34" s="109">
        <f>[4]IFRS!$M$34</f>
        <v>-70204</v>
      </c>
      <c r="C34" s="89">
        <f>B38</f>
        <v>-74752</v>
      </c>
      <c r="D34" s="89">
        <f>C38</f>
        <v>-74752</v>
      </c>
      <c r="E34" s="89">
        <f t="shared" ref="E34:F34" si="18">D38</f>
        <v>-74752</v>
      </c>
      <c r="F34" s="89">
        <f t="shared" si="18"/>
        <v>-79332</v>
      </c>
      <c r="G34" s="89">
        <f>F38</f>
        <v>-79332</v>
      </c>
      <c r="H34" s="89">
        <f t="shared" ref="H34:M34" si="19">G38</f>
        <v>-79332</v>
      </c>
      <c r="I34" s="89">
        <f t="shared" si="19"/>
        <v>-84062</v>
      </c>
      <c r="J34" s="89">
        <f t="shared" si="19"/>
        <v>-84062</v>
      </c>
      <c r="K34" s="89">
        <f t="shared" si="19"/>
        <v>-84062</v>
      </c>
      <c r="L34" s="89">
        <f t="shared" si="19"/>
        <v>-88791</v>
      </c>
      <c r="M34" s="89">
        <f t="shared" si="19"/>
        <v>-88791</v>
      </c>
      <c r="N34" s="90"/>
      <c r="O34" s="91"/>
    </row>
    <row r="35" spans="1:15" x14ac:dyDescent="0.2">
      <c r="A35" s="69" t="s">
        <v>24</v>
      </c>
      <c r="B35" s="92">
        <v>-4548</v>
      </c>
      <c r="C35" s="92"/>
      <c r="D35" s="92"/>
      <c r="E35" s="92">
        <v>-4580</v>
      </c>
      <c r="F35" s="92"/>
      <c r="G35" s="92"/>
      <c r="H35" s="92">
        <v>-4730</v>
      </c>
      <c r="I35" s="92"/>
      <c r="J35" s="92"/>
      <c r="K35" s="92">
        <v>-4729</v>
      </c>
      <c r="L35" s="92">
        <v>0</v>
      </c>
      <c r="M35" s="92"/>
      <c r="N35" s="93"/>
      <c r="O35" s="91">
        <f>SUM(B35:M35)</f>
        <v>-18587</v>
      </c>
    </row>
    <row r="36" spans="1:15" x14ac:dyDescent="0.2">
      <c r="A36" s="69" t="s">
        <v>25</v>
      </c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90"/>
      <c r="O36" s="91"/>
    </row>
    <row r="37" spans="1:15" x14ac:dyDescent="0.2">
      <c r="A37" s="69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90"/>
      <c r="O37" s="91"/>
    </row>
    <row r="38" spans="1:15" x14ac:dyDescent="0.2">
      <c r="A38" s="69" t="s">
        <v>30</v>
      </c>
      <c r="B38" s="89">
        <f>SUM(B34:B36)</f>
        <v>-74752</v>
      </c>
      <c r="C38" s="89">
        <f>SUM(C34:C36)</f>
        <v>-74752</v>
      </c>
      <c r="D38" s="89">
        <f t="shared" ref="D38:M38" si="20">SUM(D34:D36)</f>
        <v>-74752</v>
      </c>
      <c r="E38" s="109">
        <f t="shared" si="20"/>
        <v>-79332</v>
      </c>
      <c r="F38" s="89">
        <f t="shared" si="20"/>
        <v>-79332</v>
      </c>
      <c r="G38" s="89">
        <f t="shared" si="20"/>
        <v>-79332</v>
      </c>
      <c r="H38" s="89">
        <f t="shared" si="20"/>
        <v>-84062</v>
      </c>
      <c r="I38" s="89">
        <f t="shared" si="20"/>
        <v>-84062</v>
      </c>
      <c r="J38" s="89">
        <f t="shared" si="20"/>
        <v>-84062</v>
      </c>
      <c r="K38" s="89">
        <f t="shared" si="20"/>
        <v>-88791</v>
      </c>
      <c r="L38" s="89">
        <f t="shared" si="20"/>
        <v>-88791</v>
      </c>
      <c r="M38" s="89">
        <f t="shared" si="20"/>
        <v>-88791</v>
      </c>
      <c r="N38" s="90"/>
      <c r="O38" s="91"/>
    </row>
    <row r="39" spans="1:15" x14ac:dyDescent="0.2">
      <c r="A39" s="67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90"/>
      <c r="O39" s="91"/>
    </row>
    <row r="40" spans="1:15" x14ac:dyDescent="0.2">
      <c r="A40" s="73" t="s">
        <v>26</v>
      </c>
      <c r="B40" s="89">
        <f>ROUND(B34*$C$4,2)</f>
        <v>-127.54</v>
      </c>
      <c r="C40" s="89">
        <f>ROUND(C34*$C$4,2)</f>
        <v>-135.80000000000001</v>
      </c>
      <c r="D40" s="89">
        <f>ROUND(D34*$C$4,2)</f>
        <v>-135.80000000000001</v>
      </c>
      <c r="E40" s="89">
        <f>ROUND(E34*$C$5,2)</f>
        <v>-135.80000000000001</v>
      </c>
      <c r="F40" s="89">
        <f>ROUND(F34*$C$5,2)</f>
        <v>-144.12</v>
      </c>
      <c r="G40" s="89">
        <f>ROUND(G34*$C$5,2)</f>
        <v>-144.12</v>
      </c>
      <c r="H40" s="89">
        <f>ROUND(H34*$C$6,2)</f>
        <v>-37.68</v>
      </c>
      <c r="I40" s="89">
        <f>ROUND(I34*$C$6,2)</f>
        <v>-39.93</v>
      </c>
      <c r="J40" s="89">
        <f>ROUND(J34*$C$6,2)</f>
        <v>-39.93</v>
      </c>
      <c r="K40" s="89">
        <f>ROUND(K34*$C$7,2)</f>
        <v>-39.93</v>
      </c>
      <c r="L40" s="89">
        <f>ROUND(L34*$C$7,2)</f>
        <v>-42.18</v>
      </c>
      <c r="M40" s="89">
        <f>ROUND(M34*$C$7,2)</f>
        <v>-42.18</v>
      </c>
      <c r="N40" s="93"/>
      <c r="O40" s="91">
        <f>SUM(B40:M40)</f>
        <v>-1065.0099999999998</v>
      </c>
    </row>
    <row r="41" spans="1:15" x14ac:dyDescent="0.2">
      <c r="A41" s="74" t="s">
        <v>27</v>
      </c>
      <c r="B41" s="110">
        <f>B40+[4]IFRS!$M$41</f>
        <v>-2627.75</v>
      </c>
      <c r="C41" s="94">
        <f>B41+C40</f>
        <v>-2763.55</v>
      </c>
      <c r="D41" s="94">
        <f t="shared" ref="D41:F41" si="21">C41+D40</f>
        <v>-2899.3500000000004</v>
      </c>
      <c r="E41" s="110">
        <f t="shared" si="21"/>
        <v>-3035.1500000000005</v>
      </c>
      <c r="F41" s="94">
        <f t="shared" si="21"/>
        <v>-3179.2700000000004</v>
      </c>
      <c r="G41" s="94">
        <f>F41+G40</f>
        <v>-3323.3900000000003</v>
      </c>
      <c r="H41" s="94">
        <f>G41+H40</f>
        <v>-3361.07</v>
      </c>
      <c r="I41" s="94">
        <f t="shared" ref="I41:M41" si="22">H41+I40</f>
        <v>-3401</v>
      </c>
      <c r="J41" s="94">
        <f t="shared" si="22"/>
        <v>-3440.93</v>
      </c>
      <c r="K41" s="94">
        <f t="shared" si="22"/>
        <v>-3480.8599999999997</v>
      </c>
      <c r="L41" s="94">
        <f t="shared" si="22"/>
        <v>-3523.0399999999995</v>
      </c>
      <c r="M41" s="94">
        <f t="shared" si="22"/>
        <v>-3565.2199999999993</v>
      </c>
      <c r="N41" s="94"/>
      <c r="O41" s="96"/>
    </row>
    <row r="42" spans="1:15" x14ac:dyDescent="0.2">
      <c r="A42" s="8"/>
      <c r="B42" s="111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</row>
    <row r="43" spans="1:15" hidden="1" x14ac:dyDescent="0.2">
      <c r="A43" s="8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0"/>
    </row>
    <row r="44" spans="1:15" hidden="1" x14ac:dyDescent="0.2"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0"/>
    </row>
    <row r="45" spans="1:15" hidden="1" x14ac:dyDescent="0.2">
      <c r="A45" s="13"/>
      <c r="B45" s="112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</row>
    <row r="46" spans="1:15" hidden="1" x14ac:dyDescent="0.2">
      <c r="A46" s="13"/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93"/>
      <c r="O46" s="90"/>
    </row>
    <row r="47" spans="1:15" hidden="1" x14ac:dyDescent="0.2">
      <c r="A47" s="13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</row>
    <row r="48" spans="1:15" hidden="1" x14ac:dyDescent="0.2">
      <c r="A48" s="13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</row>
    <row r="49" spans="1:15" hidden="1" x14ac:dyDescent="0.2">
      <c r="A49" s="13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</row>
    <row r="50" spans="1:15" hidden="1" x14ac:dyDescent="0.2"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</row>
    <row r="51" spans="1:15" hidden="1" x14ac:dyDescent="0.2">
      <c r="A51" s="8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3"/>
      <c r="O51" s="90"/>
    </row>
    <row r="52" spans="1:15" hidden="1" x14ac:dyDescent="0.2">
      <c r="A52" s="8"/>
      <c r="B52" s="112"/>
      <c r="C52" s="90"/>
      <c r="D52" s="90"/>
      <c r="E52" s="90"/>
      <c r="F52" s="90"/>
      <c r="G52" s="90"/>
      <c r="H52" s="90"/>
      <c r="I52" s="90"/>
      <c r="J52" s="111"/>
      <c r="K52" s="111"/>
      <c r="L52" s="90"/>
      <c r="M52" s="90"/>
      <c r="N52" s="90"/>
      <c r="O52" s="90"/>
    </row>
    <row r="53" spans="1:15" x14ac:dyDescent="0.2">
      <c r="A53" s="8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</row>
    <row r="54" spans="1:15" x14ac:dyDescent="0.2">
      <c r="A54" s="83" t="s">
        <v>31</v>
      </c>
      <c r="B54" s="100">
        <f>+B27+B30+B38+B41</f>
        <v>8073.2700000000041</v>
      </c>
      <c r="C54" s="100">
        <f t="shared" ref="C54:M54" si="23">+C27+C30+C38+C41</f>
        <v>8087.2800000000016</v>
      </c>
      <c r="D54" s="100">
        <f t="shared" si="23"/>
        <v>8101.2899999999991</v>
      </c>
      <c r="E54" s="100">
        <f t="shared" si="23"/>
        <v>8781.2999999999956</v>
      </c>
      <c r="F54" s="100">
        <f t="shared" si="23"/>
        <v>8796.5199999999932</v>
      </c>
      <c r="G54" s="100">
        <f t="shared" si="23"/>
        <v>8811.7400000000052</v>
      </c>
      <c r="H54" s="100">
        <f t="shared" si="23"/>
        <v>9181.7199999999939</v>
      </c>
      <c r="I54" s="100">
        <f t="shared" si="23"/>
        <v>9185.8699999999953</v>
      </c>
      <c r="J54" s="100">
        <f t="shared" si="23"/>
        <v>9190.0199999999968</v>
      </c>
      <c r="K54" s="100">
        <f t="shared" si="23"/>
        <v>9562.1699999999983</v>
      </c>
      <c r="L54" s="100">
        <f t="shared" si="23"/>
        <v>9566.49</v>
      </c>
      <c r="M54" s="100">
        <f t="shared" si="23"/>
        <v>9570.81</v>
      </c>
      <c r="N54" s="101"/>
      <c r="O54" s="102"/>
    </row>
    <row r="55" spans="1:15" x14ac:dyDescent="0.2">
      <c r="A55" s="8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</row>
    <row r="56" spans="1:15" x14ac:dyDescent="0.2">
      <c r="A56" s="20"/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90">
        <f>M16+M19+M27+M30+M38+M41+M49+M52</f>
        <v>9570.81</v>
      </c>
      <c r="O56" s="90"/>
    </row>
    <row r="57" spans="1:15" hidden="1" x14ac:dyDescent="0.2"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</row>
    <row r="58" spans="1:15" hidden="1" x14ac:dyDescent="0.2"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</row>
    <row r="59" spans="1:15" hidden="1" x14ac:dyDescent="0.2">
      <c r="A59" s="18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</row>
    <row r="60" spans="1:15" hidden="1" x14ac:dyDescent="0.2">
      <c r="A60" s="18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</row>
    <row r="61" spans="1:15" hidden="1" x14ac:dyDescent="0.2"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</row>
    <row r="62" spans="1:15" hidden="1" x14ac:dyDescent="0.2"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</row>
    <row r="63" spans="1:15" hidden="1" x14ac:dyDescent="0.2"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</row>
    <row r="64" spans="1:15" hidden="1" x14ac:dyDescent="0.2"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</row>
    <row r="65" spans="1:15" hidden="1" x14ac:dyDescent="0.2"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</row>
    <row r="66" spans="1:15" hidden="1" x14ac:dyDescent="0.2"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</row>
    <row r="67" spans="1:15" hidden="1" x14ac:dyDescent="0.2"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</row>
    <row r="68" spans="1:15" hidden="1" x14ac:dyDescent="0.2"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</row>
    <row r="69" spans="1:15" hidden="1" x14ac:dyDescent="0.2"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</row>
    <row r="70" spans="1:15" hidden="1" x14ac:dyDescent="0.2"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</row>
    <row r="71" spans="1:15" x14ac:dyDescent="0.2"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</row>
    <row r="72" spans="1:15" x14ac:dyDescent="0.2">
      <c r="A72" s="2" t="s">
        <v>0</v>
      </c>
      <c r="B72" s="61"/>
      <c r="C72" s="61"/>
      <c r="D72" s="105">
        <f>'CAM 2019'!D71</f>
        <v>7837</v>
      </c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90"/>
    </row>
    <row r="73" spans="1:15" x14ac:dyDescent="0.2">
      <c r="A73" s="2" t="s">
        <v>143</v>
      </c>
      <c r="B73" s="105">
        <f>'OEB costs'!F17</f>
        <v>13115</v>
      </c>
      <c r="C73" s="61"/>
      <c r="D73" s="105">
        <f>'OEB costs'!F18</f>
        <v>13083</v>
      </c>
      <c r="E73" s="61"/>
      <c r="F73" s="61"/>
      <c r="G73" s="105">
        <f>'OEB costs'!F19</f>
        <v>12933</v>
      </c>
      <c r="H73" s="61"/>
      <c r="I73" s="61"/>
      <c r="J73" s="105">
        <f>'OEB costs'!F20</f>
        <v>12934</v>
      </c>
      <c r="K73" s="61"/>
      <c r="L73" s="61"/>
      <c r="M73" s="61"/>
      <c r="N73" s="106" t="s">
        <v>190</v>
      </c>
      <c r="O73" s="90"/>
    </row>
    <row r="74" spans="1:15" x14ac:dyDescent="0.2">
      <c r="A74" s="63" t="s">
        <v>41</v>
      </c>
      <c r="B74" s="107" t="s">
        <v>147</v>
      </c>
      <c r="C74" s="107" t="s">
        <v>148</v>
      </c>
      <c r="D74" s="107" t="s">
        <v>147</v>
      </c>
      <c r="E74" s="107" t="s">
        <v>148</v>
      </c>
      <c r="F74" s="107"/>
      <c r="G74" s="107" t="s">
        <v>147</v>
      </c>
      <c r="H74" s="107" t="s">
        <v>148</v>
      </c>
      <c r="I74" s="107"/>
      <c r="J74" s="107" t="s">
        <v>147</v>
      </c>
      <c r="K74" s="107" t="s">
        <v>148</v>
      </c>
      <c r="L74" s="107"/>
      <c r="M74" s="107"/>
      <c r="N74" s="81"/>
      <c r="O74" s="90"/>
    </row>
    <row r="75" spans="1:15" x14ac:dyDescent="0.2">
      <c r="A75" s="67" t="s">
        <v>1</v>
      </c>
      <c r="B75" s="61">
        <f>C77</f>
        <v>13115</v>
      </c>
      <c r="C75" s="61"/>
      <c r="D75" s="61">
        <f>E77</f>
        <v>13083</v>
      </c>
      <c r="E75" s="61"/>
      <c r="F75" s="61"/>
      <c r="G75" s="61">
        <f>H77</f>
        <v>12933</v>
      </c>
      <c r="H75" s="61"/>
      <c r="I75" s="61"/>
      <c r="J75" s="61">
        <f>K77</f>
        <v>12934</v>
      </c>
      <c r="K75" s="61"/>
      <c r="L75" s="61"/>
      <c r="M75" s="61"/>
      <c r="N75" s="77">
        <f>SUM(B75:M75)</f>
        <v>52065</v>
      </c>
      <c r="O75" s="90"/>
    </row>
    <row r="76" spans="1:15" x14ac:dyDescent="0.2">
      <c r="A76" s="67" t="s">
        <v>2</v>
      </c>
      <c r="B76" s="61"/>
      <c r="C76" s="61">
        <f>C77-$D72</f>
        <v>5278</v>
      </c>
      <c r="D76" s="61"/>
      <c r="E76" s="61">
        <f>E77-$D72</f>
        <v>5246</v>
      </c>
      <c r="F76" s="61"/>
      <c r="G76" s="61"/>
      <c r="H76" s="61">
        <f>H77-$D72</f>
        <v>5096</v>
      </c>
      <c r="I76" s="61"/>
      <c r="J76" s="61"/>
      <c r="K76" s="61">
        <f>K77-$D72</f>
        <v>5097</v>
      </c>
      <c r="L76" s="61"/>
      <c r="M76" s="61"/>
      <c r="N76" s="77">
        <f>-SUM(B76:M76)</f>
        <v>-20717</v>
      </c>
      <c r="O76" s="90"/>
    </row>
    <row r="77" spans="1:15" x14ac:dyDescent="0.2">
      <c r="A77" s="67" t="s">
        <v>145</v>
      </c>
      <c r="B77" s="61"/>
      <c r="C77" s="61">
        <f>B73</f>
        <v>13115</v>
      </c>
      <c r="D77" s="61"/>
      <c r="E77" s="61">
        <f>D73</f>
        <v>13083</v>
      </c>
      <c r="F77" s="61"/>
      <c r="G77" s="61"/>
      <c r="H77" s="61">
        <f>G73</f>
        <v>12933</v>
      </c>
      <c r="I77" s="61"/>
      <c r="J77" s="61"/>
      <c r="K77" s="61">
        <f>J73</f>
        <v>12934</v>
      </c>
      <c r="L77" s="61"/>
      <c r="M77" s="61"/>
      <c r="N77" s="77">
        <f>-SUM(B77:M77)</f>
        <v>-52065</v>
      </c>
      <c r="O77" s="90"/>
    </row>
    <row r="78" spans="1:15" x14ac:dyDescent="0.2">
      <c r="A78" s="78" t="s">
        <v>29</v>
      </c>
      <c r="B78" s="108">
        <f>C76</f>
        <v>5278</v>
      </c>
      <c r="C78" s="108"/>
      <c r="D78" s="108">
        <f>E76</f>
        <v>5246</v>
      </c>
      <c r="E78" s="108"/>
      <c r="F78" s="108"/>
      <c r="G78" s="108">
        <f>H76</f>
        <v>5096</v>
      </c>
      <c r="H78" s="108"/>
      <c r="I78" s="108"/>
      <c r="J78" s="108">
        <f>K76</f>
        <v>5097</v>
      </c>
      <c r="K78" s="108"/>
      <c r="L78" s="108"/>
      <c r="M78" s="108"/>
      <c r="N78" s="80">
        <f t="shared" ref="N78" si="24">SUM(B78:M78)</f>
        <v>20717</v>
      </c>
      <c r="O78" s="90"/>
    </row>
    <row r="79" spans="1:15" x14ac:dyDescent="0.2"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90"/>
    </row>
    <row r="80" spans="1:15" x14ac:dyDescent="0.2">
      <c r="A80" s="63" t="s">
        <v>40</v>
      </c>
      <c r="B80" s="107" t="s">
        <v>147</v>
      </c>
      <c r="C80" s="107" t="s">
        <v>148</v>
      </c>
      <c r="D80" s="107" t="s">
        <v>147</v>
      </c>
      <c r="E80" s="107" t="s">
        <v>148</v>
      </c>
      <c r="F80" s="107"/>
      <c r="G80" s="107" t="s">
        <v>147</v>
      </c>
      <c r="H80" s="107" t="s">
        <v>148</v>
      </c>
      <c r="I80" s="107"/>
      <c r="J80" s="107" t="s">
        <v>147</v>
      </c>
      <c r="K80" s="107" t="s">
        <v>148</v>
      </c>
      <c r="L80" s="107"/>
      <c r="M80" s="107"/>
      <c r="N80" s="81"/>
      <c r="O80" s="90"/>
    </row>
    <row r="81" spans="1:15" x14ac:dyDescent="0.2">
      <c r="A81" s="67" t="s">
        <v>146</v>
      </c>
      <c r="B81" s="61">
        <v>17663</v>
      </c>
      <c r="C81" s="61"/>
      <c r="D81" s="61">
        <v>17663</v>
      </c>
      <c r="E81" s="61"/>
      <c r="F81" s="61"/>
      <c r="G81" s="61">
        <v>17663</v>
      </c>
      <c r="H81" s="61"/>
      <c r="I81" s="61"/>
      <c r="J81" s="61">
        <v>17663</v>
      </c>
      <c r="K81" s="61"/>
      <c r="L81" s="61"/>
      <c r="M81" s="61"/>
      <c r="N81" s="77">
        <f t="shared" ref="N81:N85" si="25">SUM(B81:M81)</f>
        <v>70652</v>
      </c>
      <c r="O81" s="90"/>
    </row>
    <row r="82" spans="1:15" x14ac:dyDescent="0.2">
      <c r="A82" s="67" t="s">
        <v>29</v>
      </c>
      <c r="B82" s="61"/>
      <c r="C82" s="61">
        <f>B81-C83</f>
        <v>4548</v>
      </c>
      <c r="D82" s="61"/>
      <c r="E82" s="61">
        <f>D81-E83</f>
        <v>4580</v>
      </c>
      <c r="F82" s="61"/>
      <c r="G82" s="61"/>
      <c r="H82" s="61">
        <f>G81-H83</f>
        <v>4730</v>
      </c>
      <c r="I82" s="61"/>
      <c r="J82" s="61"/>
      <c r="K82" s="61">
        <f>J81-K83</f>
        <v>4729</v>
      </c>
      <c r="L82" s="61"/>
      <c r="M82" s="61"/>
      <c r="N82" s="77">
        <f>-SUM(B82:M82)</f>
        <v>-18587</v>
      </c>
      <c r="O82" s="90"/>
    </row>
    <row r="83" spans="1:15" x14ac:dyDescent="0.2">
      <c r="A83" s="67" t="s">
        <v>145</v>
      </c>
      <c r="B83" s="61"/>
      <c r="C83" s="61">
        <f>B73</f>
        <v>13115</v>
      </c>
      <c r="D83" s="61"/>
      <c r="E83" s="61">
        <f>D73</f>
        <v>13083</v>
      </c>
      <c r="F83" s="61"/>
      <c r="G83" s="61"/>
      <c r="H83" s="61">
        <f>G73</f>
        <v>12933</v>
      </c>
      <c r="I83" s="61"/>
      <c r="J83" s="61"/>
      <c r="K83" s="61">
        <f>J73</f>
        <v>12934</v>
      </c>
      <c r="L83" s="61"/>
      <c r="M83" s="61"/>
      <c r="N83" s="77">
        <f>-SUM(B83:M83)</f>
        <v>-52065</v>
      </c>
      <c r="O83" s="90"/>
    </row>
    <row r="84" spans="1:15" x14ac:dyDescent="0.2">
      <c r="A84" s="67" t="s">
        <v>1</v>
      </c>
      <c r="B84" s="61"/>
      <c r="C84" s="61">
        <f>C82</f>
        <v>4548</v>
      </c>
      <c r="D84" s="61"/>
      <c r="E84" s="61">
        <f>E82</f>
        <v>4580</v>
      </c>
      <c r="F84" s="61"/>
      <c r="G84" s="61"/>
      <c r="H84" s="61">
        <f>H82</f>
        <v>4730</v>
      </c>
      <c r="I84" s="61"/>
      <c r="J84" s="61"/>
      <c r="K84" s="61">
        <f>K82</f>
        <v>4729</v>
      </c>
      <c r="L84" s="61"/>
      <c r="M84" s="61"/>
      <c r="N84" s="77">
        <f>-SUM(B84:M84)</f>
        <v>-18587</v>
      </c>
      <c r="O84" s="90"/>
    </row>
    <row r="85" spans="1:15" x14ac:dyDescent="0.2">
      <c r="A85" s="78" t="s">
        <v>2</v>
      </c>
      <c r="B85" s="108">
        <f>C84</f>
        <v>4548</v>
      </c>
      <c r="C85" s="108"/>
      <c r="D85" s="108">
        <f>E84</f>
        <v>4580</v>
      </c>
      <c r="E85" s="108"/>
      <c r="F85" s="108"/>
      <c r="G85" s="108">
        <f>H84</f>
        <v>4730</v>
      </c>
      <c r="H85" s="108"/>
      <c r="I85" s="108"/>
      <c r="J85" s="108">
        <f>K84</f>
        <v>4729</v>
      </c>
      <c r="K85" s="108"/>
      <c r="L85" s="108"/>
      <c r="M85" s="108"/>
      <c r="N85" s="80">
        <f t="shared" si="25"/>
        <v>18587</v>
      </c>
      <c r="O85" s="90"/>
    </row>
    <row r="86" spans="1:15" x14ac:dyDescent="0.2"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</row>
    <row r="87" spans="1:15" x14ac:dyDescent="0.2">
      <c r="B87" s="90"/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</row>
    <row r="88" spans="1:15" x14ac:dyDescent="0.2">
      <c r="A88" s="63" t="s">
        <v>188</v>
      </c>
      <c r="B88" s="104"/>
      <c r="C88" s="104"/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98"/>
      <c r="O88" s="90"/>
    </row>
    <row r="89" spans="1:15" x14ac:dyDescent="0.2">
      <c r="A89" s="67" t="s">
        <v>36</v>
      </c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1">
        <f>O29</f>
        <v>1175.23</v>
      </c>
      <c r="O89" s="90"/>
    </row>
    <row r="90" spans="1:15" x14ac:dyDescent="0.2">
      <c r="A90" s="78" t="s">
        <v>35</v>
      </c>
      <c r="B90" s="94"/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6">
        <f>-N89</f>
        <v>-1175.23</v>
      </c>
      <c r="O90" s="90"/>
    </row>
    <row r="91" spans="1:15" x14ac:dyDescent="0.2"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</row>
    <row r="92" spans="1:15" x14ac:dyDescent="0.2">
      <c r="A92" s="63" t="s">
        <v>189</v>
      </c>
      <c r="B92" s="104"/>
      <c r="C92" s="104"/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98"/>
      <c r="O92" s="90"/>
    </row>
    <row r="93" spans="1:15" x14ac:dyDescent="0.2">
      <c r="A93" s="67" t="s">
        <v>36</v>
      </c>
      <c r="B93" s="90"/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1">
        <f>O40</f>
        <v>-1065.0099999999998</v>
      </c>
      <c r="O93" s="90"/>
    </row>
    <row r="94" spans="1:15" x14ac:dyDescent="0.2">
      <c r="A94" s="78" t="s">
        <v>37</v>
      </c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6">
        <f>-N93</f>
        <v>1065.0099999999998</v>
      </c>
      <c r="O94" s="90"/>
    </row>
  </sheetData>
  <mergeCells count="1">
    <mergeCell ref="B9:N9"/>
  </mergeCells>
  <printOptions horizontalCentered="1"/>
  <pageMargins left="0" right="0" top="0.98425196850393704" bottom="0.98425196850393704" header="0.51181102362204722" footer="0.51181102362204722"/>
  <pageSetup scale="70" fitToWidth="0" orientation="landscape" r:id="rId1"/>
  <headerFooter alignWithMargins="0">
    <oddHeader>&amp;C&amp;A</oddHeader>
    <oddFooter>&amp;L&amp;Z&amp;F&amp;R&amp;D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20211-A6C4-45B1-91EA-CF90DC1C2275}">
  <sheetPr>
    <tabColor rgb="FF00B050"/>
  </sheetPr>
  <dimension ref="A1:O94"/>
  <sheetViews>
    <sheetView zoomScale="90" zoomScaleNormal="90" workbookViewId="0">
      <pane ySplit="10" topLeftCell="A20" activePane="bottomLeft" state="frozen"/>
      <selection activeCell="N47" sqref="N47"/>
      <selection pane="bottomLeft" activeCell="D74" sqref="D74"/>
    </sheetView>
  </sheetViews>
  <sheetFormatPr defaultColWidth="9.140625" defaultRowHeight="12.75" x14ac:dyDescent="0.2"/>
  <cols>
    <col min="1" max="1" width="36.7109375" style="2" customWidth="1"/>
    <col min="2" max="2" width="12.140625" style="2" customWidth="1"/>
    <col min="3" max="3" width="11.85546875" style="2" customWidth="1"/>
    <col min="4" max="5" width="12.28515625" style="2" customWidth="1"/>
    <col min="6" max="6" width="12.7109375" style="2" customWidth="1"/>
    <col min="7" max="7" width="12.140625" style="2" customWidth="1"/>
    <col min="8" max="8" width="15.85546875" style="2" customWidth="1"/>
    <col min="9" max="9" width="12.28515625" style="2" bestFit="1" customWidth="1"/>
    <col min="10" max="10" width="12" style="2" bestFit="1" customWidth="1"/>
    <col min="11" max="11" width="11.85546875" style="2" bestFit="1" customWidth="1"/>
    <col min="12" max="12" width="11.5703125" style="2" bestFit="1" customWidth="1"/>
    <col min="13" max="13" width="12" style="2" bestFit="1" customWidth="1"/>
    <col min="14" max="14" width="12.42578125" style="2" bestFit="1" customWidth="1"/>
    <col min="15" max="15" width="13.28515625" style="2" customWidth="1"/>
    <col min="16" max="16384" width="9.140625" style="2"/>
  </cols>
  <sheetData>
    <row r="1" spans="1:15" ht="18.75" x14ac:dyDescent="0.3">
      <c r="A1" s="1" t="s">
        <v>3</v>
      </c>
      <c r="C1" s="1" t="s">
        <v>192</v>
      </c>
    </row>
    <row r="2" spans="1:15" ht="18.75" x14ac:dyDescent="0.3">
      <c r="A2" s="1" t="s">
        <v>4</v>
      </c>
      <c r="C2" s="1"/>
      <c r="F2" s="47"/>
    </row>
    <row r="3" spans="1:15" ht="6" customHeight="1" thickBot="1" x14ac:dyDescent="0.25">
      <c r="B3" s="6"/>
      <c r="C3" s="7"/>
    </row>
    <row r="4" spans="1:15" x14ac:dyDescent="0.2">
      <c r="A4" s="8" t="s">
        <v>6</v>
      </c>
      <c r="B4" s="23">
        <v>5.7000000000000002E-3</v>
      </c>
      <c r="C4" s="10">
        <f>B4/12</f>
        <v>4.75E-4</v>
      </c>
      <c r="E4" s="24" t="s">
        <v>38</v>
      </c>
      <c r="F4" s="25"/>
      <c r="G4" s="25"/>
      <c r="H4" s="26"/>
    </row>
    <row r="5" spans="1:15" x14ac:dyDescent="0.2">
      <c r="A5" s="8" t="s">
        <v>7</v>
      </c>
      <c r="B5" s="27">
        <v>5.7000000000000002E-3</v>
      </c>
      <c r="C5" s="10">
        <f t="shared" ref="C5" si="0">B5/12</f>
        <v>4.75E-4</v>
      </c>
      <c r="E5" s="28" t="s">
        <v>39</v>
      </c>
      <c r="H5" s="29"/>
    </row>
    <row r="6" spans="1:15" ht="13.5" thickBot="1" x14ac:dyDescent="0.25">
      <c r="A6" s="8" t="s">
        <v>8</v>
      </c>
      <c r="B6" s="27">
        <v>5.7000000000000002E-3</v>
      </c>
      <c r="C6" s="10">
        <f>B6/12</f>
        <v>4.75E-4</v>
      </c>
      <c r="E6" s="30"/>
      <c r="F6" s="31"/>
      <c r="G6" s="31"/>
      <c r="H6" s="32"/>
    </row>
    <row r="7" spans="1:15" x14ac:dyDescent="0.2">
      <c r="A7" s="8" t="s">
        <v>9</v>
      </c>
      <c r="B7" s="27">
        <v>5.7000000000000002E-3</v>
      </c>
      <c r="C7" s="10">
        <f>B7/12</f>
        <v>4.75E-4</v>
      </c>
    </row>
    <row r="8" spans="1:15" x14ac:dyDescent="0.2">
      <c r="B8" s="6"/>
      <c r="C8" s="7"/>
    </row>
    <row r="9" spans="1:15" s="34" customFormat="1" ht="15.75" customHeight="1" x14ac:dyDescent="0.25">
      <c r="A9" s="114"/>
      <c r="B9" s="139">
        <v>2021</v>
      </c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</row>
    <row r="10" spans="1:15" hidden="1" x14ac:dyDescent="0.2">
      <c r="A10" s="8"/>
      <c r="B10" s="35"/>
      <c r="C10" s="36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11"/>
    </row>
    <row r="11" spans="1:15" hidden="1" x14ac:dyDescent="0.2">
      <c r="C11" s="6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5" hidden="1" x14ac:dyDescent="0.2">
      <c r="A12" s="13"/>
      <c r="B12" s="37"/>
      <c r="C12" s="21"/>
      <c r="D12" s="21"/>
      <c r="E12" s="21"/>
      <c r="F12" s="15"/>
      <c r="G12" s="15"/>
      <c r="H12" s="15"/>
      <c r="I12" s="15"/>
      <c r="J12" s="15"/>
      <c r="K12" s="15"/>
      <c r="L12" s="15"/>
      <c r="M12" s="15"/>
    </row>
    <row r="13" spans="1:15" hidden="1" x14ac:dyDescent="0.2">
      <c r="A13" s="13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7"/>
      <c r="O13" s="18"/>
    </row>
    <row r="14" spans="1:15" hidden="1" x14ac:dyDescent="0.2">
      <c r="A14" s="13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8"/>
    </row>
    <row r="15" spans="1:15" hidden="1" x14ac:dyDescent="0.2">
      <c r="A15" s="13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5" hidden="1" x14ac:dyDescent="0.2">
      <c r="A16" s="38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18"/>
    </row>
    <row r="17" spans="1:15" hidden="1" x14ac:dyDescent="0.2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5" hidden="1" x14ac:dyDescent="0.2">
      <c r="A18" s="8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7"/>
      <c r="O18" s="18"/>
    </row>
    <row r="19" spans="1:15" hidden="1" x14ac:dyDescent="0.2">
      <c r="A19" s="8"/>
      <c r="B19" s="40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19"/>
    </row>
    <row r="20" spans="1:15" x14ac:dyDescent="0.2">
      <c r="A20" s="8"/>
      <c r="B20" s="21"/>
      <c r="C20" s="21"/>
      <c r="D20" s="21"/>
      <c r="E20" s="21"/>
      <c r="F20" s="21"/>
      <c r="G20" s="15"/>
      <c r="H20" s="15"/>
      <c r="I20" s="15"/>
      <c r="J20" s="15"/>
      <c r="K20" s="15"/>
      <c r="L20" s="15"/>
      <c r="M20" s="15"/>
      <c r="N20" s="19"/>
    </row>
    <row r="21" spans="1:15" x14ac:dyDescent="0.2">
      <c r="A21" s="63" t="s">
        <v>144</v>
      </c>
      <c r="B21" s="85" t="s">
        <v>10</v>
      </c>
      <c r="C21" s="86" t="s">
        <v>11</v>
      </c>
      <c r="D21" s="85" t="s">
        <v>12</v>
      </c>
      <c r="E21" s="85" t="s">
        <v>13</v>
      </c>
      <c r="F21" s="85" t="s">
        <v>14</v>
      </c>
      <c r="G21" s="85" t="s">
        <v>15</v>
      </c>
      <c r="H21" s="85" t="s">
        <v>16</v>
      </c>
      <c r="I21" s="85" t="s">
        <v>17</v>
      </c>
      <c r="J21" s="85" t="s">
        <v>18</v>
      </c>
      <c r="K21" s="85" t="s">
        <v>19</v>
      </c>
      <c r="L21" s="85" t="s">
        <v>20</v>
      </c>
      <c r="M21" s="85" t="s">
        <v>21</v>
      </c>
      <c r="N21" s="64" t="s">
        <v>22</v>
      </c>
      <c r="O21" s="66"/>
    </row>
    <row r="22" spans="1:15" x14ac:dyDescent="0.2">
      <c r="A22" s="67" t="s">
        <v>29</v>
      </c>
      <c r="C22" s="6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68"/>
    </row>
    <row r="23" spans="1:15" x14ac:dyDescent="0.2">
      <c r="A23" s="69" t="s">
        <v>23</v>
      </c>
      <c r="B23" s="115">
        <f>'CAM 2020'!M27</f>
        <v>97903</v>
      </c>
      <c r="C23" s="116">
        <f>B27</f>
        <v>102999</v>
      </c>
      <c r="D23" s="116">
        <f>C27</f>
        <v>102999</v>
      </c>
      <c r="E23" s="116">
        <f t="shared" ref="E23" si="1">D27</f>
        <v>102999</v>
      </c>
      <c r="F23" s="116">
        <f t="shared" ref="F23" si="2">E27</f>
        <v>107612</v>
      </c>
      <c r="G23" s="116">
        <f>F27</f>
        <v>107612</v>
      </c>
      <c r="H23" s="89">
        <f t="shared" ref="H23" si="3">G27</f>
        <v>107612</v>
      </c>
      <c r="I23" s="89">
        <f t="shared" ref="I23" si="4">H27</f>
        <v>112282</v>
      </c>
      <c r="J23" s="89">
        <f t="shared" ref="J23" si="5">I27</f>
        <v>112282</v>
      </c>
      <c r="K23" s="89">
        <f t="shared" ref="K23" si="6">J27</f>
        <v>112282</v>
      </c>
      <c r="L23" s="89">
        <f t="shared" ref="L23" si="7">K27</f>
        <v>116981</v>
      </c>
      <c r="M23" s="89">
        <f t="shared" ref="M23" si="8">L27</f>
        <v>116981</v>
      </c>
      <c r="N23" s="90"/>
      <c r="O23" s="91"/>
    </row>
    <row r="24" spans="1:15" x14ac:dyDescent="0.2">
      <c r="A24" s="69" t="s">
        <v>24</v>
      </c>
      <c r="B24" s="109">
        <f>B79</f>
        <v>5096</v>
      </c>
      <c r="C24" s="109"/>
      <c r="D24" s="109"/>
      <c r="E24" s="109">
        <f>D79</f>
        <v>4613</v>
      </c>
      <c r="F24" s="109"/>
      <c r="G24" s="109"/>
      <c r="H24" s="109">
        <f>G79</f>
        <v>4670</v>
      </c>
      <c r="I24" s="109"/>
      <c r="J24" s="109"/>
      <c r="K24" s="109">
        <f>J79</f>
        <v>4699</v>
      </c>
      <c r="L24" s="109"/>
      <c r="M24" s="109"/>
      <c r="N24" s="93"/>
      <c r="O24" s="91">
        <f>SUM(B24:M24)</f>
        <v>19078</v>
      </c>
    </row>
    <row r="25" spans="1:15" x14ac:dyDescent="0.2">
      <c r="A25" s="69" t="s">
        <v>25</v>
      </c>
      <c r="B25" s="116"/>
      <c r="C25" s="116"/>
      <c r="D25" s="116"/>
      <c r="E25" s="116"/>
      <c r="F25" s="116"/>
      <c r="G25" s="116"/>
      <c r="H25" s="89"/>
      <c r="I25" s="89"/>
      <c r="J25" s="89"/>
      <c r="K25" s="89"/>
      <c r="L25" s="89"/>
      <c r="M25" s="89"/>
      <c r="N25" s="90"/>
      <c r="O25" s="91"/>
    </row>
    <row r="26" spans="1:15" x14ac:dyDescent="0.2">
      <c r="A26" s="69"/>
      <c r="B26" s="116"/>
      <c r="C26" s="116"/>
      <c r="D26" s="116"/>
      <c r="E26" s="116"/>
      <c r="F26" s="116"/>
      <c r="G26" s="116"/>
      <c r="H26" s="89"/>
      <c r="I26" s="89"/>
      <c r="J26" s="89"/>
      <c r="K26" s="89"/>
      <c r="L26" s="89"/>
      <c r="M26" s="89"/>
      <c r="N26" s="90"/>
      <c r="O26" s="91"/>
    </row>
    <row r="27" spans="1:15" x14ac:dyDescent="0.2">
      <c r="A27" s="87" t="s">
        <v>30</v>
      </c>
      <c r="B27" s="117">
        <f>SUM(B23:B25)</f>
        <v>102999</v>
      </c>
      <c r="C27" s="117">
        <f>SUM(C23:C25)</f>
        <v>102999</v>
      </c>
      <c r="D27" s="117">
        <f t="shared" ref="D27:M27" si="9">SUM(D23:D25)</f>
        <v>102999</v>
      </c>
      <c r="E27" s="117">
        <f t="shared" si="9"/>
        <v>107612</v>
      </c>
      <c r="F27" s="117">
        <f t="shared" si="9"/>
        <v>107612</v>
      </c>
      <c r="G27" s="117">
        <f t="shared" si="9"/>
        <v>107612</v>
      </c>
      <c r="H27" s="117">
        <f t="shared" si="9"/>
        <v>112282</v>
      </c>
      <c r="I27" s="117">
        <f t="shared" si="9"/>
        <v>112282</v>
      </c>
      <c r="J27" s="117">
        <f t="shared" si="9"/>
        <v>112282</v>
      </c>
      <c r="K27" s="117">
        <f t="shared" si="9"/>
        <v>116981</v>
      </c>
      <c r="L27" s="117">
        <f t="shared" si="9"/>
        <v>116981</v>
      </c>
      <c r="M27" s="117">
        <f t="shared" si="9"/>
        <v>116981</v>
      </c>
      <c r="N27" s="90"/>
      <c r="O27" s="91"/>
    </row>
    <row r="28" spans="1:15" x14ac:dyDescent="0.2">
      <c r="A28" s="67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90"/>
      <c r="O28" s="91"/>
    </row>
    <row r="29" spans="1:15" x14ac:dyDescent="0.2">
      <c r="A29" s="73" t="s">
        <v>26</v>
      </c>
      <c r="B29" s="89">
        <f>ROUND(B23*$C$4,2)</f>
        <v>46.5</v>
      </c>
      <c r="C29" s="89">
        <f>ROUND(C23*$C$4,2)</f>
        <v>48.92</v>
      </c>
      <c r="D29" s="89">
        <f>ROUND(D23*$C$4,2)</f>
        <v>48.92</v>
      </c>
      <c r="E29" s="89">
        <f>ROUND(E23*$C$5,2)</f>
        <v>48.92</v>
      </c>
      <c r="F29" s="89">
        <f>ROUND(F23*$C$5,2)</f>
        <v>51.12</v>
      </c>
      <c r="G29" s="89">
        <f>ROUND(G23*$C$5,2)</f>
        <v>51.12</v>
      </c>
      <c r="H29" s="89">
        <f>ROUND(H23*$C$6,2)</f>
        <v>51.12</v>
      </c>
      <c r="I29" s="89">
        <f>ROUND(I23*$C$6,2)</f>
        <v>53.33</v>
      </c>
      <c r="J29" s="89">
        <f>ROUND(J23*$C$6,2)</f>
        <v>53.33</v>
      </c>
      <c r="K29" s="89">
        <f>ROUND(K23*$C$7,2)</f>
        <v>53.33</v>
      </c>
      <c r="L29" s="89">
        <f>ROUND(L23*$C$7,2)</f>
        <v>55.57</v>
      </c>
      <c r="M29" s="89">
        <f>ROUND(M23*$C$7,2)</f>
        <v>55.57</v>
      </c>
      <c r="N29" s="93"/>
      <c r="O29" s="91">
        <f>SUM(B29:M29)</f>
        <v>617.75</v>
      </c>
    </row>
    <row r="30" spans="1:15" x14ac:dyDescent="0.2">
      <c r="A30" s="78" t="s">
        <v>27</v>
      </c>
      <c r="B30" s="118">
        <f>'CAM 2020'!M30+'CAM 2021'!B29</f>
        <v>4070.5299999999993</v>
      </c>
      <c r="C30" s="119">
        <f>B30+C29</f>
        <v>4119.4499999999989</v>
      </c>
      <c r="D30" s="119">
        <f t="shared" ref="D30" si="10">C30+D29</f>
        <v>4168.369999999999</v>
      </c>
      <c r="E30" s="119">
        <f t="shared" ref="E30" si="11">D30+E29</f>
        <v>4217.2899999999991</v>
      </c>
      <c r="F30" s="119">
        <f t="shared" ref="F30" si="12">E30+F29</f>
        <v>4268.4099999999989</v>
      </c>
      <c r="G30" s="119">
        <f>F30+G29</f>
        <v>4319.5299999999988</v>
      </c>
      <c r="H30" s="119">
        <f>G30+H29</f>
        <v>4370.6499999999987</v>
      </c>
      <c r="I30" s="119">
        <f t="shared" ref="I30" si="13">H30+I29</f>
        <v>4423.9799999999987</v>
      </c>
      <c r="J30" s="119">
        <f t="shared" ref="J30" si="14">I30+J29</f>
        <v>4477.3099999999986</v>
      </c>
      <c r="K30" s="119">
        <f t="shared" ref="K30" si="15">J30+K29</f>
        <v>4530.6399999999985</v>
      </c>
      <c r="L30" s="119">
        <f t="shared" ref="L30" si="16">K30+L29</f>
        <v>4586.2099999999982</v>
      </c>
      <c r="M30" s="119">
        <f t="shared" ref="M30" si="17">L30+M29</f>
        <v>4641.7799999999979</v>
      </c>
      <c r="N30" s="94"/>
      <c r="O30" s="96"/>
    </row>
    <row r="31" spans="1:15" x14ac:dyDescent="0.2">
      <c r="A31" s="8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</row>
    <row r="32" spans="1:15" x14ac:dyDescent="0.2">
      <c r="A32" s="63" t="s">
        <v>191</v>
      </c>
      <c r="B32" s="120" t="s">
        <v>10</v>
      </c>
      <c r="C32" s="120" t="s">
        <v>11</v>
      </c>
      <c r="D32" s="120" t="s">
        <v>12</v>
      </c>
      <c r="E32" s="120" t="s">
        <v>13</v>
      </c>
      <c r="F32" s="120" t="s">
        <v>14</v>
      </c>
      <c r="G32" s="120" t="s">
        <v>15</v>
      </c>
      <c r="H32" s="120" t="s">
        <v>16</v>
      </c>
      <c r="I32" s="120" t="s">
        <v>17</v>
      </c>
      <c r="J32" s="120" t="s">
        <v>18</v>
      </c>
      <c r="K32" s="120" t="s">
        <v>19</v>
      </c>
      <c r="L32" s="120" t="s">
        <v>20</v>
      </c>
      <c r="M32" s="120" t="s">
        <v>21</v>
      </c>
      <c r="N32" s="97" t="s">
        <v>22</v>
      </c>
      <c r="O32" s="98"/>
    </row>
    <row r="33" spans="1:15" x14ac:dyDescent="0.2">
      <c r="A33" s="67" t="s">
        <v>29</v>
      </c>
      <c r="B33" s="90"/>
      <c r="C33" s="90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1"/>
    </row>
    <row r="34" spans="1:15" x14ac:dyDescent="0.2">
      <c r="A34" s="69" t="s">
        <v>23</v>
      </c>
      <c r="B34" s="115">
        <v>-88791</v>
      </c>
      <c r="C34" s="116">
        <f>B38</f>
        <v>-93521</v>
      </c>
      <c r="D34" s="116">
        <f>C38</f>
        <v>-93521</v>
      </c>
      <c r="E34" s="116">
        <f t="shared" ref="E34:F34" si="18">D38</f>
        <v>-93521</v>
      </c>
      <c r="F34" s="116">
        <f t="shared" si="18"/>
        <v>-98734</v>
      </c>
      <c r="G34" s="116">
        <f>F38</f>
        <v>-98734</v>
      </c>
      <c r="H34" s="89">
        <f t="shared" ref="H34:M34" si="19">G38</f>
        <v>-98734</v>
      </c>
      <c r="I34" s="89">
        <f t="shared" si="19"/>
        <v>-103890</v>
      </c>
      <c r="J34" s="89">
        <f t="shared" si="19"/>
        <v>-103890</v>
      </c>
      <c r="K34" s="89">
        <f t="shared" si="19"/>
        <v>-103890</v>
      </c>
      <c r="L34" s="89">
        <f t="shared" si="19"/>
        <v>-109017</v>
      </c>
      <c r="M34" s="89">
        <f t="shared" si="19"/>
        <v>-109017</v>
      </c>
      <c r="N34" s="90"/>
      <c r="O34" s="91"/>
    </row>
    <row r="35" spans="1:15" x14ac:dyDescent="0.2">
      <c r="A35" s="69" t="s">
        <v>24</v>
      </c>
      <c r="B35" s="109">
        <v>-4730</v>
      </c>
      <c r="C35" s="109"/>
      <c r="D35" s="109"/>
      <c r="E35" s="109">
        <v>-5213</v>
      </c>
      <c r="F35" s="109"/>
      <c r="G35" s="109"/>
      <c r="H35" s="109">
        <v>-5156</v>
      </c>
      <c r="I35" s="109"/>
      <c r="J35" s="109"/>
      <c r="K35" s="109">
        <v>-5127</v>
      </c>
      <c r="L35" s="109"/>
      <c r="M35" s="109"/>
      <c r="N35" s="93"/>
      <c r="O35" s="91">
        <f>SUM(B35:M35)</f>
        <v>-20226</v>
      </c>
    </row>
    <row r="36" spans="1:15" x14ac:dyDescent="0.2">
      <c r="A36" s="69" t="s">
        <v>25</v>
      </c>
      <c r="B36" s="116"/>
      <c r="C36" s="116"/>
      <c r="D36" s="116"/>
      <c r="E36" s="116"/>
      <c r="F36" s="116"/>
      <c r="G36" s="116"/>
      <c r="H36" s="89"/>
      <c r="I36" s="89"/>
      <c r="J36" s="89"/>
      <c r="K36" s="89"/>
      <c r="L36" s="89"/>
      <c r="M36" s="89"/>
      <c r="N36" s="90"/>
      <c r="O36" s="91"/>
    </row>
    <row r="37" spans="1:15" x14ac:dyDescent="0.2">
      <c r="A37" s="69"/>
      <c r="B37" s="116"/>
      <c r="C37" s="116"/>
      <c r="D37" s="116"/>
      <c r="E37" s="116"/>
      <c r="F37" s="116"/>
      <c r="G37" s="116"/>
      <c r="H37" s="89"/>
      <c r="I37" s="89"/>
      <c r="J37" s="89"/>
      <c r="K37" s="89"/>
      <c r="L37" s="89"/>
      <c r="M37" s="89"/>
      <c r="N37" s="90"/>
      <c r="O37" s="91"/>
    </row>
    <row r="38" spans="1:15" x14ac:dyDescent="0.2">
      <c r="A38" s="87" t="s">
        <v>30</v>
      </c>
      <c r="B38" s="117">
        <f>SUM(B34:B36)</f>
        <v>-93521</v>
      </c>
      <c r="C38" s="117">
        <f>SUM(C34:C36)</f>
        <v>-93521</v>
      </c>
      <c r="D38" s="117">
        <f t="shared" ref="D38:M38" si="20">SUM(D34:D36)</f>
        <v>-93521</v>
      </c>
      <c r="E38" s="117">
        <f t="shared" si="20"/>
        <v>-98734</v>
      </c>
      <c r="F38" s="117">
        <f t="shared" si="20"/>
        <v>-98734</v>
      </c>
      <c r="G38" s="117">
        <f t="shared" si="20"/>
        <v>-98734</v>
      </c>
      <c r="H38" s="117">
        <f t="shared" si="20"/>
        <v>-103890</v>
      </c>
      <c r="I38" s="117">
        <f t="shared" si="20"/>
        <v>-103890</v>
      </c>
      <c r="J38" s="117">
        <f t="shared" si="20"/>
        <v>-103890</v>
      </c>
      <c r="K38" s="117">
        <f t="shared" si="20"/>
        <v>-109017</v>
      </c>
      <c r="L38" s="117">
        <f t="shared" si="20"/>
        <v>-109017</v>
      </c>
      <c r="M38" s="117">
        <f t="shared" si="20"/>
        <v>-109017</v>
      </c>
      <c r="N38" s="90"/>
      <c r="O38" s="91"/>
    </row>
    <row r="39" spans="1:15" x14ac:dyDescent="0.2">
      <c r="A39" s="67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90"/>
      <c r="O39" s="91"/>
    </row>
    <row r="40" spans="1:15" x14ac:dyDescent="0.2">
      <c r="A40" s="73" t="s">
        <v>26</v>
      </c>
      <c r="B40" s="89">
        <f>ROUND(B34*$C$4,2)</f>
        <v>-42.18</v>
      </c>
      <c r="C40" s="89">
        <f>ROUND(C34*$C$4,2)</f>
        <v>-44.42</v>
      </c>
      <c r="D40" s="89">
        <f>ROUND(D34*$C$4,2)</f>
        <v>-44.42</v>
      </c>
      <c r="E40" s="89">
        <f>ROUND(E34*$C$5,2)</f>
        <v>-44.42</v>
      </c>
      <c r="F40" s="89">
        <f>ROUND(F34*$C$5,2)</f>
        <v>-46.9</v>
      </c>
      <c r="G40" s="89">
        <f>ROUND(G34*$C$5,2)</f>
        <v>-46.9</v>
      </c>
      <c r="H40" s="89">
        <f>ROUND(H34*$C$6,2)</f>
        <v>-46.9</v>
      </c>
      <c r="I40" s="89">
        <f>ROUND(I34*$C$6,2)</f>
        <v>-49.35</v>
      </c>
      <c r="J40" s="89">
        <f>ROUND(J34*$C$6,2)</f>
        <v>-49.35</v>
      </c>
      <c r="K40" s="89">
        <f>ROUND(K34*$C$7,2)</f>
        <v>-49.35</v>
      </c>
      <c r="L40" s="89">
        <f>ROUND(L34*$C$7,2)</f>
        <v>-51.78</v>
      </c>
      <c r="M40" s="89">
        <f>ROUND(M34*$C$7,2)</f>
        <v>-51.78</v>
      </c>
      <c r="N40" s="93"/>
      <c r="O40" s="91">
        <f>SUM(B40:M40)</f>
        <v>-567.75</v>
      </c>
    </row>
    <row r="41" spans="1:15" x14ac:dyDescent="0.2">
      <c r="A41" s="78" t="s">
        <v>27</v>
      </c>
      <c r="B41" s="118">
        <f>B40+-3565.22</f>
        <v>-3607.3999999999996</v>
      </c>
      <c r="C41" s="119">
        <f>B41+C40</f>
        <v>-3651.8199999999997</v>
      </c>
      <c r="D41" s="119">
        <f t="shared" ref="D41:F41" si="21">C41+D40</f>
        <v>-3696.24</v>
      </c>
      <c r="E41" s="119">
        <f t="shared" si="21"/>
        <v>-3740.66</v>
      </c>
      <c r="F41" s="119">
        <f t="shared" si="21"/>
        <v>-3787.56</v>
      </c>
      <c r="G41" s="119">
        <f>F41+G40</f>
        <v>-3834.46</v>
      </c>
      <c r="H41" s="119">
        <f>G41+H40</f>
        <v>-3881.36</v>
      </c>
      <c r="I41" s="119">
        <f t="shared" ref="I41:M41" si="22">H41+I40</f>
        <v>-3930.71</v>
      </c>
      <c r="J41" s="119">
        <f t="shared" si="22"/>
        <v>-3980.06</v>
      </c>
      <c r="K41" s="119">
        <f t="shared" si="22"/>
        <v>-4029.41</v>
      </c>
      <c r="L41" s="119">
        <f t="shared" si="22"/>
        <v>-4081.19</v>
      </c>
      <c r="M41" s="119">
        <f t="shared" si="22"/>
        <v>-4132.97</v>
      </c>
      <c r="N41" s="94"/>
      <c r="O41" s="96"/>
    </row>
    <row r="42" spans="1:15" x14ac:dyDescent="0.2">
      <c r="A42" s="8"/>
      <c r="B42" s="111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</row>
    <row r="43" spans="1:15" hidden="1" x14ac:dyDescent="0.2">
      <c r="A43" s="8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0"/>
    </row>
    <row r="44" spans="1:15" hidden="1" x14ac:dyDescent="0.2"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0"/>
    </row>
    <row r="45" spans="1:15" hidden="1" x14ac:dyDescent="0.2">
      <c r="A45" s="13"/>
      <c r="B45" s="121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</row>
    <row r="46" spans="1:15" hidden="1" x14ac:dyDescent="0.2">
      <c r="A46" s="13"/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93"/>
      <c r="O46" s="90"/>
    </row>
    <row r="47" spans="1:15" hidden="1" x14ac:dyDescent="0.2">
      <c r="A47" s="13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</row>
    <row r="48" spans="1:15" hidden="1" x14ac:dyDescent="0.2">
      <c r="A48" s="13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</row>
    <row r="49" spans="1:15" hidden="1" x14ac:dyDescent="0.2">
      <c r="A49" s="42"/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90"/>
      <c r="O49" s="90"/>
    </row>
    <row r="50" spans="1:15" hidden="1" x14ac:dyDescent="0.2"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</row>
    <row r="51" spans="1:15" hidden="1" x14ac:dyDescent="0.2">
      <c r="A51" s="8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3"/>
      <c r="O51" s="90"/>
    </row>
    <row r="52" spans="1:15" hidden="1" x14ac:dyDescent="0.2">
      <c r="B52" s="123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90"/>
      <c r="O52" s="90"/>
    </row>
    <row r="53" spans="1:15" x14ac:dyDescent="0.2">
      <c r="A53" s="8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</row>
    <row r="54" spans="1:15" s="8" customFormat="1" x14ac:dyDescent="0.2">
      <c r="A54" s="88" t="s">
        <v>31</v>
      </c>
      <c r="B54" s="125">
        <f>+B27+B30+B38+B41</f>
        <v>9941.1299999999992</v>
      </c>
      <c r="C54" s="125">
        <f t="shared" ref="C54:M54" si="23">+C27+C30+C38+C41</f>
        <v>9945.6299999999974</v>
      </c>
      <c r="D54" s="125">
        <f t="shared" si="23"/>
        <v>9950.1299999999956</v>
      </c>
      <c r="E54" s="125">
        <f t="shared" si="23"/>
        <v>9354.6299999999937</v>
      </c>
      <c r="F54" s="125">
        <f t="shared" si="23"/>
        <v>9358.850000000004</v>
      </c>
      <c r="G54" s="125">
        <f t="shared" si="23"/>
        <v>9363.07</v>
      </c>
      <c r="H54" s="125">
        <f t="shared" si="23"/>
        <v>8881.2899999999936</v>
      </c>
      <c r="I54" s="125">
        <f t="shared" si="23"/>
        <v>8885.2699999999968</v>
      </c>
      <c r="J54" s="125">
        <f t="shared" si="23"/>
        <v>8889.2499999999982</v>
      </c>
      <c r="K54" s="125">
        <f t="shared" si="23"/>
        <v>8465.23</v>
      </c>
      <c r="L54" s="125">
        <f t="shared" si="23"/>
        <v>8469.0199999999913</v>
      </c>
      <c r="M54" s="125">
        <f t="shared" si="23"/>
        <v>8472.8099999999977</v>
      </c>
      <c r="N54" s="126"/>
      <c r="O54" s="127"/>
    </row>
    <row r="55" spans="1:15" x14ac:dyDescent="0.2">
      <c r="A55" s="8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</row>
    <row r="56" spans="1:15" ht="13.5" hidden="1" thickBot="1" x14ac:dyDescent="0.25">
      <c r="A56" s="8"/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90"/>
      <c r="O56" s="90"/>
    </row>
    <row r="57" spans="1:15" ht="13.5" hidden="1" thickTop="1" x14ac:dyDescent="0.2">
      <c r="A57" s="44"/>
      <c r="B57" s="129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90"/>
      <c r="O57" s="90"/>
    </row>
    <row r="58" spans="1:15" x14ac:dyDescent="0.2"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</row>
    <row r="59" spans="1:15" hidden="1" x14ac:dyDescent="0.2"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</row>
    <row r="60" spans="1:15" hidden="1" x14ac:dyDescent="0.2"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</row>
    <row r="61" spans="1:15" hidden="1" x14ac:dyDescent="0.2">
      <c r="A61" s="18"/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</row>
    <row r="62" spans="1:15" hidden="1" x14ac:dyDescent="0.2">
      <c r="A62" s="18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</row>
    <row r="63" spans="1:15" hidden="1" x14ac:dyDescent="0.2"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</row>
    <row r="64" spans="1:15" hidden="1" x14ac:dyDescent="0.2"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</row>
    <row r="65" spans="1:15" hidden="1" x14ac:dyDescent="0.2"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</row>
    <row r="66" spans="1:15" hidden="1" x14ac:dyDescent="0.2"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</row>
    <row r="67" spans="1:15" hidden="1" x14ac:dyDescent="0.2"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</row>
    <row r="68" spans="1:15" hidden="1" x14ac:dyDescent="0.2"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</row>
    <row r="69" spans="1:15" hidden="1" x14ac:dyDescent="0.2">
      <c r="B69" s="90"/>
      <c r="C69" s="90"/>
      <c r="D69" s="90"/>
      <c r="E69" s="90"/>
      <c r="F69" s="90"/>
      <c r="G69" s="90"/>
      <c r="H69" s="130"/>
      <c r="I69" s="90"/>
      <c r="J69" s="90"/>
      <c r="K69" s="90"/>
      <c r="L69" s="90"/>
      <c r="M69" s="90"/>
      <c r="N69" s="90"/>
      <c r="O69" s="90"/>
    </row>
    <row r="70" spans="1:15" hidden="1" x14ac:dyDescent="0.2"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</row>
    <row r="71" spans="1:15" hidden="1" x14ac:dyDescent="0.2"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</row>
    <row r="72" spans="1:15" x14ac:dyDescent="0.2">
      <c r="A72" s="22"/>
      <c r="B72" s="131"/>
      <c r="C72" s="131"/>
      <c r="D72" s="131"/>
      <c r="E72" s="131"/>
      <c r="F72" s="131"/>
      <c r="G72" s="131"/>
      <c r="H72" s="131"/>
      <c r="I72" s="131"/>
      <c r="J72" s="90"/>
      <c r="K72" s="90"/>
      <c r="L72" s="90"/>
      <c r="M72" s="90"/>
      <c r="N72" s="90"/>
      <c r="O72" s="90"/>
    </row>
    <row r="73" spans="1:15" x14ac:dyDescent="0.2">
      <c r="A73" s="2" t="s">
        <v>0</v>
      </c>
      <c r="B73" s="61"/>
      <c r="C73" s="61"/>
      <c r="D73" s="105">
        <f>'CAM 2020'!D72</f>
        <v>7837</v>
      </c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90"/>
    </row>
    <row r="74" spans="1:15" x14ac:dyDescent="0.2">
      <c r="A74" s="2" t="s">
        <v>143</v>
      </c>
      <c r="B74" s="105">
        <f>'OEB costs'!F21</f>
        <v>12933</v>
      </c>
      <c r="C74" s="61"/>
      <c r="D74" s="105">
        <f>'OEB costs'!F22</f>
        <v>12450</v>
      </c>
      <c r="E74" s="61"/>
      <c r="F74" s="61"/>
      <c r="G74" s="105">
        <v>12507</v>
      </c>
      <c r="H74" s="61"/>
      <c r="I74" s="61"/>
      <c r="J74" s="105">
        <f>'OEB costs'!F24</f>
        <v>12536</v>
      </c>
      <c r="K74" s="61"/>
      <c r="L74" s="61"/>
      <c r="M74" s="61"/>
      <c r="N74" s="106" t="s">
        <v>190</v>
      </c>
      <c r="O74" s="90"/>
    </row>
    <row r="75" spans="1:15" x14ac:dyDescent="0.2">
      <c r="A75" s="63" t="s">
        <v>41</v>
      </c>
      <c r="B75" s="107" t="s">
        <v>147</v>
      </c>
      <c r="C75" s="107" t="s">
        <v>148</v>
      </c>
      <c r="D75" s="107" t="s">
        <v>147</v>
      </c>
      <c r="E75" s="107" t="s">
        <v>148</v>
      </c>
      <c r="F75" s="107"/>
      <c r="G75" s="107" t="s">
        <v>147</v>
      </c>
      <c r="H75" s="107" t="s">
        <v>148</v>
      </c>
      <c r="I75" s="107"/>
      <c r="J75" s="107" t="s">
        <v>147</v>
      </c>
      <c r="K75" s="107" t="s">
        <v>148</v>
      </c>
      <c r="L75" s="107"/>
      <c r="M75" s="107"/>
      <c r="N75" s="81"/>
      <c r="O75" s="90"/>
    </row>
    <row r="76" spans="1:15" x14ac:dyDescent="0.2">
      <c r="A76" s="67" t="s">
        <v>1</v>
      </c>
      <c r="B76" s="61">
        <f>C78</f>
        <v>12933</v>
      </c>
      <c r="C76" s="61"/>
      <c r="D76" s="61">
        <f>E78</f>
        <v>12450</v>
      </c>
      <c r="E76" s="61"/>
      <c r="F76" s="61"/>
      <c r="G76" s="61">
        <f>H78</f>
        <v>12507</v>
      </c>
      <c r="H76" s="61"/>
      <c r="I76" s="61"/>
      <c r="J76" s="61">
        <f>K78</f>
        <v>12536</v>
      </c>
      <c r="K76" s="61"/>
      <c r="L76" s="61"/>
      <c r="M76" s="61"/>
      <c r="N76" s="77">
        <f>SUM(B76:M76)</f>
        <v>50426</v>
      </c>
      <c r="O76" s="90"/>
    </row>
    <row r="77" spans="1:15" x14ac:dyDescent="0.2">
      <c r="A77" s="67" t="s">
        <v>2</v>
      </c>
      <c r="B77" s="61"/>
      <c r="C77" s="61">
        <f>C78-$D73</f>
        <v>5096</v>
      </c>
      <c r="D77" s="61"/>
      <c r="E77" s="61">
        <f>E78-$D73</f>
        <v>4613</v>
      </c>
      <c r="F77" s="61"/>
      <c r="G77" s="61"/>
      <c r="H77" s="61">
        <f>H78-$D73</f>
        <v>4670</v>
      </c>
      <c r="I77" s="61"/>
      <c r="J77" s="61"/>
      <c r="K77" s="61">
        <f>K78-$D73</f>
        <v>4699</v>
      </c>
      <c r="L77" s="61"/>
      <c r="M77" s="61"/>
      <c r="N77" s="77">
        <f>-SUM(B77:M77)</f>
        <v>-19078</v>
      </c>
      <c r="O77" s="90"/>
    </row>
    <row r="78" spans="1:15" x14ac:dyDescent="0.2">
      <c r="A78" s="67" t="s">
        <v>145</v>
      </c>
      <c r="B78" s="61"/>
      <c r="C78" s="61">
        <f>B74</f>
        <v>12933</v>
      </c>
      <c r="D78" s="61"/>
      <c r="E78" s="61">
        <f>D74</f>
        <v>12450</v>
      </c>
      <c r="F78" s="61"/>
      <c r="G78" s="61"/>
      <c r="H78" s="61">
        <f>G74</f>
        <v>12507</v>
      </c>
      <c r="I78" s="61"/>
      <c r="J78" s="61"/>
      <c r="K78" s="61">
        <f>J74</f>
        <v>12536</v>
      </c>
      <c r="L78" s="61"/>
      <c r="M78" s="61"/>
      <c r="N78" s="77">
        <f>-SUM(B78:M78)</f>
        <v>-50426</v>
      </c>
      <c r="O78" s="90"/>
    </row>
    <row r="79" spans="1:15" x14ac:dyDescent="0.2">
      <c r="A79" s="78" t="s">
        <v>29</v>
      </c>
      <c r="B79" s="108">
        <f>C77</f>
        <v>5096</v>
      </c>
      <c r="C79" s="108"/>
      <c r="D79" s="108">
        <f>E77</f>
        <v>4613</v>
      </c>
      <c r="E79" s="108"/>
      <c r="F79" s="108"/>
      <c r="G79" s="108">
        <f>H77</f>
        <v>4670</v>
      </c>
      <c r="H79" s="108"/>
      <c r="I79" s="108"/>
      <c r="J79" s="108">
        <f>K77</f>
        <v>4699</v>
      </c>
      <c r="K79" s="108"/>
      <c r="L79" s="108"/>
      <c r="M79" s="108"/>
      <c r="N79" s="80">
        <f t="shared" ref="N79" si="24">SUM(B79:M79)</f>
        <v>19078</v>
      </c>
      <c r="O79" s="90"/>
    </row>
    <row r="80" spans="1:15" x14ac:dyDescent="0.2"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90"/>
    </row>
    <row r="81" spans="1:15" x14ac:dyDescent="0.2">
      <c r="A81" s="63" t="s">
        <v>40</v>
      </c>
      <c r="B81" s="107" t="s">
        <v>147</v>
      </c>
      <c r="C81" s="107" t="s">
        <v>148</v>
      </c>
      <c r="D81" s="107" t="s">
        <v>147</v>
      </c>
      <c r="E81" s="107" t="s">
        <v>148</v>
      </c>
      <c r="F81" s="107"/>
      <c r="G81" s="107" t="s">
        <v>147</v>
      </c>
      <c r="H81" s="107" t="s">
        <v>148</v>
      </c>
      <c r="I81" s="107"/>
      <c r="J81" s="107" t="s">
        <v>147</v>
      </c>
      <c r="K81" s="107" t="s">
        <v>148</v>
      </c>
      <c r="L81" s="107"/>
      <c r="M81" s="107"/>
      <c r="N81" s="81"/>
      <c r="O81" s="90"/>
    </row>
    <row r="82" spans="1:15" x14ac:dyDescent="0.2">
      <c r="A82" s="67" t="s">
        <v>1</v>
      </c>
      <c r="B82" s="61">
        <v>17663</v>
      </c>
      <c r="C82" s="61"/>
      <c r="D82" s="61">
        <v>17663</v>
      </c>
      <c r="E82" s="61"/>
      <c r="F82" s="61"/>
      <c r="G82" s="61">
        <v>17663</v>
      </c>
      <c r="H82" s="61"/>
      <c r="I82" s="61"/>
      <c r="J82" s="61">
        <v>17663</v>
      </c>
      <c r="K82" s="61"/>
      <c r="L82" s="61"/>
      <c r="M82" s="61"/>
      <c r="N82" s="77">
        <f t="shared" ref="N82:N86" si="25">SUM(B82:M82)</f>
        <v>70652</v>
      </c>
      <c r="O82" s="90"/>
    </row>
    <row r="83" spans="1:15" x14ac:dyDescent="0.2">
      <c r="A83" s="67" t="s">
        <v>29</v>
      </c>
      <c r="B83" s="61"/>
      <c r="C83" s="61">
        <f>B82-C84</f>
        <v>4730</v>
      </c>
      <c r="D83" s="61"/>
      <c r="E83" s="61">
        <f>D82-E84</f>
        <v>5213</v>
      </c>
      <c r="F83" s="61"/>
      <c r="G83" s="61"/>
      <c r="H83" s="61">
        <f>G82-H84</f>
        <v>5156</v>
      </c>
      <c r="I83" s="61"/>
      <c r="J83" s="61"/>
      <c r="K83" s="61">
        <f>J82-K84</f>
        <v>5127</v>
      </c>
      <c r="L83" s="61"/>
      <c r="M83" s="61"/>
      <c r="N83" s="77">
        <f>-SUM(B83:M83)</f>
        <v>-20226</v>
      </c>
      <c r="O83" s="90"/>
    </row>
    <row r="84" spans="1:15" x14ac:dyDescent="0.2">
      <c r="A84" s="67" t="s">
        <v>145</v>
      </c>
      <c r="B84" s="61"/>
      <c r="C84" s="61">
        <f>B74</f>
        <v>12933</v>
      </c>
      <c r="D84" s="61"/>
      <c r="E84" s="61">
        <f>D74</f>
        <v>12450</v>
      </c>
      <c r="F84" s="61"/>
      <c r="G84" s="61"/>
      <c r="H84" s="61">
        <f>G74</f>
        <v>12507</v>
      </c>
      <c r="I84" s="61"/>
      <c r="J84" s="61"/>
      <c r="K84" s="61">
        <f>J74</f>
        <v>12536</v>
      </c>
      <c r="L84" s="61"/>
      <c r="M84" s="61"/>
      <c r="N84" s="77">
        <f>-SUM(B84:M84)</f>
        <v>-50426</v>
      </c>
      <c r="O84" s="90"/>
    </row>
    <row r="85" spans="1:15" x14ac:dyDescent="0.2">
      <c r="A85" s="67" t="s">
        <v>1</v>
      </c>
      <c r="B85" s="61"/>
      <c r="C85" s="61">
        <f>C83</f>
        <v>4730</v>
      </c>
      <c r="D85" s="61"/>
      <c r="E85" s="61">
        <f>E83</f>
        <v>5213</v>
      </c>
      <c r="F85" s="61"/>
      <c r="G85" s="61"/>
      <c r="H85" s="61">
        <f>H83</f>
        <v>5156</v>
      </c>
      <c r="I85" s="61"/>
      <c r="J85" s="61"/>
      <c r="K85" s="61">
        <f>K83</f>
        <v>5127</v>
      </c>
      <c r="L85" s="61"/>
      <c r="M85" s="61"/>
      <c r="N85" s="77">
        <f>-SUM(B85:M85)</f>
        <v>-20226</v>
      </c>
      <c r="O85" s="90"/>
    </row>
    <row r="86" spans="1:15" x14ac:dyDescent="0.2">
      <c r="A86" s="78" t="s">
        <v>2</v>
      </c>
      <c r="B86" s="108">
        <f>C85</f>
        <v>4730</v>
      </c>
      <c r="C86" s="108"/>
      <c r="D86" s="108">
        <f>E85</f>
        <v>5213</v>
      </c>
      <c r="E86" s="108"/>
      <c r="F86" s="108"/>
      <c r="G86" s="108">
        <f>H85</f>
        <v>5156</v>
      </c>
      <c r="H86" s="108"/>
      <c r="I86" s="108"/>
      <c r="J86" s="108">
        <f>K85</f>
        <v>5127</v>
      </c>
      <c r="K86" s="108"/>
      <c r="L86" s="108"/>
      <c r="M86" s="108"/>
      <c r="N86" s="80">
        <f t="shared" si="25"/>
        <v>20226</v>
      </c>
      <c r="O86" s="90"/>
    </row>
    <row r="87" spans="1:15" x14ac:dyDescent="0.2">
      <c r="B87" s="90"/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</row>
    <row r="88" spans="1:15" x14ac:dyDescent="0.2">
      <c r="A88" s="63" t="s">
        <v>188</v>
      </c>
      <c r="B88" s="104"/>
      <c r="C88" s="104"/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98"/>
      <c r="O88" s="90"/>
    </row>
    <row r="89" spans="1:15" x14ac:dyDescent="0.2">
      <c r="A89" s="67" t="s">
        <v>36</v>
      </c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1">
        <f>O29</f>
        <v>617.75</v>
      </c>
      <c r="O89" s="90"/>
    </row>
    <row r="90" spans="1:15" x14ac:dyDescent="0.2">
      <c r="A90" s="78" t="s">
        <v>35</v>
      </c>
      <c r="B90" s="94"/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6">
        <f>-N89</f>
        <v>-617.75</v>
      </c>
      <c r="O90" s="90"/>
    </row>
    <row r="91" spans="1:15" x14ac:dyDescent="0.2"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</row>
    <row r="92" spans="1:15" x14ac:dyDescent="0.2">
      <c r="A92" s="63" t="s">
        <v>189</v>
      </c>
      <c r="B92" s="104"/>
      <c r="C92" s="104"/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98"/>
      <c r="O92" s="90"/>
    </row>
    <row r="93" spans="1:15" x14ac:dyDescent="0.2">
      <c r="A93" s="67" t="s">
        <v>36</v>
      </c>
      <c r="B93" s="90"/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1">
        <f>O40</f>
        <v>-567.75</v>
      </c>
      <c r="O93" s="90"/>
    </row>
    <row r="94" spans="1:15" x14ac:dyDescent="0.2">
      <c r="A94" s="78" t="s">
        <v>37</v>
      </c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6">
        <f>-N93</f>
        <v>567.75</v>
      </c>
      <c r="O94" s="90"/>
    </row>
  </sheetData>
  <mergeCells count="1">
    <mergeCell ref="B9:N9"/>
  </mergeCells>
  <hyperlinks>
    <hyperlink ref="E5" r:id="rId1" display="https://www.oeb.ca/industry/rules-codes-and-requirements/prescribed-interest-rates" xr:uid="{E75BA0A5-589D-4CB8-81AE-C11E05AEFDF8}"/>
  </hyperlinks>
  <printOptions horizontalCentered="1"/>
  <pageMargins left="0" right="0" top="0.98425196850393704" bottom="0.98425196850393704" header="0.51181102362204722" footer="0.51181102362204722"/>
  <pageSetup scale="70" fitToWidth="0" orientation="landscape" r:id="rId2"/>
  <headerFooter alignWithMargins="0">
    <oddHeader>&amp;C&amp;A</oddHeader>
    <oddFooter>&amp;L&amp;Z&amp;F&amp;R&amp;D</oddFooter>
  </headerFooter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8C8A0-DFA4-4CA6-AA80-2C7CF7BA61CF}">
  <sheetPr>
    <tabColor rgb="FF00B050"/>
    <pageSetUpPr fitToPage="1"/>
  </sheetPr>
  <dimension ref="A1:AB134"/>
  <sheetViews>
    <sheetView zoomScale="110" zoomScaleNormal="110" workbookViewId="0">
      <selection activeCell="M23" sqref="M23:M64"/>
    </sheetView>
  </sheetViews>
  <sheetFormatPr defaultColWidth="9.140625" defaultRowHeight="12.75" x14ac:dyDescent="0.2"/>
  <cols>
    <col min="1" max="1" width="36.7109375" style="2" customWidth="1"/>
    <col min="2" max="2" width="12.140625" style="2" customWidth="1"/>
    <col min="3" max="3" width="11.85546875" style="2" customWidth="1"/>
    <col min="4" max="5" width="12.28515625" style="2" customWidth="1"/>
    <col min="6" max="6" width="12.7109375" style="2" customWidth="1"/>
    <col min="7" max="7" width="12.140625" style="2" customWidth="1"/>
    <col min="8" max="8" width="15.85546875" style="2" customWidth="1"/>
    <col min="9" max="9" width="12.28515625" style="2" bestFit="1" customWidth="1"/>
    <col min="10" max="10" width="12" style="2" bestFit="1" customWidth="1"/>
    <col min="11" max="11" width="11.85546875" style="2" bestFit="1" customWidth="1"/>
    <col min="12" max="12" width="11.5703125" style="2" bestFit="1" customWidth="1"/>
    <col min="13" max="13" width="12" style="2" bestFit="1" customWidth="1"/>
    <col min="14" max="14" width="12.42578125" style="2" bestFit="1" customWidth="1"/>
    <col min="15" max="15" width="13.28515625" style="2" customWidth="1"/>
    <col min="16" max="16" width="16.28515625" style="2" customWidth="1"/>
    <col min="17" max="16384" width="9.140625" style="2"/>
  </cols>
  <sheetData>
    <row r="1" spans="1:15" ht="18.75" x14ac:dyDescent="0.3">
      <c r="A1" s="1" t="s">
        <v>3</v>
      </c>
      <c r="C1" s="1" t="s">
        <v>192</v>
      </c>
    </row>
    <row r="2" spans="1:15" ht="18.75" x14ac:dyDescent="0.3">
      <c r="A2" s="1" t="s">
        <v>4</v>
      </c>
      <c r="C2" s="1"/>
      <c r="F2" s="47"/>
    </row>
    <row r="3" spans="1:15" ht="6" customHeight="1" thickBot="1" x14ac:dyDescent="0.25">
      <c r="B3" s="6"/>
      <c r="C3" s="7"/>
    </row>
    <row r="4" spans="1:15" x14ac:dyDescent="0.2">
      <c r="A4" s="8" t="s">
        <v>6</v>
      </c>
      <c r="B4" s="23">
        <v>5.7000000000000002E-3</v>
      </c>
      <c r="C4" s="10">
        <f>B4/12</f>
        <v>4.75E-4</v>
      </c>
      <c r="E4" s="24" t="s">
        <v>38</v>
      </c>
      <c r="F4" s="25"/>
      <c r="G4" s="25"/>
      <c r="H4" s="26"/>
    </row>
    <row r="5" spans="1:15" x14ac:dyDescent="0.2">
      <c r="A5" s="8" t="s">
        <v>7</v>
      </c>
      <c r="B5" s="23">
        <v>1.0200000000000001E-2</v>
      </c>
      <c r="C5" s="10">
        <f>B5/12</f>
        <v>8.5000000000000006E-4</v>
      </c>
      <c r="E5" s="28" t="s">
        <v>39</v>
      </c>
      <c r="H5" s="29"/>
    </row>
    <row r="6" spans="1:15" ht="13.5" thickBot="1" x14ac:dyDescent="0.25">
      <c r="A6" s="8" t="s">
        <v>8</v>
      </c>
      <c r="B6" s="27">
        <v>2.1999999999999999E-2</v>
      </c>
      <c r="C6" s="10">
        <f>B6/12</f>
        <v>1.8333333333333333E-3</v>
      </c>
      <c r="E6" s="30"/>
      <c r="F6" s="31"/>
      <c r="G6" s="31"/>
      <c r="H6" s="32"/>
    </row>
    <row r="7" spans="1:15" x14ac:dyDescent="0.2">
      <c r="A7" s="8" t="s">
        <v>9</v>
      </c>
      <c r="B7" s="27">
        <v>3.8699999999999998E-2</v>
      </c>
      <c r="C7" s="10">
        <f>B7/12</f>
        <v>3.225E-3</v>
      </c>
    </row>
    <row r="8" spans="1:15" x14ac:dyDescent="0.2">
      <c r="B8" s="6"/>
      <c r="C8" s="7"/>
    </row>
    <row r="9" spans="1:15" s="34" customFormat="1" ht="12.75" customHeight="1" x14ac:dyDescent="0.25">
      <c r="A9" s="114"/>
      <c r="B9" s="139">
        <v>2022</v>
      </c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</row>
    <row r="10" spans="1:15" hidden="1" x14ac:dyDescent="0.2">
      <c r="A10" s="8"/>
      <c r="B10" s="35"/>
      <c r="C10" s="36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11"/>
    </row>
    <row r="11" spans="1:15" hidden="1" x14ac:dyDescent="0.2">
      <c r="C11" s="6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5" hidden="1" x14ac:dyDescent="0.2">
      <c r="A12" s="13"/>
      <c r="B12" s="48"/>
      <c r="C12" s="21"/>
      <c r="D12" s="21"/>
      <c r="E12" s="21"/>
      <c r="F12" s="15"/>
      <c r="G12" s="15"/>
      <c r="H12" s="15"/>
      <c r="I12" s="15"/>
      <c r="J12" s="15"/>
      <c r="K12" s="15"/>
      <c r="L12" s="15"/>
      <c r="M12" s="15"/>
    </row>
    <row r="13" spans="1:15" hidden="1" x14ac:dyDescent="0.2">
      <c r="A13" s="13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7"/>
      <c r="O13" s="18"/>
    </row>
    <row r="14" spans="1:15" hidden="1" x14ac:dyDescent="0.2">
      <c r="A14" s="13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8"/>
    </row>
    <row r="15" spans="1:15" hidden="1" x14ac:dyDescent="0.2">
      <c r="A15" s="13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5" hidden="1" x14ac:dyDescent="0.2">
      <c r="A16" s="38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18"/>
    </row>
    <row r="17" spans="1:15" hidden="1" x14ac:dyDescent="0.2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5" hidden="1" x14ac:dyDescent="0.2">
      <c r="A18" s="8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7"/>
      <c r="O18" s="18"/>
    </row>
    <row r="19" spans="1:15" hidden="1" x14ac:dyDescent="0.2">
      <c r="A19" s="8"/>
      <c r="B19" s="49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19"/>
    </row>
    <row r="20" spans="1:15" x14ac:dyDescent="0.2">
      <c r="A20" s="8"/>
      <c r="B20" s="21"/>
      <c r="C20" s="21"/>
      <c r="D20" s="21"/>
      <c r="E20" s="21"/>
      <c r="F20" s="21"/>
      <c r="G20" s="15"/>
      <c r="H20" s="15"/>
      <c r="I20" s="15"/>
      <c r="J20" s="15"/>
      <c r="K20" s="15"/>
      <c r="L20" s="15"/>
      <c r="M20" s="15"/>
      <c r="N20" s="19"/>
    </row>
    <row r="21" spans="1:15" x14ac:dyDescent="0.2">
      <c r="A21" s="63" t="s">
        <v>144</v>
      </c>
      <c r="B21" s="85" t="s">
        <v>10</v>
      </c>
      <c r="C21" s="86" t="s">
        <v>11</v>
      </c>
      <c r="D21" s="85" t="s">
        <v>12</v>
      </c>
      <c r="E21" s="85" t="s">
        <v>13</v>
      </c>
      <c r="F21" s="85" t="s">
        <v>14</v>
      </c>
      <c r="G21" s="85" t="s">
        <v>15</v>
      </c>
      <c r="H21" s="85" t="s">
        <v>16</v>
      </c>
      <c r="I21" s="85" t="s">
        <v>17</v>
      </c>
      <c r="J21" s="85" t="s">
        <v>18</v>
      </c>
      <c r="K21" s="85" t="s">
        <v>19</v>
      </c>
      <c r="L21" s="85" t="s">
        <v>20</v>
      </c>
      <c r="M21" s="85" t="s">
        <v>21</v>
      </c>
      <c r="N21" s="64" t="s">
        <v>22</v>
      </c>
      <c r="O21" s="66"/>
    </row>
    <row r="22" spans="1:15" x14ac:dyDescent="0.2">
      <c r="A22" s="67" t="s">
        <v>29</v>
      </c>
      <c r="C22" s="6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68"/>
    </row>
    <row r="23" spans="1:15" x14ac:dyDescent="0.2">
      <c r="A23" s="69" t="s">
        <v>23</v>
      </c>
      <c r="B23" s="132">
        <f>'CAM 2021'!M27</f>
        <v>116981</v>
      </c>
      <c r="C23" s="116">
        <f t="shared" ref="C23" si="0">B27</f>
        <v>121680</v>
      </c>
      <c r="D23" s="116">
        <f t="shared" ref="D23" si="1">C27</f>
        <v>121680</v>
      </c>
      <c r="E23" s="116">
        <f t="shared" ref="E23" si="2">D27</f>
        <v>121680</v>
      </c>
      <c r="F23" s="116">
        <f t="shared" ref="F23" si="3">E27</f>
        <v>121680</v>
      </c>
      <c r="G23" s="116">
        <f t="shared" ref="G23" si="4">F27</f>
        <v>128600</v>
      </c>
      <c r="H23" s="89">
        <f t="shared" ref="H23" si="5">G27</f>
        <v>128600</v>
      </c>
      <c r="I23" s="89">
        <f t="shared" ref="I23" si="6">H27</f>
        <v>135023</v>
      </c>
      <c r="J23" s="89">
        <f t="shared" ref="J23" si="7">I27</f>
        <v>135023</v>
      </c>
      <c r="K23" s="89">
        <f t="shared" ref="K23" si="8">J27</f>
        <v>135023</v>
      </c>
      <c r="L23" s="89">
        <f t="shared" ref="L23" si="9">K27</f>
        <v>141270</v>
      </c>
      <c r="M23" s="89">
        <f t="shared" ref="M23" si="10">L27</f>
        <v>141270</v>
      </c>
      <c r="N23" s="90"/>
      <c r="O23" s="91"/>
    </row>
    <row r="24" spans="1:15" x14ac:dyDescent="0.2">
      <c r="A24" s="69" t="s">
        <v>24</v>
      </c>
      <c r="B24" s="109">
        <f>B92</f>
        <v>4699</v>
      </c>
      <c r="C24" s="109"/>
      <c r="D24" s="109"/>
      <c r="E24" s="109"/>
      <c r="F24" s="109">
        <f>D92</f>
        <v>6920</v>
      </c>
      <c r="G24" s="109"/>
      <c r="H24" s="109">
        <f>G92</f>
        <v>6423</v>
      </c>
      <c r="I24" s="109"/>
      <c r="J24" s="109"/>
      <c r="K24" s="109">
        <f>J92</f>
        <v>6247</v>
      </c>
      <c r="L24" s="109"/>
      <c r="M24" s="109"/>
      <c r="N24" s="93"/>
      <c r="O24" s="91">
        <f>SUM(B24:M24)</f>
        <v>24289</v>
      </c>
    </row>
    <row r="25" spans="1:15" x14ac:dyDescent="0.2">
      <c r="A25" s="69" t="s">
        <v>25</v>
      </c>
      <c r="B25" s="116"/>
      <c r="C25" s="116"/>
      <c r="D25" s="116"/>
      <c r="E25" s="116"/>
      <c r="F25" s="116"/>
      <c r="G25" s="116"/>
      <c r="H25" s="89"/>
      <c r="I25" s="89"/>
      <c r="J25" s="89"/>
      <c r="K25" s="89"/>
      <c r="L25" s="89"/>
      <c r="M25" s="89"/>
      <c r="N25" s="90"/>
      <c r="O25" s="91"/>
    </row>
    <row r="26" spans="1:15" x14ac:dyDescent="0.2">
      <c r="A26" s="69"/>
      <c r="B26" s="116"/>
      <c r="C26" s="116"/>
      <c r="D26" s="116"/>
      <c r="E26" s="116"/>
      <c r="F26" s="116"/>
      <c r="G26" s="116"/>
      <c r="H26" s="89"/>
      <c r="I26" s="89"/>
      <c r="J26" s="89"/>
      <c r="K26" s="89"/>
      <c r="L26" s="89"/>
      <c r="M26" s="89"/>
      <c r="N26" s="90"/>
      <c r="O26" s="91"/>
    </row>
    <row r="27" spans="1:15" x14ac:dyDescent="0.2">
      <c r="A27" s="87" t="s">
        <v>30</v>
      </c>
      <c r="B27" s="117">
        <f>SUM(B23:B25)</f>
        <v>121680</v>
      </c>
      <c r="C27" s="117">
        <f>SUM(C23:C25)</f>
        <v>121680</v>
      </c>
      <c r="D27" s="117">
        <f t="shared" ref="D27:M27" si="11">SUM(D23:D25)</f>
        <v>121680</v>
      </c>
      <c r="E27" s="117">
        <f t="shared" si="11"/>
        <v>121680</v>
      </c>
      <c r="F27" s="117">
        <f t="shared" si="11"/>
        <v>128600</v>
      </c>
      <c r="G27" s="117">
        <f t="shared" si="11"/>
        <v>128600</v>
      </c>
      <c r="H27" s="117">
        <f t="shared" si="11"/>
        <v>135023</v>
      </c>
      <c r="I27" s="117">
        <f t="shared" si="11"/>
        <v>135023</v>
      </c>
      <c r="J27" s="117">
        <f t="shared" si="11"/>
        <v>135023</v>
      </c>
      <c r="K27" s="117">
        <f t="shared" si="11"/>
        <v>141270</v>
      </c>
      <c r="L27" s="117">
        <f t="shared" si="11"/>
        <v>141270</v>
      </c>
      <c r="M27" s="117">
        <f t="shared" si="11"/>
        <v>141270</v>
      </c>
      <c r="N27" s="90"/>
      <c r="O27" s="91"/>
    </row>
    <row r="28" spans="1:15" x14ac:dyDescent="0.2">
      <c r="A28" s="67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90"/>
      <c r="O28" s="91"/>
    </row>
    <row r="29" spans="1:15" x14ac:dyDescent="0.2">
      <c r="A29" s="73" t="s">
        <v>26</v>
      </c>
      <c r="B29" s="89">
        <f>ROUND(B23*$C$4,2)</f>
        <v>55.57</v>
      </c>
      <c r="C29" s="89">
        <f>ROUND(C23*$C$4,2)</f>
        <v>57.8</v>
      </c>
      <c r="D29" s="89">
        <f>ROUND(D23*$C$4,2)</f>
        <v>57.8</v>
      </c>
      <c r="E29" s="89">
        <f>ROUND(E23*$C$5,2)</f>
        <v>103.43</v>
      </c>
      <c r="F29" s="89">
        <f>ROUND(F23*$C$5,2)</f>
        <v>103.43</v>
      </c>
      <c r="G29" s="89">
        <f>ROUND(G23*$C$5,2)</f>
        <v>109.31</v>
      </c>
      <c r="H29" s="89">
        <f>ROUND(H23*$C$6,2)</f>
        <v>235.77</v>
      </c>
      <c r="I29" s="89">
        <f>ROUND(I23*$C$6,2)</f>
        <v>247.54</v>
      </c>
      <c r="J29" s="89">
        <f>ROUND(J23*$C$6,2)</f>
        <v>247.54</v>
      </c>
      <c r="K29" s="89">
        <f>ROUND(K23*$C$7,2)</f>
        <v>435.45</v>
      </c>
      <c r="L29" s="89">
        <f>ROUND(L23*$C$7,2)</f>
        <v>455.6</v>
      </c>
      <c r="M29" s="89">
        <f>ROUND(M23*$C$7,2)</f>
        <v>455.6</v>
      </c>
      <c r="N29" s="93"/>
      <c r="O29" s="91">
        <f>SUM(B29:M29)</f>
        <v>2564.84</v>
      </c>
    </row>
    <row r="30" spans="1:15" x14ac:dyDescent="0.2">
      <c r="A30" s="78" t="s">
        <v>27</v>
      </c>
      <c r="B30" s="118">
        <f>B29+'CAM 2021'!M30</f>
        <v>4697.3499999999976</v>
      </c>
      <c r="C30" s="119">
        <f t="shared" ref="C30" si="12">B30+C29</f>
        <v>4755.1499999999978</v>
      </c>
      <c r="D30" s="119">
        <f t="shared" ref="D30" si="13">C30+D29</f>
        <v>4812.949999999998</v>
      </c>
      <c r="E30" s="119">
        <f t="shared" ref="E30" si="14">D30+E29</f>
        <v>4916.3799999999983</v>
      </c>
      <c r="F30" s="119">
        <f t="shared" ref="F30" si="15">E30+F29</f>
        <v>5019.8099999999986</v>
      </c>
      <c r="G30" s="119">
        <f t="shared" ref="G30" si="16">F30+G29</f>
        <v>5129.119999999999</v>
      </c>
      <c r="H30" s="119">
        <f t="shared" ref="H30" si="17">G30+H29</f>
        <v>5364.8899999999994</v>
      </c>
      <c r="I30" s="119">
        <f t="shared" ref="I30" si="18">H30+I29</f>
        <v>5612.4299999999994</v>
      </c>
      <c r="J30" s="119">
        <f t="shared" ref="J30" si="19">I30+J29</f>
        <v>5859.9699999999993</v>
      </c>
      <c r="K30" s="119">
        <f t="shared" ref="K30" si="20">J30+K29</f>
        <v>6295.4199999999992</v>
      </c>
      <c r="L30" s="119">
        <f t="shared" ref="L30" si="21">K30+L29</f>
        <v>6751.0199999999995</v>
      </c>
      <c r="M30" s="119">
        <f t="shared" ref="M30" si="22">L30+M29</f>
        <v>7206.62</v>
      </c>
      <c r="N30" s="94"/>
      <c r="O30" s="96"/>
    </row>
    <row r="31" spans="1:15" x14ac:dyDescent="0.2">
      <c r="A31" s="8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</row>
    <row r="32" spans="1:15" x14ac:dyDescent="0.2">
      <c r="A32" s="63" t="s">
        <v>191</v>
      </c>
      <c r="B32" s="120" t="s">
        <v>10</v>
      </c>
      <c r="C32" s="120" t="s">
        <v>11</v>
      </c>
      <c r="D32" s="120" t="s">
        <v>12</v>
      </c>
      <c r="E32" s="120" t="s">
        <v>13</v>
      </c>
      <c r="F32" s="120" t="s">
        <v>14</v>
      </c>
      <c r="G32" s="120" t="s">
        <v>15</v>
      </c>
      <c r="H32" s="120" t="s">
        <v>16</v>
      </c>
      <c r="I32" s="120" t="s">
        <v>17</v>
      </c>
      <c r="J32" s="120" t="s">
        <v>18</v>
      </c>
      <c r="K32" s="120" t="s">
        <v>19</v>
      </c>
      <c r="L32" s="120" t="s">
        <v>20</v>
      </c>
      <c r="M32" s="120" t="s">
        <v>21</v>
      </c>
      <c r="N32" s="97" t="s">
        <v>22</v>
      </c>
      <c r="O32" s="98"/>
    </row>
    <row r="33" spans="1:15" x14ac:dyDescent="0.2">
      <c r="A33" s="67" t="s">
        <v>29</v>
      </c>
      <c r="B33" s="90"/>
      <c r="C33" s="90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1"/>
    </row>
    <row r="34" spans="1:15" x14ac:dyDescent="0.2">
      <c r="A34" s="69" t="s">
        <v>23</v>
      </c>
      <c r="B34" s="132">
        <v>-109017</v>
      </c>
      <c r="C34" s="116">
        <f t="shared" ref="C34:M34" si="23">B38</f>
        <v>-114144</v>
      </c>
      <c r="D34" s="116">
        <f t="shared" si="23"/>
        <v>-114144</v>
      </c>
      <c r="E34" s="116">
        <f t="shared" si="23"/>
        <v>-114144</v>
      </c>
      <c r="F34" s="116">
        <f t="shared" si="23"/>
        <v>-114144</v>
      </c>
      <c r="G34" s="116">
        <f t="shared" si="23"/>
        <v>-117050</v>
      </c>
      <c r="H34" s="89">
        <f t="shared" si="23"/>
        <v>-117050</v>
      </c>
      <c r="I34" s="89">
        <f t="shared" si="23"/>
        <v>-120453</v>
      </c>
      <c r="J34" s="89">
        <f t="shared" si="23"/>
        <v>-120453</v>
      </c>
      <c r="K34" s="89">
        <f t="shared" si="23"/>
        <v>-120453</v>
      </c>
      <c r="L34" s="89">
        <f t="shared" si="23"/>
        <v>-124032</v>
      </c>
      <c r="M34" s="89">
        <f t="shared" si="23"/>
        <v>-124032</v>
      </c>
      <c r="N34" s="90"/>
      <c r="O34" s="91"/>
    </row>
    <row r="35" spans="1:15" x14ac:dyDescent="0.2">
      <c r="A35" s="69" t="s">
        <v>24</v>
      </c>
      <c r="B35" s="109">
        <v>-5127</v>
      </c>
      <c r="C35" s="109"/>
      <c r="D35" s="109"/>
      <c r="E35" s="109"/>
      <c r="F35" s="109">
        <v>-2906</v>
      </c>
      <c r="G35" s="109"/>
      <c r="H35" s="109">
        <v>-3403</v>
      </c>
      <c r="I35" s="109"/>
      <c r="J35" s="109"/>
      <c r="K35" s="109">
        <f>-3579</f>
        <v>-3579</v>
      </c>
      <c r="L35" s="109"/>
      <c r="M35" s="109"/>
      <c r="N35" s="93"/>
      <c r="O35" s="91">
        <f>SUM(B35:M35)</f>
        <v>-15015</v>
      </c>
    </row>
    <row r="36" spans="1:15" x14ac:dyDescent="0.2">
      <c r="A36" s="69" t="s">
        <v>25</v>
      </c>
      <c r="B36" s="116"/>
      <c r="C36" s="116"/>
      <c r="D36" s="116"/>
      <c r="E36" s="116"/>
      <c r="F36" s="116"/>
      <c r="G36" s="116"/>
      <c r="H36" s="89"/>
      <c r="I36" s="89"/>
      <c r="J36" s="89"/>
      <c r="K36" s="89"/>
      <c r="L36" s="89"/>
      <c r="M36" s="89"/>
      <c r="N36" s="90"/>
      <c r="O36" s="91"/>
    </row>
    <row r="37" spans="1:15" x14ac:dyDescent="0.2">
      <c r="A37" s="69"/>
      <c r="B37" s="116"/>
      <c r="C37" s="116"/>
      <c r="D37" s="116"/>
      <c r="E37" s="116"/>
      <c r="F37" s="116"/>
      <c r="G37" s="116"/>
      <c r="H37" s="89"/>
      <c r="I37" s="89"/>
      <c r="J37" s="89"/>
      <c r="K37" s="89"/>
      <c r="L37" s="89"/>
      <c r="M37" s="89"/>
      <c r="N37" s="90"/>
      <c r="O37" s="91"/>
    </row>
    <row r="38" spans="1:15" x14ac:dyDescent="0.2">
      <c r="A38" s="87" t="s">
        <v>30</v>
      </c>
      <c r="B38" s="117">
        <f>SUM(B34:B36)</f>
        <v>-114144</v>
      </c>
      <c r="C38" s="117">
        <f>SUM(C34:C36)</f>
        <v>-114144</v>
      </c>
      <c r="D38" s="117">
        <f t="shared" ref="D38:M38" si="24">SUM(D34:D36)</f>
        <v>-114144</v>
      </c>
      <c r="E38" s="117">
        <f t="shared" si="24"/>
        <v>-114144</v>
      </c>
      <c r="F38" s="117">
        <f t="shared" si="24"/>
        <v>-117050</v>
      </c>
      <c r="G38" s="117">
        <f t="shared" si="24"/>
        <v>-117050</v>
      </c>
      <c r="H38" s="117">
        <f t="shared" si="24"/>
        <v>-120453</v>
      </c>
      <c r="I38" s="117">
        <f t="shared" si="24"/>
        <v>-120453</v>
      </c>
      <c r="J38" s="117">
        <f t="shared" si="24"/>
        <v>-120453</v>
      </c>
      <c r="K38" s="117">
        <f t="shared" si="24"/>
        <v>-124032</v>
      </c>
      <c r="L38" s="117">
        <f t="shared" si="24"/>
        <v>-124032</v>
      </c>
      <c r="M38" s="117">
        <f t="shared" si="24"/>
        <v>-124032</v>
      </c>
      <c r="N38" s="90"/>
      <c r="O38" s="91"/>
    </row>
    <row r="39" spans="1:15" x14ac:dyDescent="0.2">
      <c r="A39" s="67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90"/>
      <c r="O39" s="91"/>
    </row>
    <row r="40" spans="1:15" x14ac:dyDescent="0.2">
      <c r="A40" s="73" t="s">
        <v>26</v>
      </c>
      <c r="B40" s="89">
        <f>ROUND(B34*$C$4,2)</f>
        <v>-51.78</v>
      </c>
      <c r="C40" s="89">
        <f>ROUND(C34*$C$4,2)</f>
        <v>-54.22</v>
      </c>
      <c r="D40" s="89">
        <f>ROUND(D34*$C$4,2)</f>
        <v>-54.22</v>
      </c>
      <c r="E40" s="89">
        <f>ROUND(E34*$C$5,2)</f>
        <v>-97.02</v>
      </c>
      <c r="F40" s="89">
        <f>ROUND(F34*$C$5,2)</f>
        <v>-97.02</v>
      </c>
      <c r="G40" s="89">
        <f>ROUND(G34*$C$5,2)</f>
        <v>-99.49</v>
      </c>
      <c r="H40" s="89">
        <f>ROUND(H34*$C$6,2)</f>
        <v>-214.59</v>
      </c>
      <c r="I40" s="89">
        <f>ROUND(I34*$C$6,2)</f>
        <v>-220.83</v>
      </c>
      <c r="J40" s="89">
        <f>ROUND(J34*$C$6,2)</f>
        <v>-220.83</v>
      </c>
      <c r="K40" s="89">
        <f>ROUND(K34*$C$7,2)</f>
        <v>-388.46</v>
      </c>
      <c r="L40" s="89">
        <f>ROUND(L34*$C$7,2)</f>
        <v>-400</v>
      </c>
      <c r="M40" s="89">
        <f>ROUND(M34*$C$7,2)</f>
        <v>-400</v>
      </c>
      <c r="N40" s="93"/>
      <c r="O40" s="91">
        <f>SUM(B40:M40)</f>
        <v>-2298.46</v>
      </c>
    </row>
    <row r="41" spans="1:15" x14ac:dyDescent="0.2">
      <c r="A41" s="78" t="s">
        <v>27</v>
      </c>
      <c r="B41" s="118">
        <f>B40+-4132.97</f>
        <v>-4184.75</v>
      </c>
      <c r="C41" s="119">
        <f t="shared" ref="C41:M41" si="25">B41+C40</f>
        <v>-4238.97</v>
      </c>
      <c r="D41" s="119">
        <f t="shared" si="25"/>
        <v>-4293.1900000000005</v>
      </c>
      <c r="E41" s="119">
        <f t="shared" si="25"/>
        <v>-4390.2100000000009</v>
      </c>
      <c r="F41" s="119">
        <f t="shared" si="25"/>
        <v>-4487.2300000000014</v>
      </c>
      <c r="G41" s="119">
        <f t="shared" si="25"/>
        <v>-4586.7200000000012</v>
      </c>
      <c r="H41" s="119">
        <f t="shared" si="25"/>
        <v>-4801.3100000000013</v>
      </c>
      <c r="I41" s="119">
        <f t="shared" si="25"/>
        <v>-5022.1400000000012</v>
      </c>
      <c r="J41" s="119">
        <f t="shared" si="25"/>
        <v>-5242.9700000000012</v>
      </c>
      <c r="K41" s="119">
        <f t="shared" si="25"/>
        <v>-5631.4300000000012</v>
      </c>
      <c r="L41" s="119">
        <f t="shared" si="25"/>
        <v>-6031.4300000000012</v>
      </c>
      <c r="M41" s="119">
        <f t="shared" si="25"/>
        <v>-6431.4300000000012</v>
      </c>
      <c r="N41" s="94"/>
      <c r="O41" s="96"/>
    </row>
    <row r="42" spans="1:15" x14ac:dyDescent="0.2">
      <c r="A42" s="8"/>
      <c r="B42" s="111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</row>
    <row r="43" spans="1:15" hidden="1" x14ac:dyDescent="0.2">
      <c r="A43" s="8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0"/>
    </row>
    <row r="44" spans="1:15" hidden="1" x14ac:dyDescent="0.2"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0"/>
    </row>
    <row r="45" spans="1:15" hidden="1" x14ac:dyDescent="0.2">
      <c r="A45" s="13"/>
      <c r="B45" s="133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</row>
    <row r="46" spans="1:15" hidden="1" x14ac:dyDescent="0.2">
      <c r="A46" s="13"/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30"/>
      <c r="O46" s="90"/>
    </row>
    <row r="47" spans="1:15" hidden="1" x14ac:dyDescent="0.2">
      <c r="A47" s="13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</row>
    <row r="48" spans="1:15" hidden="1" x14ac:dyDescent="0.2">
      <c r="A48" s="13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</row>
    <row r="49" spans="1:16" hidden="1" x14ac:dyDescent="0.2">
      <c r="A49" s="42"/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90"/>
      <c r="O49" s="90"/>
    </row>
    <row r="50" spans="1:16" hidden="1" x14ac:dyDescent="0.2"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</row>
    <row r="51" spans="1:16" hidden="1" x14ac:dyDescent="0.2">
      <c r="A51" s="8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3"/>
      <c r="O51" s="90"/>
      <c r="P51" s="18"/>
    </row>
    <row r="52" spans="1:16" hidden="1" x14ac:dyDescent="0.2">
      <c r="B52" s="13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90"/>
      <c r="O52" s="90"/>
    </row>
    <row r="53" spans="1:16" hidden="1" x14ac:dyDescent="0.2">
      <c r="A53" s="8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</row>
    <row r="54" spans="1:16" hidden="1" x14ac:dyDescent="0.2">
      <c r="A54" s="8"/>
      <c r="B54" s="13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99"/>
      <c r="O54" s="90"/>
    </row>
    <row r="55" spans="1:16" hidden="1" x14ac:dyDescent="0.2">
      <c r="B55" s="90"/>
      <c r="C55" s="90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0"/>
    </row>
    <row r="56" spans="1:16" hidden="1" x14ac:dyDescent="0.2">
      <c r="A56" s="13"/>
      <c r="B56" s="133"/>
      <c r="C56" s="111"/>
      <c r="D56" s="111"/>
      <c r="E56" s="111"/>
      <c r="F56" s="111"/>
      <c r="G56" s="111"/>
      <c r="H56" s="90"/>
      <c r="I56" s="90"/>
      <c r="J56" s="90"/>
      <c r="K56" s="90"/>
      <c r="L56" s="90"/>
      <c r="M56" s="90"/>
      <c r="N56" s="90"/>
      <c r="O56" s="90"/>
    </row>
    <row r="57" spans="1:16" hidden="1" x14ac:dyDescent="0.2">
      <c r="A57" s="13"/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36"/>
      <c r="O57" s="90"/>
    </row>
    <row r="58" spans="1:16" hidden="1" x14ac:dyDescent="0.2">
      <c r="A58" s="13"/>
      <c r="B58" s="111"/>
      <c r="C58" s="111"/>
      <c r="D58" s="111"/>
      <c r="E58" s="111"/>
      <c r="F58" s="111"/>
      <c r="G58" s="111"/>
      <c r="H58" s="90"/>
      <c r="I58" s="90"/>
      <c r="J58" s="90"/>
      <c r="K58" s="90"/>
      <c r="L58" s="90"/>
      <c r="M58" s="90"/>
      <c r="N58" s="90"/>
      <c r="O58" s="90"/>
    </row>
    <row r="59" spans="1:16" hidden="1" x14ac:dyDescent="0.2">
      <c r="A59" s="13"/>
      <c r="B59" s="111"/>
      <c r="C59" s="111"/>
      <c r="D59" s="111"/>
      <c r="E59" s="111"/>
      <c r="F59" s="111"/>
      <c r="G59" s="111"/>
      <c r="H59" s="90"/>
      <c r="I59" s="90"/>
      <c r="J59" s="90"/>
      <c r="K59" s="90"/>
      <c r="L59" s="90"/>
      <c r="M59" s="90"/>
      <c r="N59" s="90"/>
      <c r="O59" s="90"/>
    </row>
    <row r="60" spans="1:16" hidden="1" x14ac:dyDescent="0.2">
      <c r="A60" s="38"/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90"/>
      <c r="O60" s="90"/>
    </row>
    <row r="61" spans="1:16" hidden="1" x14ac:dyDescent="0.2">
      <c r="A61" s="8"/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</row>
    <row r="62" spans="1:16" hidden="1" x14ac:dyDescent="0.2">
      <c r="A62" s="8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136"/>
      <c r="O62" s="90"/>
      <c r="P62" s="18"/>
    </row>
    <row r="63" spans="1:16" hidden="1" x14ac:dyDescent="0.2">
      <c r="B63" s="134"/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90"/>
      <c r="O63" s="90"/>
    </row>
    <row r="64" spans="1:16" x14ac:dyDescent="0.2">
      <c r="A64" s="8"/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</row>
    <row r="65" spans="1:15" s="8" customFormat="1" x14ac:dyDescent="0.2">
      <c r="A65" s="88" t="s">
        <v>31</v>
      </c>
      <c r="B65" s="125">
        <f t="shared" ref="B65:M65" si="26">+B27+B30+B38+B41</f>
        <v>8048.5999999999913</v>
      </c>
      <c r="C65" s="125">
        <f t="shared" si="26"/>
        <v>8052.1799999999939</v>
      </c>
      <c r="D65" s="125">
        <f t="shared" si="26"/>
        <v>8055.7599999999966</v>
      </c>
      <c r="E65" s="125">
        <f t="shared" si="26"/>
        <v>8062.1700000000037</v>
      </c>
      <c r="F65" s="125">
        <f t="shared" si="26"/>
        <v>12082.579999999996</v>
      </c>
      <c r="G65" s="125">
        <f t="shared" si="26"/>
        <v>12092.399999999994</v>
      </c>
      <c r="H65" s="125">
        <f t="shared" si="26"/>
        <v>15133.580000000013</v>
      </c>
      <c r="I65" s="125">
        <f t="shared" si="26"/>
        <v>15160.289999999992</v>
      </c>
      <c r="J65" s="125">
        <f t="shared" si="26"/>
        <v>15187</v>
      </c>
      <c r="K65" s="125">
        <f t="shared" si="26"/>
        <v>17901.990000000013</v>
      </c>
      <c r="L65" s="125">
        <f t="shared" si="26"/>
        <v>17957.589999999989</v>
      </c>
      <c r="M65" s="125">
        <f t="shared" si="26"/>
        <v>18013.189999999995</v>
      </c>
      <c r="N65" s="126"/>
      <c r="O65" s="127"/>
    </row>
    <row r="66" spans="1:15" x14ac:dyDescent="0.2">
      <c r="A66" s="8"/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</row>
    <row r="67" spans="1:15" ht="13.5" hidden="1" thickBot="1" x14ac:dyDescent="0.25">
      <c r="A67" s="8"/>
      <c r="B67" s="128"/>
      <c r="C67" s="128"/>
      <c r="D67" s="128"/>
      <c r="E67" s="128"/>
      <c r="F67" s="128"/>
      <c r="G67" s="128"/>
      <c r="H67" s="128"/>
      <c r="I67" s="128"/>
      <c r="J67" s="128"/>
      <c r="K67" s="128"/>
      <c r="L67" s="128"/>
      <c r="M67" s="128"/>
      <c r="N67" s="90"/>
      <c r="O67" s="90"/>
    </row>
    <row r="68" spans="1:15" ht="13.5" hidden="1" thickTop="1" x14ac:dyDescent="0.2">
      <c r="A68" s="44"/>
      <c r="B68" s="129"/>
      <c r="C68" s="129"/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90"/>
      <c r="O68" s="90"/>
    </row>
    <row r="69" spans="1:15" hidden="1" x14ac:dyDescent="0.2"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</row>
    <row r="70" spans="1:15" hidden="1" x14ac:dyDescent="0.2"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</row>
    <row r="71" spans="1:15" hidden="1" x14ac:dyDescent="0.2"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</row>
    <row r="72" spans="1:15" hidden="1" x14ac:dyDescent="0.2">
      <c r="A72" s="18"/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</row>
    <row r="73" spans="1:15" hidden="1" x14ac:dyDescent="0.2">
      <c r="A73" s="18"/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</row>
    <row r="74" spans="1:15" hidden="1" x14ac:dyDescent="0.2"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</row>
    <row r="75" spans="1:15" hidden="1" x14ac:dyDescent="0.2"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</row>
    <row r="76" spans="1:15" hidden="1" x14ac:dyDescent="0.2"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</row>
    <row r="77" spans="1:15" hidden="1" x14ac:dyDescent="0.2"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</row>
    <row r="78" spans="1:15" hidden="1" x14ac:dyDescent="0.2"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</row>
    <row r="79" spans="1:15" hidden="1" x14ac:dyDescent="0.2"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</row>
    <row r="80" spans="1:15" hidden="1" x14ac:dyDescent="0.2"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</row>
    <row r="81" spans="1:28" hidden="1" x14ac:dyDescent="0.2"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AB81" s="50"/>
    </row>
    <row r="82" spans="1:28" hidden="1" x14ac:dyDescent="0.2"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</row>
    <row r="83" spans="1:28" hidden="1" x14ac:dyDescent="0.2"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AB83" s="50"/>
    </row>
    <row r="84" spans="1:28" x14ac:dyDescent="0.2"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</row>
    <row r="85" spans="1:28" x14ac:dyDescent="0.2">
      <c r="A85" s="46"/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148"/>
    </row>
    <row r="86" spans="1:28" x14ac:dyDescent="0.2">
      <c r="A86" s="2" t="s">
        <v>0</v>
      </c>
      <c r="B86" s="61"/>
      <c r="C86" s="61"/>
      <c r="D86" s="105">
        <f>'CAM 2021'!D73</f>
        <v>7837</v>
      </c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90"/>
      <c r="P86" s="148"/>
    </row>
    <row r="87" spans="1:28" x14ac:dyDescent="0.2">
      <c r="A87" s="2" t="s">
        <v>143</v>
      </c>
      <c r="B87" s="105">
        <f>'OEB costs'!F25</f>
        <v>12536</v>
      </c>
      <c r="C87" s="61"/>
      <c r="D87" s="105">
        <f>'OEB costs'!F26</f>
        <v>14757</v>
      </c>
      <c r="E87" s="61"/>
      <c r="F87" s="61"/>
      <c r="G87" s="105">
        <f>'OEB costs'!F27</f>
        <v>14260</v>
      </c>
      <c r="H87" s="61"/>
      <c r="I87" s="61"/>
      <c r="J87" s="105">
        <f>'OEB costs'!F28</f>
        <v>14084</v>
      </c>
      <c r="K87" s="61"/>
      <c r="L87" s="61"/>
      <c r="M87" s="61"/>
      <c r="N87" s="106" t="s">
        <v>190</v>
      </c>
      <c r="O87" s="90"/>
      <c r="P87" s="148"/>
    </row>
    <row r="88" spans="1:28" x14ac:dyDescent="0.2">
      <c r="A88" s="63" t="s">
        <v>41</v>
      </c>
      <c r="B88" s="107" t="s">
        <v>147</v>
      </c>
      <c r="C88" s="107" t="s">
        <v>148</v>
      </c>
      <c r="D88" s="107" t="s">
        <v>147</v>
      </c>
      <c r="E88" s="107" t="s">
        <v>148</v>
      </c>
      <c r="F88" s="107"/>
      <c r="G88" s="107" t="s">
        <v>147</v>
      </c>
      <c r="H88" s="107" t="s">
        <v>148</v>
      </c>
      <c r="I88" s="107"/>
      <c r="J88" s="107" t="s">
        <v>147</v>
      </c>
      <c r="K88" s="107" t="s">
        <v>148</v>
      </c>
      <c r="L88" s="107"/>
      <c r="M88" s="107"/>
      <c r="N88" s="81"/>
      <c r="O88" s="90"/>
      <c r="P88" s="148"/>
    </row>
    <row r="89" spans="1:28" x14ac:dyDescent="0.2">
      <c r="A89" s="67" t="s">
        <v>1</v>
      </c>
      <c r="B89" s="61">
        <f>C91</f>
        <v>12536</v>
      </c>
      <c r="C89" s="61"/>
      <c r="D89" s="61">
        <f>E91</f>
        <v>14757</v>
      </c>
      <c r="E89" s="61"/>
      <c r="F89" s="61"/>
      <c r="G89" s="61">
        <f>H91</f>
        <v>14260</v>
      </c>
      <c r="H89" s="61"/>
      <c r="I89" s="61"/>
      <c r="J89" s="61">
        <f>K91</f>
        <v>14084</v>
      </c>
      <c r="K89" s="61"/>
      <c r="L89" s="61"/>
      <c r="M89" s="61"/>
      <c r="N89" s="77">
        <f>SUM(B89:M89)</f>
        <v>55637</v>
      </c>
      <c r="O89" s="90"/>
      <c r="P89" s="153"/>
    </row>
    <row r="90" spans="1:28" x14ac:dyDescent="0.2">
      <c r="A90" s="67" t="s">
        <v>2</v>
      </c>
      <c r="B90" s="61"/>
      <c r="C90" s="61">
        <f>C91-$D86</f>
        <v>4699</v>
      </c>
      <c r="D90" s="61"/>
      <c r="E90" s="61">
        <f>E91-$D86</f>
        <v>6920</v>
      </c>
      <c r="F90" s="61"/>
      <c r="G90" s="61"/>
      <c r="H90" s="61">
        <f>H91-$D86</f>
        <v>6423</v>
      </c>
      <c r="I90" s="61"/>
      <c r="J90" s="61"/>
      <c r="K90" s="61">
        <f>K91-$D86</f>
        <v>6247</v>
      </c>
      <c r="L90" s="61"/>
      <c r="M90" s="61"/>
      <c r="N90" s="77">
        <f>-SUM(B90:M90)</f>
        <v>-24289</v>
      </c>
      <c r="O90" s="90"/>
      <c r="P90" s="153"/>
    </row>
    <row r="91" spans="1:28" x14ac:dyDescent="0.2">
      <c r="A91" s="67" t="s">
        <v>145</v>
      </c>
      <c r="B91" s="61"/>
      <c r="C91" s="61">
        <f>B87</f>
        <v>12536</v>
      </c>
      <c r="D91" s="61"/>
      <c r="E91" s="61">
        <f>D87</f>
        <v>14757</v>
      </c>
      <c r="F91" s="61"/>
      <c r="G91" s="61"/>
      <c r="H91" s="61">
        <f>G87</f>
        <v>14260</v>
      </c>
      <c r="I91" s="61"/>
      <c r="J91" s="61"/>
      <c r="K91" s="61">
        <f>J87</f>
        <v>14084</v>
      </c>
      <c r="L91" s="61"/>
      <c r="M91" s="61"/>
      <c r="N91" s="77">
        <f>-SUM(B91:M91)</f>
        <v>-55637</v>
      </c>
      <c r="O91" s="90"/>
      <c r="P91" s="153"/>
    </row>
    <row r="92" spans="1:28" x14ac:dyDescent="0.2">
      <c r="A92" s="78" t="s">
        <v>29</v>
      </c>
      <c r="B92" s="108">
        <f>C90</f>
        <v>4699</v>
      </c>
      <c r="C92" s="108"/>
      <c r="D92" s="108">
        <f>E90</f>
        <v>6920</v>
      </c>
      <c r="E92" s="108"/>
      <c r="F92" s="108"/>
      <c r="G92" s="108">
        <f>H90</f>
        <v>6423</v>
      </c>
      <c r="H92" s="108"/>
      <c r="I92" s="108"/>
      <c r="J92" s="108">
        <f>K90</f>
        <v>6247</v>
      </c>
      <c r="K92" s="108"/>
      <c r="L92" s="108"/>
      <c r="M92" s="108"/>
      <c r="N92" s="80">
        <f t="shared" ref="N92" si="27">SUM(B92:M92)</f>
        <v>24289</v>
      </c>
      <c r="O92" s="90"/>
      <c r="P92" s="153"/>
    </row>
    <row r="93" spans="1:28" x14ac:dyDescent="0.2"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90"/>
      <c r="P93" s="153"/>
    </row>
    <row r="94" spans="1:28" x14ac:dyDescent="0.2">
      <c r="A94" s="63" t="s">
        <v>40</v>
      </c>
      <c r="B94" s="107" t="s">
        <v>147</v>
      </c>
      <c r="C94" s="107" t="s">
        <v>148</v>
      </c>
      <c r="D94" s="107" t="s">
        <v>147</v>
      </c>
      <c r="E94" s="107" t="s">
        <v>148</v>
      </c>
      <c r="F94" s="107"/>
      <c r="G94" s="107" t="s">
        <v>147</v>
      </c>
      <c r="H94" s="107" t="s">
        <v>148</v>
      </c>
      <c r="I94" s="107"/>
      <c r="J94" s="107" t="s">
        <v>147</v>
      </c>
      <c r="K94" s="107" t="s">
        <v>148</v>
      </c>
      <c r="L94" s="107"/>
      <c r="M94" s="107"/>
      <c r="N94" s="81"/>
      <c r="O94" s="90"/>
      <c r="P94" s="153"/>
    </row>
    <row r="95" spans="1:28" x14ac:dyDescent="0.2">
      <c r="A95" s="67" t="s">
        <v>1</v>
      </c>
      <c r="B95" s="61">
        <v>17663</v>
      </c>
      <c r="C95" s="61"/>
      <c r="D95" s="61">
        <v>17663</v>
      </c>
      <c r="E95" s="61"/>
      <c r="F95" s="61"/>
      <c r="G95" s="61">
        <v>17663</v>
      </c>
      <c r="H95" s="61"/>
      <c r="I95" s="61"/>
      <c r="J95" s="61">
        <v>17663</v>
      </c>
      <c r="K95" s="61"/>
      <c r="L95" s="61"/>
      <c r="M95" s="61"/>
      <c r="N95" s="77">
        <f t="shared" ref="N95:N99" si="28">SUM(B95:M95)</f>
        <v>70652</v>
      </c>
      <c r="O95" s="90"/>
      <c r="P95" s="153"/>
    </row>
    <row r="96" spans="1:28" x14ac:dyDescent="0.2">
      <c r="A96" s="67" t="s">
        <v>29</v>
      </c>
      <c r="B96" s="61"/>
      <c r="C96" s="61">
        <f>B95-C97</f>
        <v>5127</v>
      </c>
      <c r="D96" s="61"/>
      <c r="E96" s="61">
        <f>D95-E97</f>
        <v>2906</v>
      </c>
      <c r="F96" s="61"/>
      <c r="G96" s="61"/>
      <c r="H96" s="61">
        <f>G95-H97</f>
        <v>3403</v>
      </c>
      <c r="I96" s="61"/>
      <c r="J96" s="61"/>
      <c r="K96" s="61">
        <f>J95-K97</f>
        <v>3579</v>
      </c>
      <c r="L96" s="61"/>
      <c r="M96" s="61"/>
      <c r="N96" s="77">
        <f>-SUM(B96:M96)</f>
        <v>-15015</v>
      </c>
      <c r="O96" s="90"/>
      <c r="P96" s="153"/>
    </row>
    <row r="97" spans="1:18" x14ac:dyDescent="0.2">
      <c r="A97" s="67" t="s">
        <v>145</v>
      </c>
      <c r="B97" s="61"/>
      <c r="C97" s="61">
        <f>B87</f>
        <v>12536</v>
      </c>
      <c r="D97" s="61"/>
      <c r="E97" s="61">
        <f>D87</f>
        <v>14757</v>
      </c>
      <c r="F97" s="61"/>
      <c r="G97" s="61"/>
      <c r="H97" s="61">
        <f>G87</f>
        <v>14260</v>
      </c>
      <c r="I97" s="61"/>
      <c r="J97" s="61"/>
      <c r="K97" s="61">
        <f>J87</f>
        <v>14084</v>
      </c>
      <c r="L97" s="61"/>
      <c r="M97" s="61"/>
      <c r="N97" s="77">
        <f>-SUM(B97:M97)</f>
        <v>-55637</v>
      </c>
      <c r="O97" s="90"/>
      <c r="P97" s="153"/>
    </row>
    <row r="98" spans="1:18" x14ac:dyDescent="0.2">
      <c r="A98" s="67" t="s">
        <v>1</v>
      </c>
      <c r="B98" s="61"/>
      <c r="C98" s="61">
        <f>C96</f>
        <v>5127</v>
      </c>
      <c r="D98" s="61"/>
      <c r="E98" s="61">
        <f>E96</f>
        <v>2906</v>
      </c>
      <c r="F98" s="61"/>
      <c r="G98" s="61"/>
      <c r="H98" s="61">
        <f>H96</f>
        <v>3403</v>
      </c>
      <c r="I98" s="61"/>
      <c r="J98" s="61"/>
      <c r="K98" s="61">
        <f>K96</f>
        <v>3579</v>
      </c>
      <c r="L98" s="61"/>
      <c r="M98" s="61"/>
      <c r="N98" s="77">
        <f>-SUM(B98:M98)</f>
        <v>-15015</v>
      </c>
      <c r="O98" s="90"/>
      <c r="P98" s="153"/>
    </row>
    <row r="99" spans="1:18" x14ac:dyDescent="0.2">
      <c r="A99" s="78" t="s">
        <v>2</v>
      </c>
      <c r="B99" s="108">
        <f>C98</f>
        <v>5127</v>
      </c>
      <c r="C99" s="108"/>
      <c r="D99" s="108">
        <f>E98</f>
        <v>2906</v>
      </c>
      <c r="E99" s="108"/>
      <c r="F99" s="108"/>
      <c r="G99" s="108">
        <f>H98</f>
        <v>3403</v>
      </c>
      <c r="H99" s="108"/>
      <c r="I99" s="108"/>
      <c r="J99" s="108">
        <f>K98</f>
        <v>3579</v>
      </c>
      <c r="K99" s="108"/>
      <c r="L99" s="108"/>
      <c r="M99" s="108"/>
      <c r="N99" s="80">
        <f t="shared" si="28"/>
        <v>15015</v>
      </c>
      <c r="O99" s="90"/>
      <c r="P99" s="153"/>
    </row>
    <row r="100" spans="1:18" x14ac:dyDescent="0.2"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90"/>
      <c r="P100" s="153"/>
    </row>
    <row r="101" spans="1:18" x14ac:dyDescent="0.2">
      <c r="A101" s="63" t="s">
        <v>188</v>
      </c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  <c r="N101" s="98"/>
      <c r="O101" s="90"/>
      <c r="P101" s="153"/>
    </row>
    <row r="102" spans="1:18" x14ac:dyDescent="0.2">
      <c r="A102" s="67" t="s">
        <v>36</v>
      </c>
      <c r="B102" s="90"/>
      <c r="C102" s="90"/>
      <c r="D102" s="90"/>
      <c r="E102" s="90"/>
      <c r="F102" s="90"/>
      <c r="G102" s="90"/>
      <c r="H102" s="90"/>
      <c r="I102" s="90"/>
      <c r="J102" s="90"/>
      <c r="K102" s="90"/>
      <c r="L102" s="90"/>
      <c r="M102" s="90"/>
      <c r="N102" s="91">
        <f>O29</f>
        <v>2564.84</v>
      </c>
      <c r="O102" s="90"/>
      <c r="P102" s="153"/>
    </row>
    <row r="103" spans="1:18" x14ac:dyDescent="0.2">
      <c r="A103" s="78" t="s">
        <v>35</v>
      </c>
      <c r="B103" s="94"/>
      <c r="C103" s="94"/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N103" s="96">
        <f>-N102</f>
        <v>-2564.84</v>
      </c>
      <c r="O103" s="90"/>
      <c r="P103" s="153"/>
    </row>
    <row r="104" spans="1:18" x14ac:dyDescent="0.2">
      <c r="B104" s="90"/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153"/>
    </row>
    <row r="105" spans="1:18" x14ac:dyDescent="0.2">
      <c r="A105" s="63" t="s">
        <v>189</v>
      </c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98"/>
      <c r="O105" s="90"/>
      <c r="P105" s="153"/>
    </row>
    <row r="106" spans="1:18" x14ac:dyDescent="0.2">
      <c r="A106" s="67" t="s">
        <v>36</v>
      </c>
      <c r="B106" s="90"/>
      <c r="C106" s="90"/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1">
        <f>O40</f>
        <v>-2298.46</v>
      </c>
      <c r="O106" s="90"/>
      <c r="P106" s="153"/>
    </row>
    <row r="107" spans="1:18" x14ac:dyDescent="0.2">
      <c r="A107" s="78" t="s">
        <v>37</v>
      </c>
      <c r="B107" s="94"/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6">
        <f>-N106</f>
        <v>2298.46</v>
      </c>
      <c r="O107" s="90"/>
      <c r="P107" s="153"/>
    </row>
    <row r="108" spans="1:18" x14ac:dyDescent="0.2">
      <c r="P108" s="148"/>
    </row>
    <row r="109" spans="1:18" x14ac:dyDescent="0.2">
      <c r="M109" s="148"/>
      <c r="N109" s="149"/>
      <c r="O109" s="149"/>
      <c r="P109" s="149"/>
      <c r="Q109" s="149"/>
      <c r="R109" s="147"/>
    </row>
    <row r="110" spans="1:18" x14ac:dyDescent="0.2">
      <c r="M110" s="148"/>
      <c r="N110" s="149"/>
      <c r="O110" s="149"/>
      <c r="P110" s="149"/>
      <c r="Q110" s="149"/>
      <c r="R110" s="147"/>
    </row>
    <row r="111" spans="1:18" x14ac:dyDescent="0.2">
      <c r="M111" s="148"/>
      <c r="N111" s="149"/>
      <c r="O111" s="150"/>
      <c r="P111" s="151"/>
      <c r="Q111" s="149"/>
      <c r="R111" s="147"/>
    </row>
    <row r="112" spans="1:18" x14ac:dyDescent="0.2">
      <c r="M112" s="148"/>
      <c r="N112" s="149"/>
      <c r="O112" s="150"/>
      <c r="P112" s="151"/>
      <c r="Q112" s="149"/>
      <c r="R112" s="147"/>
    </row>
    <row r="113" spans="13:18" x14ac:dyDescent="0.2">
      <c r="M113" s="148"/>
      <c r="N113" s="149"/>
      <c r="O113" s="150"/>
      <c r="P113" s="151"/>
      <c r="Q113" s="149"/>
      <c r="R113" s="147"/>
    </row>
    <row r="114" spans="13:18" x14ac:dyDescent="0.2">
      <c r="M114" s="148"/>
      <c r="N114" s="149"/>
      <c r="O114" s="150"/>
      <c r="P114" s="151"/>
      <c r="Q114" s="149"/>
      <c r="R114" s="147"/>
    </row>
    <row r="115" spans="13:18" x14ac:dyDescent="0.2">
      <c r="M115" s="148"/>
      <c r="N115" s="149"/>
      <c r="O115" s="150"/>
      <c r="P115" s="151"/>
      <c r="Q115" s="149"/>
      <c r="R115" s="147"/>
    </row>
    <row r="116" spans="13:18" x14ac:dyDescent="0.2">
      <c r="M116" s="148"/>
      <c r="N116" s="149"/>
      <c r="O116" s="150"/>
      <c r="P116" s="151"/>
      <c r="Q116" s="149"/>
      <c r="R116" s="147"/>
    </row>
    <row r="117" spans="13:18" x14ac:dyDescent="0.2">
      <c r="M117" s="148"/>
      <c r="N117" s="149"/>
      <c r="O117" s="150"/>
      <c r="P117" s="149"/>
      <c r="Q117" s="149"/>
      <c r="R117" s="147"/>
    </row>
    <row r="118" spans="13:18" x14ac:dyDescent="0.2">
      <c r="M118" s="148"/>
      <c r="N118" s="149"/>
      <c r="O118" s="150"/>
      <c r="P118" s="149"/>
      <c r="Q118" s="149"/>
      <c r="R118" s="147"/>
    </row>
    <row r="119" spans="13:18" x14ac:dyDescent="0.2">
      <c r="M119" s="148"/>
      <c r="N119" s="149"/>
      <c r="O119" s="150"/>
      <c r="P119" s="151"/>
      <c r="Q119" s="149"/>
      <c r="R119" s="147"/>
    </row>
    <row r="120" spans="13:18" x14ac:dyDescent="0.2">
      <c r="M120" s="148"/>
      <c r="N120" s="149"/>
      <c r="O120" s="150"/>
      <c r="P120" s="151"/>
      <c r="Q120" s="149"/>
      <c r="R120" s="147"/>
    </row>
    <row r="121" spans="13:18" x14ac:dyDescent="0.2">
      <c r="M121" s="148"/>
      <c r="N121" s="149"/>
      <c r="O121" s="150"/>
      <c r="P121" s="151"/>
      <c r="Q121" s="149"/>
      <c r="R121" s="147"/>
    </row>
    <row r="122" spans="13:18" x14ac:dyDescent="0.2">
      <c r="M122" s="148"/>
      <c r="N122" s="149"/>
      <c r="O122" s="150"/>
      <c r="P122" s="151"/>
      <c r="Q122" s="149"/>
      <c r="R122" s="147"/>
    </row>
    <row r="123" spans="13:18" x14ac:dyDescent="0.2">
      <c r="M123" s="148"/>
      <c r="N123" s="149"/>
      <c r="O123" s="149"/>
      <c r="P123" s="149"/>
      <c r="Q123" s="149"/>
      <c r="R123" s="147"/>
    </row>
    <row r="124" spans="13:18" x14ac:dyDescent="0.2">
      <c r="M124" s="148"/>
      <c r="N124" s="149"/>
      <c r="O124" s="149"/>
      <c r="P124" s="149"/>
      <c r="Q124" s="149"/>
      <c r="R124" s="147"/>
    </row>
    <row r="125" spans="13:18" x14ac:dyDescent="0.2">
      <c r="M125" s="148"/>
      <c r="N125" s="149"/>
      <c r="O125" s="152"/>
      <c r="P125" s="152"/>
      <c r="Q125" s="149"/>
      <c r="R125" s="147"/>
    </row>
    <row r="126" spans="13:18" x14ac:dyDescent="0.2">
      <c r="M126" s="148"/>
      <c r="N126" s="149"/>
      <c r="O126" s="150"/>
      <c r="P126" s="151"/>
      <c r="Q126" s="149"/>
      <c r="R126" s="147"/>
    </row>
    <row r="127" spans="13:18" x14ac:dyDescent="0.2">
      <c r="M127" s="148"/>
      <c r="N127" s="149"/>
      <c r="O127" s="150"/>
      <c r="P127" s="151"/>
      <c r="Q127" s="149"/>
      <c r="R127" s="147"/>
    </row>
    <row r="128" spans="13:18" x14ac:dyDescent="0.2">
      <c r="M128" s="148"/>
      <c r="N128" s="149"/>
      <c r="O128" s="150"/>
      <c r="P128" s="151"/>
      <c r="Q128" s="149"/>
      <c r="R128" s="147"/>
    </row>
    <row r="129" spans="13:18" x14ac:dyDescent="0.2">
      <c r="M129" s="148"/>
      <c r="N129" s="149"/>
      <c r="O129" s="149"/>
      <c r="P129" s="149"/>
      <c r="Q129" s="149"/>
      <c r="R129" s="147"/>
    </row>
    <row r="130" spans="13:18" x14ac:dyDescent="0.2">
      <c r="M130" s="148"/>
      <c r="N130" s="149"/>
      <c r="O130" s="150"/>
      <c r="P130" s="151"/>
      <c r="Q130" s="149"/>
      <c r="R130" s="147"/>
    </row>
    <row r="131" spans="13:18" x14ac:dyDescent="0.2">
      <c r="M131" s="148"/>
      <c r="N131" s="149"/>
      <c r="O131" s="150"/>
      <c r="P131" s="151"/>
      <c r="Q131" s="149"/>
      <c r="R131" s="147"/>
    </row>
    <row r="132" spans="13:18" x14ac:dyDescent="0.2">
      <c r="M132" s="148"/>
      <c r="N132" s="149"/>
      <c r="O132" s="150"/>
      <c r="P132" s="151"/>
      <c r="Q132" s="149"/>
      <c r="R132" s="147"/>
    </row>
    <row r="133" spans="13:18" x14ac:dyDescent="0.2">
      <c r="M133" s="148"/>
      <c r="N133" s="149"/>
      <c r="O133" s="149"/>
      <c r="P133" s="149"/>
      <c r="Q133" s="149"/>
      <c r="R133" s="147"/>
    </row>
    <row r="134" spans="13:18" x14ac:dyDescent="0.2">
      <c r="M134" s="148"/>
      <c r="N134" s="149"/>
      <c r="O134" s="149"/>
      <c r="P134" s="149"/>
      <c r="Q134" s="149"/>
      <c r="R134" s="147"/>
    </row>
  </sheetData>
  <mergeCells count="1">
    <mergeCell ref="B9:N9"/>
  </mergeCells>
  <hyperlinks>
    <hyperlink ref="E5" r:id="rId1" display="https://www.oeb.ca/industry/rules-codes-and-requirements/prescribed-interest-rates" xr:uid="{D3EFB5CF-C15F-4764-8B05-506E17B513F7}"/>
  </hyperlinks>
  <printOptions horizontalCentered="1"/>
  <pageMargins left="0" right="0" top="0.98425196850393704" bottom="0.98425196850393704" header="0.51181102362204722" footer="0.51181102362204722"/>
  <pageSetup scale="74" fitToHeight="0" orientation="landscape" r:id="rId2"/>
  <headerFooter alignWithMargins="0">
    <oddHeader>&amp;C&amp;A</oddHeader>
    <oddFooter>&amp;L&amp;Z&amp;F&amp;R&amp;D</oddFooter>
  </headerFooter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33818-75C7-4D2E-9F7E-8CBE5E77F067}">
  <sheetPr>
    <pageSetUpPr fitToPage="1"/>
  </sheetPr>
  <dimension ref="A1:AB105"/>
  <sheetViews>
    <sheetView zoomScale="93" zoomScaleNormal="93" workbookViewId="0">
      <selection activeCell="N88" sqref="N88"/>
    </sheetView>
  </sheetViews>
  <sheetFormatPr defaultColWidth="9.140625" defaultRowHeight="12.75" x14ac:dyDescent="0.2"/>
  <cols>
    <col min="1" max="1" width="36.7109375" style="2" customWidth="1"/>
    <col min="2" max="2" width="12.140625" style="2" customWidth="1"/>
    <col min="3" max="3" width="11.85546875" style="2" customWidth="1"/>
    <col min="4" max="5" width="12.28515625" style="2" customWidth="1"/>
    <col min="6" max="6" width="12.7109375" style="2" customWidth="1"/>
    <col min="7" max="7" width="12.140625" style="2" customWidth="1"/>
    <col min="8" max="8" width="15.85546875" style="2" customWidth="1"/>
    <col min="9" max="9" width="12.28515625" style="2" bestFit="1" customWidth="1"/>
    <col min="10" max="10" width="12" style="2" bestFit="1" customWidth="1"/>
    <col min="11" max="11" width="11.85546875" style="2" bestFit="1" customWidth="1"/>
    <col min="12" max="12" width="11.5703125" style="2" bestFit="1" customWidth="1"/>
    <col min="13" max="13" width="12" style="2" bestFit="1" customWidth="1"/>
    <col min="14" max="14" width="12.42578125" style="2" bestFit="1" customWidth="1"/>
    <col min="15" max="15" width="13.28515625" style="2" customWidth="1"/>
    <col min="16" max="16" width="11.42578125" style="2" bestFit="1" customWidth="1"/>
    <col min="17" max="18" width="9.140625" style="2"/>
    <col min="19" max="19" width="10.42578125" style="2" bestFit="1" customWidth="1"/>
    <col min="20" max="20" width="9.42578125" style="2" bestFit="1" customWidth="1"/>
    <col min="21" max="16384" width="9.140625" style="2"/>
  </cols>
  <sheetData>
    <row r="1" spans="1:15" ht="18.75" x14ac:dyDescent="0.3">
      <c r="A1" s="1" t="s">
        <v>3</v>
      </c>
      <c r="C1" s="1" t="s">
        <v>192</v>
      </c>
    </row>
    <row r="2" spans="1:15" ht="18.75" x14ac:dyDescent="0.3">
      <c r="A2" s="1" t="s">
        <v>4</v>
      </c>
      <c r="C2" s="1"/>
      <c r="F2" s="47"/>
    </row>
    <row r="3" spans="1:15" ht="6" customHeight="1" thickBot="1" x14ac:dyDescent="0.25">
      <c r="B3" s="6"/>
      <c r="C3" s="7"/>
    </row>
    <row r="4" spans="1:15" x14ac:dyDescent="0.2">
      <c r="A4" s="8" t="s">
        <v>6</v>
      </c>
      <c r="B4" s="23">
        <v>4.7300000000000002E-2</v>
      </c>
      <c r="C4" s="10">
        <f>B4/12</f>
        <v>3.9416666666666671E-3</v>
      </c>
      <c r="E4" s="24" t="s">
        <v>38</v>
      </c>
      <c r="F4" s="25"/>
      <c r="G4" s="25"/>
      <c r="H4" s="26"/>
    </row>
    <row r="5" spans="1:15" x14ac:dyDescent="0.2">
      <c r="A5" s="8" t="s">
        <v>7</v>
      </c>
      <c r="B5" s="23">
        <v>4.9799999999999997E-2</v>
      </c>
      <c r="C5" s="10">
        <f>B5/12</f>
        <v>4.15E-3</v>
      </c>
      <c r="E5" s="28" t="s">
        <v>39</v>
      </c>
      <c r="H5" s="29"/>
    </row>
    <row r="6" spans="1:15" ht="13.5" thickBot="1" x14ac:dyDescent="0.25">
      <c r="A6" s="8" t="s">
        <v>8</v>
      </c>
      <c r="B6" s="23">
        <v>4.9799999999999997E-2</v>
      </c>
      <c r="C6" s="10">
        <f>B6/12</f>
        <v>4.15E-3</v>
      </c>
      <c r="E6" s="30"/>
      <c r="F6" s="31"/>
      <c r="G6" s="31"/>
      <c r="H6" s="32"/>
    </row>
    <row r="7" spans="1:15" x14ac:dyDescent="0.2">
      <c r="A7" s="8" t="s">
        <v>9</v>
      </c>
      <c r="B7" s="23">
        <v>5.4899999999999997E-2</v>
      </c>
      <c r="C7" s="10">
        <f>B7/12</f>
        <v>4.5750000000000001E-3</v>
      </c>
    </row>
    <row r="8" spans="1:15" x14ac:dyDescent="0.2">
      <c r="B8" s="6"/>
      <c r="C8" s="7"/>
    </row>
    <row r="9" spans="1:15" s="34" customFormat="1" ht="33.75" customHeight="1" x14ac:dyDescent="0.25">
      <c r="A9" s="33"/>
      <c r="B9" s="140">
        <v>2023</v>
      </c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</row>
    <row r="10" spans="1:15" hidden="1" x14ac:dyDescent="0.2">
      <c r="A10" s="8"/>
      <c r="B10" s="35"/>
      <c r="C10" s="36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11"/>
    </row>
    <row r="11" spans="1:15" hidden="1" x14ac:dyDescent="0.2">
      <c r="C11" s="6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5" hidden="1" x14ac:dyDescent="0.2">
      <c r="A12" s="13"/>
      <c r="B12" s="48"/>
      <c r="C12" s="21"/>
      <c r="D12" s="21"/>
      <c r="E12" s="21"/>
      <c r="F12" s="15"/>
      <c r="G12" s="15"/>
      <c r="H12" s="15"/>
      <c r="I12" s="15"/>
      <c r="J12" s="15"/>
      <c r="K12" s="15"/>
      <c r="L12" s="15"/>
      <c r="M12" s="15"/>
    </row>
    <row r="13" spans="1:15" hidden="1" x14ac:dyDescent="0.2">
      <c r="A13" s="13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7"/>
      <c r="O13" s="18"/>
    </row>
    <row r="14" spans="1:15" hidden="1" x14ac:dyDescent="0.2">
      <c r="A14" s="13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8"/>
    </row>
    <row r="15" spans="1:15" hidden="1" x14ac:dyDescent="0.2">
      <c r="A15" s="13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5" hidden="1" x14ac:dyDescent="0.2">
      <c r="A16" s="38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18"/>
    </row>
    <row r="17" spans="1:15" hidden="1" x14ac:dyDescent="0.2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5" hidden="1" x14ac:dyDescent="0.2">
      <c r="A18" s="8"/>
      <c r="B18" s="51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7"/>
      <c r="O18" s="18"/>
    </row>
    <row r="19" spans="1:15" hidden="1" x14ac:dyDescent="0.2">
      <c r="A19" s="8"/>
      <c r="B19" s="49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19"/>
    </row>
    <row r="20" spans="1:15" x14ac:dyDescent="0.2">
      <c r="A20" s="8"/>
      <c r="B20" s="21"/>
      <c r="C20" s="21"/>
      <c r="D20" s="21"/>
      <c r="E20" s="21"/>
      <c r="F20" s="21"/>
      <c r="G20" s="15"/>
      <c r="H20" s="15"/>
      <c r="I20" s="15"/>
      <c r="J20" s="15"/>
      <c r="K20" s="15"/>
      <c r="L20" s="15"/>
      <c r="M20" s="15"/>
      <c r="N20" s="19"/>
    </row>
    <row r="21" spans="1:15" x14ac:dyDescent="0.2">
      <c r="A21" s="63" t="s">
        <v>144</v>
      </c>
      <c r="B21" s="85" t="s">
        <v>10</v>
      </c>
      <c r="C21" s="86" t="s">
        <v>11</v>
      </c>
      <c r="D21" s="85" t="s">
        <v>12</v>
      </c>
      <c r="E21" s="85" t="s">
        <v>13</v>
      </c>
      <c r="F21" s="85" t="s">
        <v>14</v>
      </c>
      <c r="G21" s="85" t="s">
        <v>15</v>
      </c>
      <c r="H21" s="85" t="s">
        <v>16</v>
      </c>
      <c r="I21" s="85" t="s">
        <v>17</v>
      </c>
      <c r="J21" s="85" t="s">
        <v>18</v>
      </c>
      <c r="K21" s="85" t="s">
        <v>19</v>
      </c>
      <c r="L21" s="85" t="s">
        <v>20</v>
      </c>
      <c r="M21" s="85" t="s">
        <v>21</v>
      </c>
      <c r="N21" s="64" t="s">
        <v>22</v>
      </c>
      <c r="O21" s="66"/>
    </row>
    <row r="22" spans="1:15" x14ac:dyDescent="0.2">
      <c r="A22" s="67" t="s">
        <v>29</v>
      </c>
      <c r="C22" s="6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68"/>
    </row>
    <row r="23" spans="1:15" x14ac:dyDescent="0.2">
      <c r="A23" s="69" t="s">
        <v>23</v>
      </c>
      <c r="B23" s="132">
        <f>'CAM 2022'!M27</f>
        <v>141270</v>
      </c>
      <c r="C23" s="116" t="e">
        <f t="shared" ref="C23" si="0">B27</f>
        <v>#REF!</v>
      </c>
      <c r="D23" s="116" t="e">
        <f t="shared" ref="D23" si="1">C27</f>
        <v>#REF!</v>
      </c>
      <c r="E23" s="116" t="e">
        <f t="shared" ref="E23" si="2">D27</f>
        <v>#REF!</v>
      </c>
      <c r="F23" s="116" t="e">
        <f t="shared" ref="F23" si="3">E27</f>
        <v>#REF!</v>
      </c>
      <c r="G23" s="116" t="e">
        <f t="shared" ref="G23" si="4">F27</f>
        <v>#REF!</v>
      </c>
      <c r="H23" s="89" t="e">
        <f t="shared" ref="H23" si="5">G27</f>
        <v>#REF!</v>
      </c>
      <c r="I23" s="89" t="e">
        <f t="shared" ref="I23" si="6">H27</f>
        <v>#REF!</v>
      </c>
      <c r="J23" s="89" t="e">
        <f t="shared" ref="J23" si="7">I27</f>
        <v>#REF!</v>
      </c>
      <c r="K23" s="89" t="e">
        <f t="shared" ref="K23" si="8">J27</f>
        <v>#REF!</v>
      </c>
      <c r="L23" s="89" t="e">
        <f t="shared" ref="L23" si="9">K27</f>
        <v>#REF!</v>
      </c>
      <c r="M23" s="89" t="e">
        <f t="shared" ref="M23" si="10">L27</f>
        <v>#REF!</v>
      </c>
      <c r="N23" s="90"/>
      <c r="O23" s="91"/>
    </row>
    <row r="24" spans="1:15" x14ac:dyDescent="0.2">
      <c r="A24" s="69" t="s">
        <v>24</v>
      </c>
      <c r="B24" s="109" t="e">
        <f>B90</f>
        <v>#REF!</v>
      </c>
      <c r="C24" s="109"/>
      <c r="D24" s="109"/>
      <c r="E24" s="109"/>
      <c r="F24" s="109" t="e">
        <f>D90</f>
        <v>#REF!</v>
      </c>
      <c r="G24" s="109"/>
      <c r="H24" s="109" t="e">
        <f>G90</f>
        <v>#REF!</v>
      </c>
      <c r="I24" s="109"/>
      <c r="J24" s="109"/>
      <c r="K24" s="109" t="e">
        <f>J90</f>
        <v>#REF!</v>
      </c>
      <c r="L24" s="109"/>
      <c r="M24" s="109"/>
      <c r="N24" s="93"/>
      <c r="O24" s="91" t="e">
        <f>SUM(B24:M24)</f>
        <v>#REF!</v>
      </c>
    </row>
    <row r="25" spans="1:15" x14ac:dyDescent="0.2">
      <c r="A25" s="69" t="s">
        <v>25</v>
      </c>
      <c r="B25" s="116"/>
      <c r="C25" s="116"/>
      <c r="D25" s="116"/>
      <c r="E25" s="116"/>
      <c r="F25" s="116"/>
      <c r="G25" s="116"/>
      <c r="H25" s="89"/>
      <c r="I25" s="89"/>
      <c r="J25" s="89"/>
      <c r="K25" s="89"/>
      <c r="L25" s="89"/>
      <c r="M25" s="89"/>
      <c r="N25" s="90"/>
      <c r="O25" s="91"/>
    </row>
    <row r="26" spans="1:15" x14ac:dyDescent="0.2">
      <c r="A26" s="69"/>
      <c r="B26" s="116"/>
      <c r="C26" s="116"/>
      <c r="D26" s="116"/>
      <c r="E26" s="116"/>
      <c r="F26" s="116"/>
      <c r="G26" s="116"/>
      <c r="H26" s="89"/>
      <c r="I26" s="89"/>
      <c r="J26" s="89"/>
      <c r="K26" s="89"/>
      <c r="L26" s="89"/>
      <c r="M26" s="89"/>
      <c r="N26" s="90"/>
      <c r="O26" s="91"/>
    </row>
    <row r="27" spans="1:15" x14ac:dyDescent="0.2">
      <c r="A27" s="87" t="s">
        <v>30</v>
      </c>
      <c r="B27" s="117" t="e">
        <f>SUM(B23:B25)</f>
        <v>#REF!</v>
      </c>
      <c r="C27" s="117" t="e">
        <f>SUM(C23:C25)</f>
        <v>#REF!</v>
      </c>
      <c r="D27" s="117" t="e">
        <f t="shared" ref="D27:M27" si="11">SUM(D23:D25)</f>
        <v>#REF!</v>
      </c>
      <c r="E27" s="117" t="e">
        <f t="shared" si="11"/>
        <v>#REF!</v>
      </c>
      <c r="F27" s="117" t="e">
        <f t="shared" si="11"/>
        <v>#REF!</v>
      </c>
      <c r="G27" s="117" t="e">
        <f t="shared" si="11"/>
        <v>#REF!</v>
      </c>
      <c r="H27" s="117" t="e">
        <f t="shared" si="11"/>
        <v>#REF!</v>
      </c>
      <c r="I27" s="117" t="e">
        <f t="shared" si="11"/>
        <v>#REF!</v>
      </c>
      <c r="J27" s="117" t="e">
        <f t="shared" si="11"/>
        <v>#REF!</v>
      </c>
      <c r="K27" s="117" t="e">
        <f t="shared" si="11"/>
        <v>#REF!</v>
      </c>
      <c r="L27" s="117" t="e">
        <f t="shared" si="11"/>
        <v>#REF!</v>
      </c>
      <c r="M27" s="117" t="e">
        <f t="shared" si="11"/>
        <v>#REF!</v>
      </c>
      <c r="N27" s="90"/>
      <c r="O27" s="91"/>
    </row>
    <row r="28" spans="1:15" x14ac:dyDescent="0.2">
      <c r="A28" s="67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90"/>
      <c r="O28" s="91"/>
    </row>
    <row r="29" spans="1:15" x14ac:dyDescent="0.2">
      <c r="A29" s="73" t="s">
        <v>26</v>
      </c>
      <c r="B29" s="141">
        <f>ROUND(B23*$C$4,2)</f>
        <v>556.84</v>
      </c>
      <c r="C29" s="89" t="e">
        <f>ROUND(C23*$C$4,2)</f>
        <v>#REF!</v>
      </c>
      <c r="D29" s="89" t="e">
        <f>ROUND(D23*$C$4,2)</f>
        <v>#REF!</v>
      </c>
      <c r="E29" s="89" t="e">
        <f>ROUND(E23*$C$5,2)</f>
        <v>#REF!</v>
      </c>
      <c r="F29" s="89" t="e">
        <f>ROUND(F23*$C$5,2)</f>
        <v>#REF!</v>
      </c>
      <c r="G29" s="89" t="e">
        <f>ROUND(G23*$C$5,2)</f>
        <v>#REF!</v>
      </c>
      <c r="H29" s="89" t="e">
        <f>ROUND(H23*$C$6,2)</f>
        <v>#REF!</v>
      </c>
      <c r="I29" s="89" t="e">
        <f>ROUND(I23*$C$6,2)</f>
        <v>#REF!</v>
      </c>
      <c r="J29" s="89" t="e">
        <f>ROUND(J23*$C$6,2)</f>
        <v>#REF!</v>
      </c>
      <c r="K29" s="89" t="e">
        <f>ROUND(K23*$C$7,2)</f>
        <v>#REF!</v>
      </c>
      <c r="L29" s="89" t="e">
        <f>ROUND(L23*$C$7,2)</f>
        <v>#REF!</v>
      </c>
      <c r="M29" s="89" t="e">
        <f>ROUND(M23*$C$7,2)</f>
        <v>#REF!</v>
      </c>
      <c r="N29" s="93"/>
      <c r="O29" s="91" t="e">
        <f>SUM(B29:M29)</f>
        <v>#REF!</v>
      </c>
    </row>
    <row r="30" spans="1:15" x14ac:dyDescent="0.2">
      <c r="A30" s="78" t="s">
        <v>27</v>
      </c>
      <c r="B30" s="142">
        <f>B29+'CAM 2022'!M30</f>
        <v>7763.46</v>
      </c>
      <c r="C30" s="119" t="e">
        <f t="shared" ref="C30" si="12">B30+C29</f>
        <v>#REF!</v>
      </c>
      <c r="D30" s="119" t="e">
        <f t="shared" ref="D30" si="13">C30+D29</f>
        <v>#REF!</v>
      </c>
      <c r="E30" s="119" t="e">
        <f t="shared" ref="E30" si="14">D30+E29</f>
        <v>#REF!</v>
      </c>
      <c r="F30" s="119" t="e">
        <f t="shared" ref="F30" si="15">E30+F29</f>
        <v>#REF!</v>
      </c>
      <c r="G30" s="119" t="e">
        <f t="shared" ref="G30" si="16">F30+G29</f>
        <v>#REF!</v>
      </c>
      <c r="H30" s="119" t="e">
        <f t="shared" ref="H30" si="17">G30+H29</f>
        <v>#REF!</v>
      </c>
      <c r="I30" s="119" t="e">
        <f t="shared" ref="I30" si="18">H30+I29</f>
        <v>#REF!</v>
      </c>
      <c r="J30" s="119" t="e">
        <f t="shared" ref="J30" si="19">I30+J29</f>
        <v>#REF!</v>
      </c>
      <c r="K30" s="119" t="e">
        <f t="shared" ref="K30" si="20">J30+K29</f>
        <v>#REF!</v>
      </c>
      <c r="L30" s="119" t="e">
        <f t="shared" ref="L30" si="21">K30+L29</f>
        <v>#REF!</v>
      </c>
      <c r="M30" s="119" t="e">
        <f t="shared" ref="M30" si="22">L30+M29</f>
        <v>#REF!</v>
      </c>
      <c r="N30" s="94"/>
      <c r="O30" s="96"/>
    </row>
    <row r="31" spans="1:15" x14ac:dyDescent="0.2">
      <c r="A31" s="8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</row>
    <row r="32" spans="1:15" x14ac:dyDescent="0.2">
      <c r="A32" s="63" t="s">
        <v>28</v>
      </c>
      <c r="B32" s="120" t="s">
        <v>10</v>
      </c>
      <c r="C32" s="120" t="s">
        <v>11</v>
      </c>
      <c r="D32" s="120" t="s">
        <v>12</v>
      </c>
      <c r="E32" s="120" t="s">
        <v>13</v>
      </c>
      <c r="F32" s="120" t="s">
        <v>14</v>
      </c>
      <c r="G32" s="120" t="s">
        <v>15</v>
      </c>
      <c r="H32" s="120" t="s">
        <v>16</v>
      </c>
      <c r="I32" s="120" t="s">
        <v>17</v>
      </c>
      <c r="J32" s="120" t="s">
        <v>18</v>
      </c>
      <c r="K32" s="120" t="s">
        <v>19</v>
      </c>
      <c r="L32" s="120" t="s">
        <v>20</v>
      </c>
      <c r="M32" s="120" t="s">
        <v>21</v>
      </c>
      <c r="N32" s="97" t="s">
        <v>22</v>
      </c>
      <c r="O32" s="98"/>
    </row>
    <row r="33" spans="1:16" x14ac:dyDescent="0.2">
      <c r="A33" s="67" t="s">
        <v>29</v>
      </c>
      <c r="B33" s="90"/>
      <c r="C33" s="90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1"/>
    </row>
    <row r="34" spans="1:16" x14ac:dyDescent="0.2">
      <c r="A34" s="69" t="s">
        <v>23</v>
      </c>
      <c r="B34" s="132">
        <v>-124032</v>
      </c>
      <c r="C34" s="116">
        <f t="shared" ref="C34:M34" si="23">B38</f>
        <v>-127610</v>
      </c>
      <c r="D34" s="116">
        <f t="shared" si="23"/>
        <v>-127610</v>
      </c>
      <c r="E34" s="116">
        <f t="shared" si="23"/>
        <v>-127610</v>
      </c>
      <c r="F34" s="116">
        <f t="shared" si="23"/>
        <v>-127610</v>
      </c>
      <c r="G34" s="116">
        <f t="shared" si="23"/>
        <v>-129055</v>
      </c>
      <c r="H34" s="89">
        <f t="shared" si="23"/>
        <v>-129055</v>
      </c>
      <c r="I34" s="89">
        <f t="shared" si="23"/>
        <v>-130838</v>
      </c>
      <c r="J34" s="89">
        <f t="shared" si="23"/>
        <v>-130838</v>
      </c>
      <c r="K34" s="89">
        <f t="shared" si="23"/>
        <v>-130838</v>
      </c>
      <c r="L34" s="89">
        <f t="shared" si="23"/>
        <v>-132621</v>
      </c>
      <c r="M34" s="89">
        <f t="shared" si="23"/>
        <v>-132621</v>
      </c>
      <c r="N34" s="90"/>
      <c r="O34" s="91"/>
    </row>
    <row r="35" spans="1:16" x14ac:dyDescent="0.2">
      <c r="A35" s="69" t="s">
        <v>24</v>
      </c>
      <c r="B35" s="109">
        <v>-3578</v>
      </c>
      <c r="C35" s="109"/>
      <c r="D35" s="109"/>
      <c r="E35" s="109"/>
      <c r="F35" s="109">
        <v>-1445</v>
      </c>
      <c r="G35" s="109"/>
      <c r="H35" s="109">
        <v>-1783</v>
      </c>
      <c r="I35" s="109"/>
      <c r="J35" s="109"/>
      <c r="K35" s="109">
        <v>-1783</v>
      </c>
      <c r="L35" s="109"/>
      <c r="M35" s="109"/>
      <c r="N35" s="93"/>
      <c r="O35" s="91">
        <f>SUM(B35:M35)</f>
        <v>-8589</v>
      </c>
      <c r="P35" s="18"/>
    </row>
    <row r="36" spans="1:16" x14ac:dyDescent="0.2">
      <c r="A36" s="69" t="s">
        <v>25</v>
      </c>
      <c r="B36" s="116"/>
      <c r="C36" s="116"/>
      <c r="D36" s="116"/>
      <c r="E36" s="116"/>
      <c r="F36" s="116"/>
      <c r="G36" s="116"/>
      <c r="H36" s="89"/>
      <c r="I36" s="89"/>
      <c r="J36" s="89"/>
      <c r="K36" s="89"/>
      <c r="L36" s="89"/>
      <c r="M36" s="89"/>
      <c r="N36" s="90"/>
      <c r="O36" s="91"/>
    </row>
    <row r="37" spans="1:16" x14ac:dyDescent="0.2">
      <c r="A37" s="69"/>
      <c r="B37" s="116"/>
      <c r="C37" s="116"/>
      <c r="D37" s="116"/>
      <c r="E37" s="116"/>
      <c r="F37" s="116"/>
      <c r="G37" s="116"/>
      <c r="H37" s="89"/>
      <c r="I37" s="89"/>
      <c r="J37" s="89"/>
      <c r="K37" s="89"/>
      <c r="L37" s="89"/>
      <c r="M37" s="89"/>
      <c r="N37" s="90"/>
      <c r="O37" s="91"/>
    </row>
    <row r="38" spans="1:16" x14ac:dyDescent="0.2">
      <c r="A38" s="87" t="s">
        <v>30</v>
      </c>
      <c r="B38" s="117">
        <f>SUM(B34:B36)</f>
        <v>-127610</v>
      </c>
      <c r="C38" s="117">
        <f>SUM(C34:C36)</f>
        <v>-127610</v>
      </c>
      <c r="D38" s="117">
        <f t="shared" ref="D38:M38" si="24">SUM(D34:D36)</f>
        <v>-127610</v>
      </c>
      <c r="E38" s="117">
        <f t="shared" si="24"/>
        <v>-127610</v>
      </c>
      <c r="F38" s="117">
        <f t="shared" si="24"/>
        <v>-129055</v>
      </c>
      <c r="G38" s="117">
        <f t="shared" si="24"/>
        <v>-129055</v>
      </c>
      <c r="H38" s="117">
        <f t="shared" si="24"/>
        <v>-130838</v>
      </c>
      <c r="I38" s="117">
        <f t="shared" si="24"/>
        <v>-130838</v>
      </c>
      <c r="J38" s="117">
        <f t="shared" si="24"/>
        <v>-130838</v>
      </c>
      <c r="K38" s="117">
        <f t="shared" si="24"/>
        <v>-132621</v>
      </c>
      <c r="L38" s="117">
        <f t="shared" si="24"/>
        <v>-132621</v>
      </c>
      <c r="M38" s="117">
        <f t="shared" si="24"/>
        <v>-132621</v>
      </c>
      <c r="N38" s="90"/>
      <c r="O38" s="91"/>
    </row>
    <row r="39" spans="1:16" x14ac:dyDescent="0.2">
      <c r="A39" s="67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90"/>
      <c r="O39" s="91"/>
    </row>
    <row r="40" spans="1:16" x14ac:dyDescent="0.2">
      <c r="A40" s="73" t="s">
        <v>26</v>
      </c>
      <c r="B40" s="141">
        <f>ROUND(B34*$C$4,2)</f>
        <v>-488.89</v>
      </c>
      <c r="C40" s="89">
        <f>ROUND(C34*$C$4,2)</f>
        <v>-503</v>
      </c>
      <c r="D40" s="89">
        <f>ROUND(D34*$C$4,2)</f>
        <v>-503</v>
      </c>
      <c r="E40" s="89">
        <f>ROUND(E34*$C$5,2)</f>
        <v>-529.58000000000004</v>
      </c>
      <c r="F40" s="89">
        <f>ROUND(F34*$C$5,2)</f>
        <v>-529.58000000000004</v>
      </c>
      <c r="G40" s="89">
        <f>ROUND(G34*$C$5,2)</f>
        <v>-535.58000000000004</v>
      </c>
      <c r="H40" s="89">
        <f>ROUND(H34*$C$6,2)</f>
        <v>-535.58000000000004</v>
      </c>
      <c r="I40" s="89">
        <f>ROUND(I34*$C$6,2)</f>
        <v>-542.98</v>
      </c>
      <c r="J40" s="89">
        <f>ROUND(J34*$C$6,2)</f>
        <v>-542.98</v>
      </c>
      <c r="K40" s="89">
        <f>ROUND(K34*$C$7,2)</f>
        <v>-598.58000000000004</v>
      </c>
      <c r="L40" s="89">
        <f>ROUND(L34*$C$7,2)</f>
        <v>-606.74</v>
      </c>
      <c r="M40" s="89">
        <f>ROUND(M34*$C$7,2)</f>
        <v>-606.74</v>
      </c>
      <c r="N40" s="93"/>
      <c r="O40" s="91">
        <f>SUM(B40:M40)</f>
        <v>-6523.23</v>
      </c>
    </row>
    <row r="41" spans="1:16" x14ac:dyDescent="0.2">
      <c r="A41" s="78" t="s">
        <v>27</v>
      </c>
      <c r="B41" s="142">
        <f>B40+-6431.43</f>
        <v>-6920.3200000000006</v>
      </c>
      <c r="C41" s="119">
        <f t="shared" ref="C41:M41" si="25">B41+C40</f>
        <v>-7423.3200000000006</v>
      </c>
      <c r="D41" s="119">
        <f t="shared" si="25"/>
        <v>-7926.3200000000006</v>
      </c>
      <c r="E41" s="119">
        <f t="shared" si="25"/>
        <v>-8455.9000000000015</v>
      </c>
      <c r="F41" s="119">
        <f t="shared" si="25"/>
        <v>-8985.4800000000014</v>
      </c>
      <c r="G41" s="119">
        <f t="shared" si="25"/>
        <v>-9521.0600000000013</v>
      </c>
      <c r="H41" s="119">
        <f t="shared" si="25"/>
        <v>-10056.640000000001</v>
      </c>
      <c r="I41" s="119">
        <f t="shared" si="25"/>
        <v>-10599.62</v>
      </c>
      <c r="J41" s="119">
        <f t="shared" si="25"/>
        <v>-11142.6</v>
      </c>
      <c r="K41" s="119">
        <f t="shared" si="25"/>
        <v>-11741.18</v>
      </c>
      <c r="L41" s="119">
        <f t="shared" si="25"/>
        <v>-12347.92</v>
      </c>
      <c r="M41" s="119">
        <f t="shared" si="25"/>
        <v>-12954.66</v>
      </c>
      <c r="N41" s="94"/>
      <c r="O41" s="96"/>
    </row>
    <row r="42" spans="1:16" x14ac:dyDescent="0.2">
      <c r="A42" s="8"/>
      <c r="B42" s="111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</row>
    <row r="43" spans="1:16" hidden="1" x14ac:dyDescent="0.2">
      <c r="A43" s="8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0"/>
    </row>
    <row r="44" spans="1:16" hidden="1" x14ac:dyDescent="0.2"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0"/>
    </row>
    <row r="45" spans="1:16" hidden="1" x14ac:dyDescent="0.2">
      <c r="A45" s="13"/>
      <c r="B45" s="133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</row>
    <row r="46" spans="1:16" hidden="1" x14ac:dyDescent="0.2">
      <c r="A46" s="13"/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30"/>
      <c r="O46" s="90"/>
    </row>
    <row r="47" spans="1:16" hidden="1" x14ac:dyDescent="0.2">
      <c r="A47" s="13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</row>
    <row r="48" spans="1:16" hidden="1" x14ac:dyDescent="0.2">
      <c r="A48" s="13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</row>
    <row r="49" spans="1:20" hidden="1" x14ac:dyDescent="0.2">
      <c r="A49" s="42"/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90"/>
      <c r="O49" s="90"/>
    </row>
    <row r="50" spans="1:20" hidden="1" x14ac:dyDescent="0.2"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</row>
    <row r="51" spans="1:20" hidden="1" x14ac:dyDescent="0.2">
      <c r="A51" s="8"/>
      <c r="B51" s="143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3"/>
      <c r="O51" s="90"/>
      <c r="P51" s="18"/>
    </row>
    <row r="52" spans="1:20" hidden="1" x14ac:dyDescent="0.2">
      <c r="B52" s="13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90"/>
      <c r="O52" s="90"/>
    </row>
    <row r="53" spans="1:20" hidden="1" x14ac:dyDescent="0.2">
      <c r="A53" s="8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</row>
    <row r="54" spans="1:20" hidden="1" x14ac:dyDescent="0.2">
      <c r="A54" s="8"/>
      <c r="B54" s="13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99"/>
      <c r="O54" s="90"/>
    </row>
    <row r="55" spans="1:20" hidden="1" x14ac:dyDescent="0.2">
      <c r="B55" s="90"/>
      <c r="C55" s="90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0"/>
    </row>
    <row r="56" spans="1:20" hidden="1" x14ac:dyDescent="0.2">
      <c r="A56" s="13"/>
      <c r="B56" s="133"/>
      <c r="C56" s="111"/>
      <c r="D56" s="111"/>
      <c r="E56" s="111"/>
      <c r="F56" s="111"/>
      <c r="G56" s="111"/>
      <c r="H56" s="90"/>
      <c r="I56" s="90"/>
      <c r="J56" s="90"/>
      <c r="K56" s="90"/>
      <c r="L56" s="90"/>
      <c r="M56" s="90"/>
      <c r="N56" s="90"/>
      <c r="O56" s="90"/>
    </row>
    <row r="57" spans="1:20" hidden="1" x14ac:dyDescent="0.2">
      <c r="A57" s="13"/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36"/>
      <c r="O57" s="90"/>
    </row>
    <row r="58" spans="1:20" hidden="1" x14ac:dyDescent="0.2">
      <c r="A58" s="13"/>
      <c r="B58" s="111"/>
      <c r="C58" s="111"/>
      <c r="D58" s="111"/>
      <c r="E58" s="111"/>
      <c r="F58" s="111"/>
      <c r="G58" s="111"/>
      <c r="H58" s="90"/>
      <c r="I58" s="90"/>
      <c r="J58" s="90"/>
      <c r="K58" s="90"/>
      <c r="L58" s="90"/>
      <c r="M58" s="90"/>
      <c r="N58" s="90"/>
      <c r="O58" s="90"/>
    </row>
    <row r="59" spans="1:20" hidden="1" x14ac:dyDescent="0.2">
      <c r="A59" s="13"/>
      <c r="B59" s="111"/>
      <c r="C59" s="111"/>
      <c r="D59" s="111"/>
      <c r="E59" s="111"/>
      <c r="F59" s="111"/>
      <c r="G59" s="111"/>
      <c r="H59" s="90"/>
      <c r="I59" s="90"/>
      <c r="J59" s="90"/>
      <c r="K59" s="90"/>
      <c r="L59" s="90"/>
      <c r="M59" s="90"/>
      <c r="N59" s="90"/>
      <c r="O59" s="90"/>
    </row>
    <row r="60" spans="1:20" hidden="1" x14ac:dyDescent="0.2">
      <c r="A60" s="38"/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90"/>
      <c r="O60" s="90"/>
    </row>
    <row r="61" spans="1:20" hidden="1" x14ac:dyDescent="0.2">
      <c r="A61" s="8"/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</row>
    <row r="62" spans="1:20" hidden="1" x14ac:dyDescent="0.2">
      <c r="A62" s="8"/>
      <c r="B62" s="143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136"/>
      <c r="O62" s="90"/>
      <c r="P62" s="18"/>
    </row>
    <row r="63" spans="1:20" hidden="1" x14ac:dyDescent="0.2">
      <c r="B63" s="134"/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90"/>
      <c r="O63" s="90"/>
    </row>
    <row r="64" spans="1:20" hidden="1" x14ac:dyDescent="0.2">
      <c r="A64" s="8"/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S64" s="52"/>
      <c r="T64" s="53"/>
    </row>
    <row r="65" spans="1:19" s="8" customFormat="1" hidden="1" x14ac:dyDescent="0.2">
      <c r="A65" s="43"/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5"/>
      <c r="O65" s="146"/>
    </row>
    <row r="66" spans="1:19" hidden="1" x14ac:dyDescent="0.2">
      <c r="A66" s="8"/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</row>
    <row r="67" spans="1:19" ht="13.5" hidden="1" thickBot="1" x14ac:dyDescent="0.25">
      <c r="A67" s="8"/>
      <c r="B67" s="128"/>
      <c r="C67" s="128"/>
      <c r="D67" s="128"/>
      <c r="E67" s="128"/>
      <c r="F67" s="128"/>
      <c r="G67" s="128"/>
      <c r="H67" s="128"/>
      <c r="I67" s="128"/>
      <c r="J67" s="128"/>
      <c r="K67" s="128"/>
      <c r="L67" s="128"/>
      <c r="M67" s="128"/>
      <c r="N67" s="90"/>
      <c r="O67" s="90"/>
    </row>
    <row r="68" spans="1:19" ht="13.5" hidden="1" thickTop="1" x14ac:dyDescent="0.2">
      <c r="A68" s="44"/>
      <c r="B68" s="129"/>
      <c r="C68" s="129"/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90"/>
      <c r="O68" s="90"/>
      <c r="S68" s="45"/>
    </row>
    <row r="69" spans="1:19" hidden="1" x14ac:dyDescent="0.2"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</row>
    <row r="70" spans="1:19" hidden="1" x14ac:dyDescent="0.2"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S70" s="45"/>
    </row>
    <row r="71" spans="1:19" hidden="1" x14ac:dyDescent="0.2"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</row>
    <row r="72" spans="1:19" hidden="1" x14ac:dyDescent="0.2">
      <c r="A72" s="18"/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</row>
    <row r="73" spans="1:19" hidden="1" x14ac:dyDescent="0.2">
      <c r="A73" s="18"/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</row>
    <row r="74" spans="1:19" hidden="1" x14ac:dyDescent="0.2"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</row>
    <row r="75" spans="1:19" hidden="1" x14ac:dyDescent="0.2"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</row>
    <row r="76" spans="1:19" hidden="1" x14ac:dyDescent="0.2"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</row>
    <row r="77" spans="1:19" hidden="1" x14ac:dyDescent="0.2"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</row>
    <row r="78" spans="1:19" hidden="1" x14ac:dyDescent="0.2"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</row>
    <row r="79" spans="1:19" hidden="1" x14ac:dyDescent="0.2"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</row>
    <row r="80" spans="1:19" hidden="1" x14ac:dyDescent="0.2"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</row>
    <row r="81" spans="1:28" hidden="1" x14ac:dyDescent="0.2"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AB81" s="50"/>
    </row>
    <row r="82" spans="1:28" hidden="1" x14ac:dyDescent="0.2"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</row>
    <row r="83" spans="1:28" x14ac:dyDescent="0.2"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AB83" s="50"/>
    </row>
    <row r="84" spans="1:28" x14ac:dyDescent="0.2">
      <c r="A84" s="2" t="s">
        <v>0</v>
      </c>
      <c r="B84" s="61"/>
      <c r="C84" s="61"/>
      <c r="D84" s="105" t="e">
        <f>#REF!</f>
        <v>#REF!</v>
      </c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90"/>
    </row>
    <row r="85" spans="1:28" x14ac:dyDescent="0.2">
      <c r="A85" s="2" t="s">
        <v>143</v>
      </c>
      <c r="B85" s="105">
        <f>'OEB costs'!F29</f>
        <v>14085</v>
      </c>
      <c r="C85" s="61"/>
      <c r="D85" s="105">
        <f>'OEB costs'!F30</f>
        <v>16218</v>
      </c>
      <c r="E85" s="61"/>
      <c r="F85" s="61"/>
      <c r="G85" s="105">
        <f>'OEB costs'!F31</f>
        <v>15880</v>
      </c>
      <c r="H85" s="61"/>
      <c r="I85" s="61"/>
      <c r="J85" s="105">
        <f>'OEB costs'!F32</f>
        <v>15880</v>
      </c>
      <c r="K85" s="61"/>
      <c r="L85" s="61"/>
      <c r="M85" s="61"/>
      <c r="N85" s="106" t="s">
        <v>190</v>
      </c>
      <c r="O85" s="90"/>
    </row>
    <row r="86" spans="1:28" x14ac:dyDescent="0.2">
      <c r="A86" s="63" t="s">
        <v>41</v>
      </c>
      <c r="B86" s="107" t="s">
        <v>147</v>
      </c>
      <c r="C86" s="107" t="s">
        <v>148</v>
      </c>
      <c r="D86" s="107" t="s">
        <v>147</v>
      </c>
      <c r="E86" s="107" t="s">
        <v>148</v>
      </c>
      <c r="F86" s="107"/>
      <c r="G86" s="107" t="s">
        <v>147</v>
      </c>
      <c r="H86" s="107" t="s">
        <v>148</v>
      </c>
      <c r="I86" s="107"/>
      <c r="J86" s="107" t="s">
        <v>147</v>
      </c>
      <c r="K86" s="107" t="s">
        <v>148</v>
      </c>
      <c r="L86" s="107"/>
      <c r="M86" s="107"/>
      <c r="N86" s="81"/>
      <c r="O86" s="90"/>
    </row>
    <row r="87" spans="1:28" x14ac:dyDescent="0.2">
      <c r="A87" s="67" t="s">
        <v>1</v>
      </c>
      <c r="B87" s="61">
        <f>C89</f>
        <v>14085</v>
      </c>
      <c r="C87" s="61"/>
      <c r="D87" s="61">
        <f>E89</f>
        <v>16218</v>
      </c>
      <c r="E87" s="61"/>
      <c r="F87" s="61"/>
      <c r="G87" s="61">
        <f>H89</f>
        <v>15880</v>
      </c>
      <c r="H87" s="61"/>
      <c r="I87" s="61"/>
      <c r="J87" s="61">
        <f>K89</f>
        <v>15880</v>
      </c>
      <c r="K87" s="61"/>
      <c r="L87" s="61"/>
      <c r="M87" s="61"/>
      <c r="N87" s="77">
        <f>SUM(B87:M87)</f>
        <v>62063</v>
      </c>
      <c r="O87" s="90"/>
    </row>
    <row r="88" spans="1:28" x14ac:dyDescent="0.2">
      <c r="A88" s="67" t="s">
        <v>2</v>
      </c>
      <c r="B88" s="61"/>
      <c r="C88" s="61" t="e">
        <f>C89-$D84</f>
        <v>#REF!</v>
      </c>
      <c r="D88" s="61"/>
      <c r="E88" s="61" t="e">
        <f>E89-$D84</f>
        <v>#REF!</v>
      </c>
      <c r="F88" s="61"/>
      <c r="G88" s="61"/>
      <c r="H88" s="61" t="e">
        <f>H89-$D84</f>
        <v>#REF!</v>
      </c>
      <c r="I88" s="61"/>
      <c r="J88" s="61"/>
      <c r="K88" s="61" t="e">
        <f>K89-$D84</f>
        <v>#REF!</v>
      </c>
      <c r="L88" s="61"/>
      <c r="M88" s="61"/>
      <c r="N88" s="77" t="e">
        <f>-SUM(B88:M88)</f>
        <v>#REF!</v>
      </c>
      <c r="O88" s="90"/>
    </row>
    <row r="89" spans="1:28" x14ac:dyDescent="0.2">
      <c r="A89" s="67" t="s">
        <v>145</v>
      </c>
      <c r="B89" s="61"/>
      <c r="C89" s="61">
        <f>B85</f>
        <v>14085</v>
      </c>
      <c r="D89" s="61"/>
      <c r="E89" s="61">
        <f>D85</f>
        <v>16218</v>
      </c>
      <c r="F89" s="61"/>
      <c r="G89" s="61"/>
      <c r="H89" s="61">
        <f>G85</f>
        <v>15880</v>
      </c>
      <c r="I89" s="61"/>
      <c r="J89" s="61"/>
      <c r="K89" s="61">
        <f>J85</f>
        <v>15880</v>
      </c>
      <c r="L89" s="61"/>
      <c r="M89" s="61"/>
      <c r="N89" s="77">
        <f>-SUM(B89:M89)</f>
        <v>-62063</v>
      </c>
      <c r="O89" s="90"/>
    </row>
    <row r="90" spans="1:28" x14ac:dyDescent="0.2">
      <c r="A90" s="78" t="s">
        <v>29</v>
      </c>
      <c r="B90" s="108" t="e">
        <f>C88</f>
        <v>#REF!</v>
      </c>
      <c r="C90" s="108"/>
      <c r="D90" s="108" t="e">
        <f>E88</f>
        <v>#REF!</v>
      </c>
      <c r="E90" s="108"/>
      <c r="F90" s="108"/>
      <c r="G90" s="108" t="e">
        <f>H88</f>
        <v>#REF!</v>
      </c>
      <c r="H90" s="108"/>
      <c r="I90" s="108"/>
      <c r="J90" s="108" t="e">
        <f>K88</f>
        <v>#REF!</v>
      </c>
      <c r="K90" s="108"/>
      <c r="L90" s="108"/>
      <c r="M90" s="108"/>
      <c r="N90" s="80" t="e">
        <f t="shared" ref="N90" si="26">SUM(B90:M90)</f>
        <v>#REF!</v>
      </c>
      <c r="O90" s="90"/>
    </row>
    <row r="91" spans="1:28" x14ac:dyDescent="0.2"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90"/>
    </row>
    <row r="92" spans="1:28" x14ac:dyDescent="0.2">
      <c r="A92" s="63" t="s">
        <v>40</v>
      </c>
      <c r="B92" s="107" t="s">
        <v>147</v>
      </c>
      <c r="C92" s="107" t="s">
        <v>148</v>
      </c>
      <c r="D92" s="107" t="s">
        <v>147</v>
      </c>
      <c r="E92" s="107" t="s">
        <v>148</v>
      </c>
      <c r="F92" s="107"/>
      <c r="G92" s="107" t="s">
        <v>147</v>
      </c>
      <c r="H92" s="107" t="s">
        <v>148</v>
      </c>
      <c r="I92" s="107"/>
      <c r="J92" s="107" t="s">
        <v>147</v>
      </c>
      <c r="K92" s="107" t="s">
        <v>148</v>
      </c>
      <c r="L92" s="107"/>
      <c r="M92" s="107"/>
      <c r="N92" s="81"/>
      <c r="O92" s="90"/>
    </row>
    <row r="93" spans="1:28" x14ac:dyDescent="0.2">
      <c r="A93" s="67" t="s">
        <v>1</v>
      </c>
      <c r="B93" s="61">
        <v>17663</v>
      </c>
      <c r="C93" s="61"/>
      <c r="D93" s="61">
        <v>17663</v>
      </c>
      <c r="E93" s="61"/>
      <c r="F93" s="61"/>
      <c r="G93" s="61">
        <v>17663</v>
      </c>
      <c r="H93" s="61"/>
      <c r="I93" s="61"/>
      <c r="J93" s="61">
        <v>17663</v>
      </c>
      <c r="K93" s="61"/>
      <c r="L93" s="61"/>
      <c r="M93" s="61"/>
      <c r="N93" s="77">
        <f t="shared" ref="N93:N97" si="27">SUM(B93:M93)</f>
        <v>70652</v>
      </c>
      <c r="O93" s="90"/>
    </row>
    <row r="94" spans="1:28" x14ac:dyDescent="0.2">
      <c r="A94" s="67" t="s">
        <v>29</v>
      </c>
      <c r="B94" s="61"/>
      <c r="C94" s="61">
        <f>B93-C95</f>
        <v>3578</v>
      </c>
      <c r="D94" s="61"/>
      <c r="E94" s="61">
        <f>D93-E95</f>
        <v>1445</v>
      </c>
      <c r="F94" s="61"/>
      <c r="G94" s="61"/>
      <c r="H94" s="61">
        <f>G93-H95</f>
        <v>1783</v>
      </c>
      <c r="I94" s="61"/>
      <c r="J94" s="61"/>
      <c r="K94" s="61">
        <f>J93-K95</f>
        <v>1783</v>
      </c>
      <c r="L94" s="61"/>
      <c r="M94" s="61"/>
      <c r="N94" s="77">
        <f>-SUM(B94:M94)</f>
        <v>-8589</v>
      </c>
      <c r="O94" s="90"/>
    </row>
    <row r="95" spans="1:28" x14ac:dyDescent="0.2">
      <c r="A95" s="67" t="s">
        <v>145</v>
      </c>
      <c r="B95" s="61"/>
      <c r="C95" s="61">
        <f>B85</f>
        <v>14085</v>
      </c>
      <c r="D95" s="61"/>
      <c r="E95" s="61">
        <f>D85</f>
        <v>16218</v>
      </c>
      <c r="F95" s="61"/>
      <c r="G95" s="61"/>
      <c r="H95" s="61">
        <f>G85</f>
        <v>15880</v>
      </c>
      <c r="I95" s="61"/>
      <c r="J95" s="61"/>
      <c r="K95" s="61">
        <f>J85</f>
        <v>15880</v>
      </c>
      <c r="L95" s="61"/>
      <c r="M95" s="61"/>
      <c r="N95" s="77">
        <f>-SUM(B95:M95)</f>
        <v>-62063</v>
      </c>
      <c r="O95" s="90"/>
    </row>
    <row r="96" spans="1:28" x14ac:dyDescent="0.2">
      <c r="A96" s="67" t="s">
        <v>1</v>
      </c>
      <c r="B96" s="61"/>
      <c r="C96" s="61">
        <f>C94</f>
        <v>3578</v>
      </c>
      <c r="D96" s="61"/>
      <c r="E96" s="61">
        <f>E94</f>
        <v>1445</v>
      </c>
      <c r="F96" s="61"/>
      <c r="G96" s="61"/>
      <c r="H96" s="61">
        <f>H94</f>
        <v>1783</v>
      </c>
      <c r="I96" s="61"/>
      <c r="J96" s="61"/>
      <c r="K96" s="61">
        <f>K94</f>
        <v>1783</v>
      </c>
      <c r="L96" s="61"/>
      <c r="M96" s="61"/>
      <c r="N96" s="77">
        <f>-SUM(B96:M96)</f>
        <v>-8589</v>
      </c>
      <c r="O96" s="90"/>
    </row>
    <row r="97" spans="1:15" x14ac:dyDescent="0.2">
      <c r="A97" s="78" t="s">
        <v>2</v>
      </c>
      <c r="B97" s="108">
        <f>C96</f>
        <v>3578</v>
      </c>
      <c r="C97" s="108"/>
      <c r="D97" s="108">
        <f>E96</f>
        <v>1445</v>
      </c>
      <c r="E97" s="108"/>
      <c r="F97" s="108"/>
      <c r="G97" s="108">
        <f>H96</f>
        <v>1783</v>
      </c>
      <c r="H97" s="108"/>
      <c r="I97" s="108"/>
      <c r="J97" s="108">
        <f>K96</f>
        <v>1783</v>
      </c>
      <c r="K97" s="108"/>
      <c r="L97" s="108"/>
      <c r="M97" s="108"/>
      <c r="N97" s="80">
        <f t="shared" si="27"/>
        <v>8589</v>
      </c>
      <c r="O97" s="90"/>
    </row>
    <row r="98" spans="1:15" x14ac:dyDescent="0.2">
      <c r="B98" s="90"/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</row>
    <row r="99" spans="1:15" x14ac:dyDescent="0.2">
      <c r="A99" s="63" t="s">
        <v>188</v>
      </c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  <c r="N99" s="98"/>
      <c r="O99" s="90"/>
    </row>
    <row r="100" spans="1:15" x14ac:dyDescent="0.2">
      <c r="A100" s="67" t="s">
        <v>36</v>
      </c>
      <c r="B100" s="90"/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1" t="e">
        <f>O29</f>
        <v>#REF!</v>
      </c>
      <c r="O100" s="90"/>
    </row>
    <row r="101" spans="1:15" x14ac:dyDescent="0.2">
      <c r="A101" s="78" t="s">
        <v>35</v>
      </c>
      <c r="B101" s="94"/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6" t="e">
        <f>-N100</f>
        <v>#REF!</v>
      </c>
      <c r="O101" s="90"/>
    </row>
    <row r="102" spans="1:15" x14ac:dyDescent="0.2">
      <c r="B102" s="90"/>
      <c r="C102" s="90"/>
      <c r="D102" s="90"/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90"/>
    </row>
    <row r="103" spans="1:15" x14ac:dyDescent="0.2">
      <c r="A103" s="63" t="s">
        <v>189</v>
      </c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  <c r="N103" s="98"/>
      <c r="O103" s="90"/>
    </row>
    <row r="104" spans="1:15" x14ac:dyDescent="0.2">
      <c r="A104" s="67" t="s">
        <v>36</v>
      </c>
      <c r="B104" s="90"/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1">
        <f>O40</f>
        <v>-6523.23</v>
      </c>
      <c r="O104" s="90"/>
    </row>
    <row r="105" spans="1:15" x14ac:dyDescent="0.2">
      <c r="A105" s="78" t="s">
        <v>37</v>
      </c>
      <c r="B105" s="94"/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6">
        <f>-N104</f>
        <v>6523.23</v>
      </c>
      <c r="O105" s="90"/>
    </row>
  </sheetData>
  <mergeCells count="1">
    <mergeCell ref="B9:N9"/>
  </mergeCells>
  <hyperlinks>
    <hyperlink ref="E5" r:id="rId1" display="https://www.oeb.ca/industry/rules-codes-and-requirements/prescribed-interest-rates" xr:uid="{97C6BC06-B758-4646-8122-74B462AF8D70}"/>
  </hyperlinks>
  <printOptions horizontalCentered="1"/>
  <pageMargins left="0" right="0" top="0.98425196850393704" bottom="0.98425196850393704" header="0.51181102362204722" footer="0.51181102362204722"/>
  <pageSetup scale="74" fitToHeight="0" orientation="landscape" r:id="rId2"/>
  <headerFooter alignWithMargins="0">
    <oddHeader>&amp;C&amp;A</oddHeader>
    <oddFooter>&amp;L&amp;Z&amp;F&amp;R&amp;D</oddFooter>
  </headerFooter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23522-D14F-46FB-9993-0A1D50F91112}">
  <dimension ref="A1:G32"/>
  <sheetViews>
    <sheetView topLeftCell="A15" workbookViewId="0">
      <selection activeCell="F29" sqref="F29"/>
    </sheetView>
  </sheetViews>
  <sheetFormatPr defaultColWidth="9.140625" defaultRowHeight="12" x14ac:dyDescent="0.25"/>
  <cols>
    <col min="1" max="1" width="12.5703125" style="54" customWidth="1"/>
    <col min="2" max="2" width="16.28515625" style="54" customWidth="1"/>
    <col min="3" max="3" width="15.85546875" style="54" customWidth="1"/>
    <col min="4" max="4" width="15.7109375" style="55" customWidth="1"/>
    <col min="5" max="5" width="14.85546875" style="54" customWidth="1"/>
    <col min="6" max="6" width="20.85546875" style="56" customWidth="1"/>
    <col min="7" max="7" width="25.7109375" style="54" bestFit="1" customWidth="1"/>
    <col min="8" max="16384" width="9.140625" style="54"/>
  </cols>
  <sheetData>
    <row r="1" spans="1:7" ht="17.45" customHeight="1" x14ac:dyDescent="0.25">
      <c r="A1" s="54" t="s">
        <v>42</v>
      </c>
      <c r="B1" s="54" t="s">
        <v>43</v>
      </c>
      <c r="C1" s="54" t="s">
        <v>44</v>
      </c>
      <c r="D1" s="54" t="s">
        <v>45</v>
      </c>
      <c r="E1" s="54" t="s">
        <v>46</v>
      </c>
      <c r="F1" s="54" t="s">
        <v>47</v>
      </c>
      <c r="G1" s="54" t="s">
        <v>48</v>
      </c>
    </row>
    <row r="2" spans="1:7" ht="17.45" customHeight="1" x14ac:dyDescent="0.25">
      <c r="A2" s="54" t="s">
        <v>49</v>
      </c>
      <c r="B2" s="54" t="s">
        <v>51</v>
      </c>
      <c r="C2" s="54" t="s">
        <v>50</v>
      </c>
      <c r="D2" s="55">
        <f>DATE(2016,4,1)</f>
        <v>42461</v>
      </c>
      <c r="E2" s="54" t="s">
        <v>52</v>
      </c>
      <c r="F2" s="56">
        <v>13178</v>
      </c>
      <c r="G2" s="54" t="s">
        <v>53</v>
      </c>
    </row>
    <row r="3" spans="1:7" ht="17.45" customHeight="1" x14ac:dyDescent="0.25">
      <c r="A3" s="54" t="s">
        <v>49</v>
      </c>
      <c r="B3" s="54" t="s">
        <v>54</v>
      </c>
      <c r="C3" s="54" t="s">
        <v>50</v>
      </c>
      <c r="D3" s="55">
        <f>DATE(2016,7,1)</f>
        <v>42552</v>
      </c>
      <c r="E3" s="54" t="s">
        <v>55</v>
      </c>
      <c r="F3" s="56">
        <v>13178</v>
      </c>
      <c r="G3" s="54" t="s">
        <v>56</v>
      </c>
    </row>
    <row r="4" spans="1:7" ht="17.45" customHeight="1" x14ac:dyDescent="0.25">
      <c r="A4" s="54" t="s">
        <v>49</v>
      </c>
      <c r="B4" s="54" t="s">
        <v>57</v>
      </c>
      <c r="C4" s="54" t="s">
        <v>50</v>
      </c>
      <c r="D4" s="55">
        <f>DATE(2016,10,1)</f>
        <v>42644</v>
      </c>
      <c r="E4" s="54" t="s">
        <v>58</v>
      </c>
      <c r="F4" s="56">
        <v>13177</v>
      </c>
      <c r="G4" s="54" t="s">
        <v>59</v>
      </c>
    </row>
    <row r="5" spans="1:7" ht="17.45" customHeight="1" x14ac:dyDescent="0.25">
      <c r="A5" s="54" t="s">
        <v>49</v>
      </c>
      <c r="B5" s="54" t="s">
        <v>60</v>
      </c>
      <c r="C5" s="54" t="s">
        <v>50</v>
      </c>
      <c r="D5" s="55">
        <f>DATE(2017,1,1)</f>
        <v>42736</v>
      </c>
      <c r="E5" s="54" t="s">
        <v>61</v>
      </c>
      <c r="F5" s="56">
        <v>13177</v>
      </c>
      <c r="G5" s="54" t="s">
        <v>62</v>
      </c>
    </row>
    <row r="6" spans="1:7" ht="17.45" customHeight="1" x14ac:dyDescent="0.25">
      <c r="A6" s="54" t="s">
        <v>49</v>
      </c>
      <c r="B6" s="54" t="s">
        <v>63</v>
      </c>
      <c r="C6" s="54" t="s">
        <v>50</v>
      </c>
      <c r="D6" s="55">
        <f>DATE(2017,4,1)</f>
        <v>42826</v>
      </c>
      <c r="E6" s="54" t="s">
        <v>64</v>
      </c>
      <c r="F6" s="56">
        <v>13697</v>
      </c>
      <c r="G6" s="54" t="s">
        <v>65</v>
      </c>
    </row>
    <row r="7" spans="1:7" ht="17.45" customHeight="1" x14ac:dyDescent="0.25">
      <c r="A7" s="54" t="s">
        <v>49</v>
      </c>
      <c r="B7" s="54" t="s">
        <v>66</v>
      </c>
      <c r="C7" s="54" t="s">
        <v>50</v>
      </c>
      <c r="D7" s="55">
        <f>DATE(2017,7,1)</f>
        <v>42917</v>
      </c>
      <c r="E7" s="54" t="s">
        <v>67</v>
      </c>
      <c r="F7" s="56">
        <v>13697</v>
      </c>
      <c r="G7" s="54" t="s">
        <v>68</v>
      </c>
    </row>
    <row r="8" spans="1:7" ht="17.45" customHeight="1" x14ac:dyDescent="0.25">
      <c r="A8" s="54" t="s">
        <v>49</v>
      </c>
      <c r="B8" s="54" t="s">
        <v>69</v>
      </c>
      <c r="C8" s="54" t="s">
        <v>50</v>
      </c>
      <c r="D8" s="55">
        <f>DATE(2017,10,1)</f>
        <v>43009</v>
      </c>
      <c r="E8" s="54" t="s">
        <v>70</v>
      </c>
      <c r="F8" s="56">
        <v>12974</v>
      </c>
      <c r="G8" s="54" t="s">
        <v>71</v>
      </c>
    </row>
    <row r="9" spans="1:7" ht="17.45" customHeight="1" x14ac:dyDescent="0.25">
      <c r="A9" s="54" t="s">
        <v>49</v>
      </c>
      <c r="B9" s="54" t="s">
        <v>72</v>
      </c>
      <c r="C9" s="54" t="s">
        <v>50</v>
      </c>
      <c r="D9" s="55">
        <f>DATE(2018,1,1)</f>
        <v>43101</v>
      </c>
      <c r="E9" s="54" t="s">
        <v>73</v>
      </c>
      <c r="F9" s="56">
        <v>12974</v>
      </c>
      <c r="G9" s="54" t="s">
        <v>74</v>
      </c>
    </row>
    <row r="10" spans="1:7" ht="17.45" customHeight="1" x14ac:dyDescent="0.25">
      <c r="A10" s="54" t="s">
        <v>49</v>
      </c>
      <c r="B10" s="54" t="s">
        <v>75</v>
      </c>
      <c r="C10" s="54" t="s">
        <v>50</v>
      </c>
      <c r="D10" s="55">
        <f>DATE(2018,4,25)</f>
        <v>43215</v>
      </c>
      <c r="E10" s="54" t="s">
        <v>76</v>
      </c>
      <c r="F10" s="56">
        <v>13147</v>
      </c>
      <c r="G10" s="54" t="s">
        <v>77</v>
      </c>
    </row>
    <row r="11" spans="1:7" ht="17.45" customHeight="1" x14ac:dyDescent="0.25">
      <c r="A11" s="54" t="s">
        <v>49</v>
      </c>
      <c r="B11" s="54" t="s">
        <v>78</v>
      </c>
      <c r="C11" s="54" t="s">
        <v>50</v>
      </c>
      <c r="D11" s="55">
        <f>DATE(2018,7,2)</f>
        <v>43283</v>
      </c>
      <c r="E11" s="54" t="s">
        <v>79</v>
      </c>
      <c r="F11" s="56">
        <v>12055</v>
      </c>
      <c r="G11" s="54" t="s">
        <v>80</v>
      </c>
    </row>
    <row r="12" spans="1:7" ht="17.45" customHeight="1" x14ac:dyDescent="0.25">
      <c r="A12" s="54" t="s">
        <v>49</v>
      </c>
      <c r="B12" s="54" t="s">
        <v>81</v>
      </c>
      <c r="C12" s="54" t="s">
        <v>50</v>
      </c>
      <c r="D12" s="55">
        <f>DATE(2018,10,1)</f>
        <v>43374</v>
      </c>
      <c r="E12" s="54" t="s">
        <v>82</v>
      </c>
      <c r="F12" s="56">
        <v>12055</v>
      </c>
      <c r="G12" s="54" t="s">
        <v>83</v>
      </c>
    </row>
    <row r="13" spans="1:7" ht="17.45" customHeight="1" x14ac:dyDescent="0.25">
      <c r="A13" s="54" t="s">
        <v>49</v>
      </c>
      <c r="B13" s="54" t="s">
        <v>84</v>
      </c>
      <c r="C13" s="54" t="s">
        <v>50</v>
      </c>
      <c r="D13" s="55">
        <f>DATE(2019,1,1)</f>
        <v>43466</v>
      </c>
      <c r="E13" s="54" t="s">
        <v>85</v>
      </c>
      <c r="F13" s="56">
        <v>12055</v>
      </c>
      <c r="G13" s="54" t="s">
        <v>86</v>
      </c>
    </row>
    <row r="14" spans="1:7" ht="17.45" customHeight="1" x14ac:dyDescent="0.25">
      <c r="A14" s="54" t="s">
        <v>49</v>
      </c>
      <c r="B14" s="54" t="s">
        <v>87</v>
      </c>
      <c r="C14" s="54" t="s">
        <v>50</v>
      </c>
      <c r="D14" s="55">
        <f>DATE(2019,4,8)</f>
        <v>43563</v>
      </c>
      <c r="E14" s="54" t="s">
        <v>88</v>
      </c>
      <c r="F14" s="56">
        <v>13147</v>
      </c>
      <c r="G14" s="54" t="s">
        <v>89</v>
      </c>
    </row>
    <row r="15" spans="1:7" ht="17.45" customHeight="1" x14ac:dyDescent="0.25">
      <c r="A15" s="54" t="s">
        <v>49</v>
      </c>
      <c r="B15" s="54" t="s">
        <v>90</v>
      </c>
      <c r="C15" s="54" t="s">
        <v>50</v>
      </c>
      <c r="D15" s="55">
        <f>DATE(2019,7,1)</f>
        <v>43647</v>
      </c>
      <c r="E15" s="54" t="s">
        <v>91</v>
      </c>
      <c r="F15" s="56">
        <v>13115</v>
      </c>
      <c r="G15" s="54" t="s">
        <v>92</v>
      </c>
    </row>
    <row r="16" spans="1:7" ht="17.45" customHeight="1" x14ac:dyDescent="0.25">
      <c r="A16" s="54" t="s">
        <v>49</v>
      </c>
      <c r="B16" s="54" t="s">
        <v>93</v>
      </c>
      <c r="C16" s="54" t="s">
        <v>50</v>
      </c>
      <c r="D16" s="55">
        <f>DATE(2019,10,1)</f>
        <v>43739</v>
      </c>
      <c r="E16" s="54" t="s">
        <v>94</v>
      </c>
      <c r="F16" s="56">
        <v>13115</v>
      </c>
      <c r="G16" s="54" t="s">
        <v>95</v>
      </c>
    </row>
    <row r="17" spans="1:7" ht="17.45" customHeight="1" x14ac:dyDescent="0.25">
      <c r="A17" s="54" t="s">
        <v>49</v>
      </c>
      <c r="B17" s="54" t="s">
        <v>96</v>
      </c>
      <c r="C17" s="54" t="s">
        <v>50</v>
      </c>
      <c r="D17" s="55">
        <f>DATE(2020,1,1)</f>
        <v>43831</v>
      </c>
      <c r="E17" s="54" t="s">
        <v>97</v>
      </c>
      <c r="F17" s="56">
        <v>13115</v>
      </c>
      <c r="G17" s="54" t="s">
        <v>98</v>
      </c>
    </row>
    <row r="18" spans="1:7" ht="17.45" customHeight="1" x14ac:dyDescent="0.25">
      <c r="A18" s="54" t="s">
        <v>49</v>
      </c>
      <c r="B18" s="54" t="s">
        <v>99</v>
      </c>
      <c r="C18" s="54" t="s">
        <v>50</v>
      </c>
      <c r="D18" s="55">
        <f>DATE(2020,4,17)</f>
        <v>43938</v>
      </c>
      <c r="E18" s="54" t="s">
        <v>100</v>
      </c>
      <c r="F18" s="56">
        <v>13083</v>
      </c>
      <c r="G18" s="54" t="s">
        <v>101</v>
      </c>
    </row>
    <row r="19" spans="1:7" ht="17.45" customHeight="1" x14ac:dyDescent="0.25">
      <c r="A19" s="54" t="s">
        <v>49</v>
      </c>
      <c r="B19" s="54" t="s">
        <v>102</v>
      </c>
      <c r="C19" s="54" t="s">
        <v>50</v>
      </c>
      <c r="D19" s="55">
        <f>DATE(2020,7,8)</f>
        <v>44020</v>
      </c>
      <c r="E19" s="54" t="s">
        <v>103</v>
      </c>
      <c r="F19" s="56">
        <v>12933</v>
      </c>
      <c r="G19" s="54" t="s">
        <v>104</v>
      </c>
    </row>
    <row r="20" spans="1:7" ht="17.45" customHeight="1" x14ac:dyDescent="0.25">
      <c r="A20" s="54" t="s">
        <v>49</v>
      </c>
      <c r="B20" s="54" t="s">
        <v>105</v>
      </c>
      <c r="C20" s="54" t="s">
        <v>50</v>
      </c>
      <c r="D20" s="55">
        <f>DATE(2020,10,7)</f>
        <v>44111</v>
      </c>
      <c r="E20" s="54" t="s">
        <v>106</v>
      </c>
      <c r="F20" s="56">
        <v>12934</v>
      </c>
      <c r="G20" s="54" t="s">
        <v>80</v>
      </c>
    </row>
    <row r="21" spans="1:7" ht="17.45" customHeight="1" x14ac:dyDescent="0.25">
      <c r="A21" s="54" t="s">
        <v>49</v>
      </c>
      <c r="B21" s="54" t="s">
        <v>107</v>
      </c>
      <c r="C21" s="54" t="s">
        <v>50</v>
      </c>
      <c r="D21" s="55">
        <f>DATE(2021,1,8)</f>
        <v>44204</v>
      </c>
      <c r="E21" s="54" t="s">
        <v>108</v>
      </c>
      <c r="F21" s="56">
        <v>12933</v>
      </c>
      <c r="G21" s="54" t="s">
        <v>109</v>
      </c>
    </row>
    <row r="22" spans="1:7" ht="17.45" customHeight="1" x14ac:dyDescent="0.25">
      <c r="A22" s="54" t="s">
        <v>49</v>
      </c>
      <c r="B22" s="54" t="s">
        <v>110</v>
      </c>
      <c r="C22" s="54" t="s">
        <v>50</v>
      </c>
      <c r="D22" s="55">
        <f>DATE(2021,4,14)</f>
        <v>44300</v>
      </c>
      <c r="E22" s="54" t="s">
        <v>111</v>
      </c>
      <c r="F22" s="56">
        <v>12450</v>
      </c>
      <c r="G22" s="54" t="s">
        <v>112</v>
      </c>
    </row>
    <row r="23" spans="1:7" ht="17.45" customHeight="1" x14ac:dyDescent="0.25">
      <c r="A23" s="54" t="s">
        <v>49</v>
      </c>
      <c r="B23" s="54" t="s">
        <v>113</v>
      </c>
      <c r="C23" s="54" t="s">
        <v>50</v>
      </c>
      <c r="D23" s="55">
        <f>DATE(2021,7,14)</f>
        <v>44391</v>
      </c>
      <c r="E23" s="54" t="s">
        <v>114</v>
      </c>
      <c r="F23" s="56">
        <v>1984</v>
      </c>
      <c r="G23" s="54" t="s">
        <v>115</v>
      </c>
    </row>
    <row r="24" spans="1:7" ht="17.45" customHeight="1" x14ac:dyDescent="0.25">
      <c r="A24" s="54" t="s">
        <v>49</v>
      </c>
      <c r="B24" s="54" t="s">
        <v>116</v>
      </c>
      <c r="C24" s="54" t="s">
        <v>50</v>
      </c>
      <c r="D24" s="55">
        <f>DATE(2021,10,4)</f>
        <v>44473</v>
      </c>
      <c r="E24" s="54" t="s">
        <v>117</v>
      </c>
      <c r="F24" s="56">
        <v>12536</v>
      </c>
      <c r="G24" s="54" t="s">
        <v>118</v>
      </c>
    </row>
    <row r="25" spans="1:7" ht="17.45" customHeight="1" x14ac:dyDescent="0.25">
      <c r="A25" s="54" t="s">
        <v>49</v>
      </c>
      <c r="B25" s="54" t="s">
        <v>119</v>
      </c>
      <c r="C25" s="54" t="s">
        <v>50</v>
      </c>
      <c r="D25" s="55">
        <f>DATE(2022,1,4)</f>
        <v>44565</v>
      </c>
      <c r="E25" s="54" t="s">
        <v>120</v>
      </c>
      <c r="F25" s="56">
        <v>12536</v>
      </c>
      <c r="G25" s="54" t="s">
        <v>121</v>
      </c>
    </row>
    <row r="26" spans="1:7" ht="17.45" customHeight="1" x14ac:dyDescent="0.25">
      <c r="A26" s="54" t="s">
        <v>49</v>
      </c>
      <c r="B26" s="54" t="s">
        <v>122</v>
      </c>
      <c r="C26" s="54" t="s">
        <v>50</v>
      </c>
      <c r="D26" s="55">
        <f>DATE(2022,4,25)</f>
        <v>44676</v>
      </c>
      <c r="E26" s="54" t="s">
        <v>123</v>
      </c>
      <c r="F26" s="56">
        <v>14757</v>
      </c>
      <c r="G26" s="54" t="s">
        <v>124</v>
      </c>
    </row>
    <row r="27" spans="1:7" ht="17.45" customHeight="1" x14ac:dyDescent="0.25">
      <c r="A27" s="54" t="s">
        <v>49</v>
      </c>
      <c r="B27" s="54" t="s">
        <v>125</v>
      </c>
      <c r="C27" s="54" t="s">
        <v>50</v>
      </c>
      <c r="D27" s="55">
        <f>DATE(2022,7,4)</f>
        <v>44746</v>
      </c>
      <c r="E27" s="54" t="s">
        <v>126</v>
      </c>
      <c r="F27" s="56">
        <v>14260</v>
      </c>
      <c r="G27" s="54" t="s">
        <v>127</v>
      </c>
    </row>
    <row r="28" spans="1:7" ht="17.45" customHeight="1" x14ac:dyDescent="0.25">
      <c r="A28" s="54" t="s">
        <v>49</v>
      </c>
      <c r="B28" s="54" t="s">
        <v>128</v>
      </c>
      <c r="C28" s="54" t="s">
        <v>50</v>
      </c>
      <c r="D28" s="55">
        <f>DATE(2022,10,4)</f>
        <v>44838</v>
      </c>
      <c r="E28" s="54" t="s">
        <v>129</v>
      </c>
      <c r="F28" s="56">
        <v>14084</v>
      </c>
      <c r="G28" s="54" t="s">
        <v>130</v>
      </c>
    </row>
    <row r="29" spans="1:7" ht="17.45" customHeight="1" x14ac:dyDescent="0.25">
      <c r="A29" s="54" t="s">
        <v>49</v>
      </c>
      <c r="B29" s="54" t="s">
        <v>131</v>
      </c>
      <c r="C29" s="54" t="s">
        <v>50</v>
      </c>
      <c r="D29" s="55">
        <f>DATE(2023,1,4)</f>
        <v>44930</v>
      </c>
      <c r="E29" s="54" t="s">
        <v>132</v>
      </c>
      <c r="F29" s="56">
        <v>14085</v>
      </c>
      <c r="G29" s="54" t="s">
        <v>133</v>
      </c>
    </row>
    <row r="30" spans="1:7" ht="17.45" customHeight="1" x14ac:dyDescent="0.25">
      <c r="A30" s="54" t="s">
        <v>49</v>
      </c>
      <c r="B30" s="54" t="s">
        <v>134</v>
      </c>
      <c r="C30" s="54" t="s">
        <v>50</v>
      </c>
      <c r="D30" s="55">
        <f>DATE(2023,5,3)</f>
        <v>45049</v>
      </c>
      <c r="E30" s="54" t="s">
        <v>135</v>
      </c>
      <c r="F30" s="56">
        <v>16218</v>
      </c>
      <c r="G30" s="54" t="s">
        <v>136</v>
      </c>
    </row>
    <row r="31" spans="1:7" ht="17.45" customHeight="1" x14ac:dyDescent="0.25">
      <c r="A31" s="54" t="s">
        <v>49</v>
      </c>
      <c r="B31" s="54" t="s">
        <v>137</v>
      </c>
      <c r="C31" s="54" t="s">
        <v>50</v>
      </c>
      <c r="D31" s="55">
        <f>DATE(2023,7,13)</f>
        <v>45120</v>
      </c>
      <c r="E31" s="54" t="s">
        <v>138</v>
      </c>
      <c r="F31" s="56">
        <v>15880</v>
      </c>
      <c r="G31" s="54" t="s">
        <v>139</v>
      </c>
    </row>
    <row r="32" spans="1:7" ht="17.45" customHeight="1" x14ac:dyDescent="0.25">
      <c r="A32" s="54" t="s">
        <v>49</v>
      </c>
      <c r="B32" s="54" t="s">
        <v>140</v>
      </c>
      <c r="C32" s="54" t="s">
        <v>50</v>
      </c>
      <c r="D32" s="55">
        <f>DATE(2023,10,1)</f>
        <v>45200</v>
      </c>
      <c r="E32" s="54" t="s">
        <v>141</v>
      </c>
      <c r="F32" s="56">
        <v>15880</v>
      </c>
      <c r="G32" s="54" t="s">
        <v>142</v>
      </c>
    </row>
  </sheetData>
  <autoFilter ref="A1:G1" xr:uid="{00000000-0001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CAM 2016</vt:lpstr>
      <vt:lpstr>CAM 2017</vt:lpstr>
      <vt:lpstr>CAM 2018</vt:lpstr>
      <vt:lpstr>CAM 2019</vt:lpstr>
      <vt:lpstr>CAM 2020</vt:lpstr>
      <vt:lpstr>CAM 2021</vt:lpstr>
      <vt:lpstr>CAM 2022</vt:lpstr>
      <vt:lpstr>CAM 2023</vt:lpstr>
      <vt:lpstr>OEB costs</vt:lpstr>
      <vt:lpstr>CAM var 56550 entries</vt:lpstr>
      <vt:lpstr>'CAM 2019'!Print_Area</vt:lpstr>
      <vt:lpstr>'CAM 2020'!Print_Area</vt:lpstr>
      <vt:lpstr>'CAM 2021'!Print_Area</vt:lpstr>
      <vt:lpstr>'CAM 2022'!Print_Area</vt:lpstr>
      <vt:lpstr>'CAM 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Long</dc:creator>
  <cp:lastModifiedBy>Amy Long</cp:lastModifiedBy>
  <dcterms:created xsi:type="dcterms:W3CDTF">2024-01-05T14:19:42Z</dcterms:created>
  <dcterms:modified xsi:type="dcterms:W3CDTF">2024-01-19T13:54:39Z</dcterms:modified>
</cp:coreProperties>
</file>