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3/EB-2023-XXXX - HONI - Renewable Generation Funding Request/Working Folder/Application and Evidence/PDF Folder - RRA/Excel - Live Folder/"/>
    </mc:Choice>
  </mc:AlternateContent>
  <xr:revisionPtr revIDLastSave="1675" documentId="8_{1E66DD56-B877-441B-A7F1-94A65797AC31}" xr6:coauthVersionLast="47" xr6:coauthVersionMax="47" xr10:uidLastSave="{CB7377A5-AEFF-4A02-845A-E4C8AE3FD830}"/>
  <bookViews>
    <workbookView xWindow="-120" yWindow="-120" windowWidth="29040" windowHeight="15840" tabRatio="766" firstSheet="1" activeTab="1" xr2:uid="{00000000-000D-0000-FFFF-FFFF00000000}"/>
  </bookViews>
  <sheets>
    <sheet name="Summary" sheetId="6" state="hidden" r:id="rId1"/>
    <sheet name="1 - Renewable Gen Invst Summary" sheetId="11" r:id="rId2"/>
    <sheet name="2 - Fixed Asset Cont." sheetId="10" r:id="rId3"/>
    <sheet name="3 - Income Taxes &amp; UCC" sheetId="8" r:id="rId4"/>
    <sheet name="4 - Revenue Requirement " sheetId="9" r:id="rId5"/>
    <sheet name="Revenue Requirement" sheetId="1" state="hidden" r:id="rId6"/>
    <sheet name="Fixed Asset Continuity" sheetId="7" state="hidden" r:id="rId7"/>
  </sheets>
  <definedNames>
    <definedName name="_xlnm.Print_Area" localSheetId="4">'4 - Revenue Requirement '!$A$1:$X$39</definedName>
    <definedName name="_xlnm.Print_Area" localSheetId="5">'Revenue Requirement'!$A$1:$V$39</definedName>
    <definedName name="_xlnm.Print_Area" localSheetId="0">Summary!$A$1:$M$25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30" i="9" l="1"/>
  <c r="AJ30" i="9"/>
  <c r="AH30" i="9"/>
  <c r="AF30" i="9"/>
  <c r="D15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B6" i="11"/>
  <c r="B25" i="11" s="1"/>
  <c r="B39" i="11" s="1"/>
  <c r="C6" i="11"/>
  <c r="C25" i="11" s="1"/>
  <c r="C39" i="11" s="1"/>
  <c r="D6" i="11"/>
  <c r="E6" i="11"/>
  <c r="F6" i="11"/>
  <c r="F25" i="11" s="1"/>
  <c r="G6" i="11"/>
  <c r="G25" i="11" s="1"/>
  <c r="H6" i="11"/>
  <c r="I6" i="11"/>
  <c r="J6" i="11"/>
  <c r="K6" i="11"/>
  <c r="L6" i="11"/>
  <c r="M6" i="11"/>
  <c r="M25" i="11" s="1"/>
  <c r="N6" i="11"/>
  <c r="N25" i="11" s="1"/>
  <c r="O6" i="11"/>
  <c r="O25" i="11" s="1"/>
  <c r="P6" i="11"/>
  <c r="P25" i="11" s="1"/>
  <c r="P39" i="11" s="1"/>
  <c r="Q6" i="11"/>
  <c r="Q25" i="11" s="1"/>
  <c r="Q39" i="11" s="1"/>
  <c r="R6" i="11"/>
  <c r="R25" i="11" s="1"/>
  <c r="R39" i="11" s="1"/>
  <c r="S6" i="11"/>
  <c r="C7" i="11"/>
  <c r="B12" i="11"/>
  <c r="C12" i="11"/>
  <c r="D12" i="11"/>
  <c r="E12" i="11"/>
  <c r="F12" i="11"/>
  <c r="G12" i="11"/>
  <c r="H12" i="11"/>
  <c r="I12" i="11"/>
  <c r="J12" i="11"/>
  <c r="K12" i="11"/>
  <c r="L12" i="11"/>
  <c r="L31" i="11" s="1"/>
  <c r="L39" i="11" s="1"/>
  <c r="M12" i="11"/>
  <c r="M31" i="11" s="1"/>
  <c r="M39" i="11" s="1"/>
  <c r="N12" i="11"/>
  <c r="N31" i="11" s="1"/>
  <c r="N39" i="11" s="1"/>
  <c r="O12" i="11"/>
  <c r="O31" i="11" s="1"/>
  <c r="O39" i="11" s="1"/>
  <c r="P12" i="11"/>
  <c r="Q12" i="11"/>
  <c r="R12" i="11"/>
  <c r="S12" i="11"/>
  <c r="C13" i="11"/>
  <c r="D25" i="11"/>
  <c r="E25" i="11"/>
  <c r="H25" i="11"/>
  <c r="I25" i="11"/>
  <c r="J25" i="11"/>
  <c r="J39" i="11" s="1"/>
  <c r="K25" i="11"/>
  <c r="K39" i="11" s="1"/>
  <c r="L25" i="11"/>
  <c r="S25" i="11"/>
  <c r="C26" i="11"/>
  <c r="D26" i="11"/>
  <c r="E26" i="11"/>
  <c r="F26" i="11"/>
  <c r="G26" i="11"/>
  <c r="H26" i="11"/>
  <c r="I26" i="11"/>
  <c r="I40" i="11" s="1"/>
  <c r="J26" i="11"/>
  <c r="K26" i="11"/>
  <c r="K40" i="11" s="1"/>
  <c r="L26" i="11"/>
  <c r="M26" i="11"/>
  <c r="N26" i="11"/>
  <c r="O26" i="11"/>
  <c r="O40" i="11" s="1"/>
  <c r="P26" i="11"/>
  <c r="Q26" i="11"/>
  <c r="R26" i="11"/>
  <c r="S26" i="11"/>
  <c r="B31" i="11"/>
  <c r="C31" i="11"/>
  <c r="D31" i="11"/>
  <c r="E31" i="11"/>
  <c r="F31" i="11"/>
  <c r="F39" i="11" s="1"/>
  <c r="G31" i="11"/>
  <c r="H31" i="11"/>
  <c r="H39" i="11" s="1"/>
  <c r="I31" i="11"/>
  <c r="I39" i="11" s="1"/>
  <c r="J31" i="11"/>
  <c r="K31" i="11"/>
  <c r="P31" i="11"/>
  <c r="Q31" i="11"/>
  <c r="R31" i="11"/>
  <c r="S31" i="11"/>
  <c r="C32" i="11"/>
  <c r="D32" i="11"/>
  <c r="E32" i="11"/>
  <c r="E40" i="11" s="1"/>
  <c r="F32" i="11"/>
  <c r="F40" i="11" s="1"/>
  <c r="G32" i="11"/>
  <c r="G40" i="11" s="1"/>
  <c r="H32" i="11"/>
  <c r="H40" i="11" s="1"/>
  <c r="I32" i="11"/>
  <c r="J32" i="11"/>
  <c r="J40" i="11" s="1"/>
  <c r="K32" i="11"/>
  <c r="L32" i="11"/>
  <c r="L40" i="11" s="1"/>
  <c r="M32" i="11"/>
  <c r="M40" i="11" s="1"/>
  <c r="N32" i="11"/>
  <c r="O32" i="11"/>
  <c r="P32" i="11"/>
  <c r="Q32" i="11"/>
  <c r="R32" i="11"/>
  <c r="S32" i="11"/>
  <c r="D39" i="11"/>
  <c r="E39" i="11"/>
  <c r="S39" i="11"/>
  <c r="B40" i="11"/>
  <c r="C40" i="11"/>
  <c r="D40" i="11"/>
  <c r="N40" i="11"/>
  <c r="P40" i="11"/>
  <c r="Q40" i="11"/>
  <c r="R40" i="11"/>
  <c r="S40" i="11"/>
  <c r="B41" i="11"/>
  <c r="C41" i="11"/>
  <c r="D41" i="11"/>
  <c r="E41" i="11"/>
  <c r="F41" i="11"/>
  <c r="G41" i="11"/>
  <c r="H41" i="11"/>
  <c r="I41" i="11"/>
  <c r="J41" i="11"/>
  <c r="K41" i="11"/>
  <c r="L41" i="11"/>
  <c r="M41" i="11"/>
  <c r="N41" i="11"/>
  <c r="O41" i="11"/>
  <c r="P41" i="11"/>
  <c r="Q41" i="11"/>
  <c r="R41" i="11"/>
  <c r="S41" i="11"/>
  <c r="G39" i="11" l="1"/>
  <c r="E10" i="9" l="1"/>
  <c r="F24" i="9" l="1"/>
  <c r="D102" i="10"/>
  <c r="E102" i="10"/>
  <c r="F102" i="10"/>
  <c r="G102" i="10"/>
  <c r="H102" i="10"/>
  <c r="I102" i="10"/>
  <c r="J102" i="10"/>
  <c r="K102" i="10"/>
  <c r="L102" i="10"/>
  <c r="M102" i="10"/>
  <c r="N102" i="10"/>
  <c r="O102" i="10"/>
  <c r="P102" i="10"/>
  <c r="Q102" i="10"/>
  <c r="R102" i="10"/>
  <c r="S102" i="10"/>
  <c r="T102" i="10"/>
  <c r="U102" i="10"/>
  <c r="AK10" i="9"/>
  <c r="AI10" i="9"/>
  <c r="AG10" i="9"/>
  <c r="AE10" i="9"/>
  <c r="AA10" i="9"/>
  <c r="Y10" i="9"/>
  <c r="U10" i="9"/>
  <c r="Q10" i="9"/>
  <c r="O10" i="9"/>
  <c r="M10" i="9"/>
  <c r="K10" i="9"/>
  <c r="I10" i="9"/>
  <c r="V24" i="9" l="1"/>
  <c r="AB24" i="9"/>
  <c r="N24" i="9"/>
  <c r="AH24" i="9"/>
  <c r="L24" i="9"/>
  <c r="R24" i="9"/>
  <c r="AJ24" i="9"/>
  <c r="P24" i="9"/>
  <c r="Z24" i="9"/>
  <c r="AF24" i="9"/>
  <c r="AL24" i="9"/>
  <c r="J24" i="9"/>
  <c r="S10" i="9"/>
  <c r="W10" i="9"/>
  <c r="G10" i="9"/>
  <c r="AC10" i="9"/>
  <c r="AD24" i="9" l="1"/>
  <c r="H24" i="9"/>
  <c r="X24" i="9"/>
  <c r="T24" i="9"/>
  <c r="J36" i="10"/>
  <c r="J38" i="10" s="1"/>
  <c r="J16" i="10" s="1"/>
  <c r="I38" i="10"/>
  <c r="I16" i="10" s="1"/>
  <c r="E38" i="10"/>
  <c r="D38" i="10"/>
  <c r="U36" i="10"/>
  <c r="U38" i="10" s="1"/>
  <c r="U16" i="10" s="1"/>
  <c r="T36" i="10"/>
  <c r="T38" i="10" s="1"/>
  <c r="T16" i="10" s="1"/>
  <c r="S36" i="10"/>
  <c r="S38" i="10" s="1"/>
  <c r="S16" i="10" s="1"/>
  <c r="R36" i="10"/>
  <c r="R38" i="10" s="1"/>
  <c r="R16" i="10" s="1"/>
  <c r="Q36" i="10"/>
  <c r="Q38" i="10" s="1"/>
  <c r="Q16" i="10" s="1"/>
  <c r="P36" i="10"/>
  <c r="P38" i="10" s="1"/>
  <c r="P16" i="10" s="1"/>
  <c r="O36" i="10"/>
  <c r="O38" i="10" s="1"/>
  <c r="O16" i="10" s="1"/>
  <c r="N36" i="10"/>
  <c r="N38" i="10" s="1"/>
  <c r="N16" i="10" s="1"/>
  <c r="M36" i="10"/>
  <c r="M38" i="10" s="1"/>
  <c r="M16" i="10" s="1"/>
  <c r="L36" i="10"/>
  <c r="L38" i="10" s="1"/>
  <c r="L16" i="10" s="1"/>
  <c r="H36" i="10"/>
  <c r="H38" i="10" s="1"/>
  <c r="H16" i="10" s="1"/>
  <c r="Q60" i="10"/>
  <c r="G36" i="10" l="1"/>
  <c r="G38" i="10" s="1"/>
  <c r="G16" i="10" s="1"/>
  <c r="F36" i="10"/>
  <c r="F38" i="10" s="1"/>
  <c r="F16" i="10" s="1"/>
  <c r="AD11" i="9"/>
  <c r="AF11" i="9"/>
  <c r="AH11" i="9"/>
  <c r="AJ11" i="9"/>
  <c r="AL11" i="9"/>
  <c r="U112" i="10"/>
  <c r="T112" i="10"/>
  <c r="S112" i="10"/>
  <c r="R112" i="10"/>
  <c r="Q112" i="10"/>
  <c r="P112" i="10"/>
  <c r="O112" i="10"/>
  <c r="N112" i="10"/>
  <c r="M112" i="10"/>
  <c r="L112" i="10"/>
  <c r="K112" i="10"/>
  <c r="J112" i="10"/>
  <c r="I112" i="10"/>
  <c r="H112" i="10"/>
  <c r="G112" i="10"/>
  <c r="F112" i="10"/>
  <c r="E112" i="10"/>
  <c r="D112" i="10"/>
  <c r="U111" i="10"/>
  <c r="T111" i="10"/>
  <c r="S111" i="10"/>
  <c r="R111" i="10"/>
  <c r="Q111" i="10"/>
  <c r="P111" i="10"/>
  <c r="O111" i="10"/>
  <c r="N111" i="10"/>
  <c r="M111" i="10"/>
  <c r="L111" i="10"/>
  <c r="K111" i="10"/>
  <c r="J111" i="10"/>
  <c r="I111" i="10"/>
  <c r="H111" i="10"/>
  <c r="G111" i="10"/>
  <c r="F111" i="10"/>
  <c r="E111" i="10"/>
  <c r="D111" i="10"/>
  <c r="U110" i="10"/>
  <c r="T110" i="10"/>
  <c r="S110" i="10"/>
  <c r="R110" i="10"/>
  <c r="Q110" i="10"/>
  <c r="P110" i="10"/>
  <c r="O110" i="10"/>
  <c r="N110" i="10"/>
  <c r="M110" i="10"/>
  <c r="L110" i="10"/>
  <c r="K110" i="10"/>
  <c r="J110" i="10"/>
  <c r="I110" i="10"/>
  <c r="H110" i="10"/>
  <c r="G110" i="10"/>
  <c r="F110" i="10"/>
  <c r="E110" i="10"/>
  <c r="D110" i="10"/>
  <c r="U109" i="10"/>
  <c r="T109" i="10"/>
  <c r="S109" i="10"/>
  <c r="R109" i="10"/>
  <c r="Q109" i="10"/>
  <c r="P109" i="10"/>
  <c r="O109" i="10"/>
  <c r="N109" i="10"/>
  <c r="M109" i="10"/>
  <c r="L109" i="10"/>
  <c r="K109" i="10"/>
  <c r="J109" i="10"/>
  <c r="I109" i="10"/>
  <c r="H109" i="10"/>
  <c r="G109" i="10"/>
  <c r="F109" i="10"/>
  <c r="E109" i="10"/>
  <c r="D109" i="10"/>
  <c r="E58" i="10"/>
  <c r="E87" i="10" l="1"/>
  <c r="H85" i="10" l="1"/>
  <c r="G85" i="10"/>
  <c r="F85" i="10"/>
  <c r="E85" i="10"/>
  <c r="D85" i="10"/>
  <c r="D104" i="10" s="1"/>
  <c r="U61" i="10"/>
  <c r="U96" i="10" s="1"/>
  <c r="U60" i="10"/>
  <c r="U89" i="10" s="1"/>
  <c r="U59" i="10"/>
  <c r="U88" i="10" s="1"/>
  <c r="U58" i="10"/>
  <c r="U87" i="10" s="1"/>
  <c r="U57" i="10"/>
  <c r="U86" i="10" s="1"/>
  <c r="U55" i="10"/>
  <c r="U84" i="10" s="1"/>
  <c r="T60" i="10"/>
  <c r="T89" i="10" s="1"/>
  <c r="T61" i="10"/>
  <c r="T96" i="10" s="1"/>
  <c r="T59" i="10"/>
  <c r="T88" i="10" s="1"/>
  <c r="T58" i="10"/>
  <c r="T87" i="10" s="1"/>
  <c r="T57" i="10"/>
  <c r="T86" i="10" s="1"/>
  <c r="T55" i="10"/>
  <c r="T84" i="10" s="1"/>
  <c r="S61" i="10"/>
  <c r="S96" i="10" s="1"/>
  <c r="S60" i="10"/>
  <c r="S89" i="10" s="1"/>
  <c r="S59" i="10"/>
  <c r="S88" i="10" s="1"/>
  <c r="S58" i="10"/>
  <c r="S87" i="10" s="1"/>
  <c r="S57" i="10"/>
  <c r="S86" i="10" s="1"/>
  <c r="S55" i="10"/>
  <c r="S84" i="10" s="1"/>
  <c r="R60" i="10"/>
  <c r="R89" i="10" s="1"/>
  <c r="R61" i="10"/>
  <c r="R96" i="10" s="1"/>
  <c r="R59" i="10"/>
  <c r="R88" i="10" s="1"/>
  <c r="R58" i="10"/>
  <c r="R87" i="10" s="1"/>
  <c r="R57" i="10"/>
  <c r="R86" i="10" s="1"/>
  <c r="R55" i="10"/>
  <c r="R84" i="10" s="1"/>
  <c r="Q61" i="10"/>
  <c r="Q96" i="10" s="1"/>
  <c r="Q59" i="10"/>
  <c r="Q88" i="10" s="1"/>
  <c r="Q58" i="10"/>
  <c r="Q87" i="10" s="1"/>
  <c r="Q57" i="10"/>
  <c r="Q86" i="10" s="1"/>
  <c r="Q55" i="10"/>
  <c r="Q84" i="10" s="1"/>
  <c r="P60" i="10"/>
  <c r="P89" i="10" s="1"/>
  <c r="P61" i="10"/>
  <c r="P96" i="10" s="1"/>
  <c r="P59" i="10"/>
  <c r="P88" i="10" s="1"/>
  <c r="P58" i="10"/>
  <c r="P87" i="10" s="1"/>
  <c r="P57" i="10"/>
  <c r="P86" i="10" s="1"/>
  <c r="P55" i="10"/>
  <c r="P84" i="10" s="1"/>
  <c r="O61" i="10"/>
  <c r="O96" i="10" s="1"/>
  <c r="O60" i="10"/>
  <c r="O89" i="10" s="1"/>
  <c r="O59" i="10"/>
  <c r="O88" i="10" s="1"/>
  <c r="O58" i="10"/>
  <c r="O87" i="10" s="1"/>
  <c r="O57" i="10"/>
  <c r="O86" i="10" s="1"/>
  <c r="O55" i="10"/>
  <c r="O84" i="10" s="1"/>
  <c r="N61" i="10"/>
  <c r="N96" i="10" s="1"/>
  <c r="N60" i="10"/>
  <c r="N89" i="10" s="1"/>
  <c r="N59" i="10"/>
  <c r="N88" i="10" s="1"/>
  <c r="N58" i="10"/>
  <c r="N87" i="10" s="1"/>
  <c r="N57" i="10"/>
  <c r="N86" i="10" s="1"/>
  <c r="N55" i="10"/>
  <c r="N84" i="10" s="1"/>
  <c r="M61" i="10"/>
  <c r="M96" i="10" s="1"/>
  <c r="M60" i="10"/>
  <c r="M89" i="10" s="1"/>
  <c r="M59" i="10"/>
  <c r="M88" i="10" s="1"/>
  <c r="M58" i="10"/>
  <c r="M87" i="10" s="1"/>
  <c r="M57" i="10"/>
  <c r="M86" i="10" s="1"/>
  <c r="M55" i="10"/>
  <c r="M84" i="10" s="1"/>
  <c r="L61" i="10"/>
  <c r="L96" i="10" s="1"/>
  <c r="L60" i="10"/>
  <c r="L89" i="10" s="1"/>
  <c r="L59" i="10"/>
  <c r="L88" i="10" s="1"/>
  <c r="L58" i="10"/>
  <c r="L87" i="10" s="1"/>
  <c r="L57" i="10"/>
  <c r="L86" i="10" s="1"/>
  <c r="L55" i="10"/>
  <c r="L84" i="10" s="1"/>
  <c r="K61" i="10"/>
  <c r="K96" i="10" s="1"/>
  <c r="K60" i="10"/>
  <c r="K89" i="10" s="1"/>
  <c r="K59" i="10"/>
  <c r="K88" i="10" s="1"/>
  <c r="K58" i="10"/>
  <c r="K87" i="10" s="1"/>
  <c r="K57" i="10"/>
  <c r="K86" i="10" s="1"/>
  <c r="K55" i="10"/>
  <c r="K84" i="10" s="1"/>
  <c r="J58" i="10"/>
  <c r="J87" i="10" s="1"/>
  <c r="J57" i="10"/>
  <c r="J86" i="10" s="1"/>
  <c r="J55" i="10"/>
  <c r="J84" i="10" s="1"/>
  <c r="J59" i="10"/>
  <c r="J88" i="10" s="1"/>
  <c r="J60" i="10"/>
  <c r="J89" i="10" s="1"/>
  <c r="J61" i="10"/>
  <c r="J96" i="10" s="1"/>
  <c r="I61" i="10"/>
  <c r="I96" i="10" s="1"/>
  <c r="I60" i="10"/>
  <c r="I89" i="10" s="1"/>
  <c r="I59" i="10"/>
  <c r="I88" i="10" s="1"/>
  <c r="I58" i="10"/>
  <c r="I87" i="10" s="1"/>
  <c r="I57" i="10"/>
  <c r="I86" i="10" s="1"/>
  <c r="I55" i="10"/>
  <c r="I84" i="10" s="1"/>
  <c r="H61" i="10"/>
  <c r="H96" i="10" s="1"/>
  <c r="H60" i="10"/>
  <c r="H89" i="10" s="1"/>
  <c r="H59" i="10"/>
  <c r="H88" i="10" s="1"/>
  <c r="H58" i="10"/>
  <c r="H87" i="10" s="1"/>
  <c r="H57" i="10"/>
  <c r="H86" i="10" s="1"/>
  <c r="G61" i="10"/>
  <c r="G96" i="10" s="1"/>
  <c r="G60" i="10"/>
  <c r="G89" i="10" s="1"/>
  <c r="G59" i="10"/>
  <c r="G88" i="10" s="1"/>
  <c r="G58" i="10"/>
  <c r="G87" i="10" s="1"/>
  <c r="G57" i="10"/>
  <c r="G86" i="10" s="1"/>
  <c r="F61" i="10"/>
  <c r="F96" i="10" s="1"/>
  <c r="F60" i="10"/>
  <c r="F89" i="10" s="1"/>
  <c r="F59" i="10"/>
  <c r="F88" i="10" s="1"/>
  <c r="F58" i="10"/>
  <c r="F87" i="10" s="1"/>
  <c r="F57" i="10"/>
  <c r="F86" i="10" s="1"/>
  <c r="E59" i="10"/>
  <c r="E88" i="10" s="1"/>
  <c r="E60" i="10"/>
  <c r="E89" i="10" s="1"/>
  <c r="E61" i="10"/>
  <c r="E96" i="10" s="1"/>
  <c r="E104" i="10" l="1"/>
  <c r="F104" i="10"/>
  <c r="G104" i="10"/>
  <c r="H104" i="10"/>
  <c r="E57" i="10"/>
  <c r="E86" i="10" s="1"/>
  <c r="U56" i="10"/>
  <c r="U85" i="10" s="1"/>
  <c r="T56" i="10"/>
  <c r="T85" i="10" s="1"/>
  <c r="S56" i="10"/>
  <c r="S85" i="10" s="1"/>
  <c r="R56" i="10"/>
  <c r="R85" i="10" s="1"/>
  <c r="Q56" i="10"/>
  <c r="Q85" i="10" s="1"/>
  <c r="P56" i="10"/>
  <c r="P85" i="10" s="1"/>
  <c r="O56" i="10"/>
  <c r="O85" i="10" s="1"/>
  <c r="N56" i="10"/>
  <c r="N85" i="10" s="1"/>
  <c r="M56" i="10"/>
  <c r="M85" i="10" s="1"/>
  <c r="L56" i="10"/>
  <c r="L85" i="10" s="1"/>
  <c r="K56" i="10"/>
  <c r="K85" i="10" s="1"/>
  <c r="J56" i="10"/>
  <c r="J85" i="10" s="1"/>
  <c r="I56" i="10"/>
  <c r="I85" i="10" s="1"/>
  <c r="I104" i="10" s="1"/>
  <c r="H55" i="10"/>
  <c r="H84" i="10" s="1"/>
  <c r="G55" i="10"/>
  <c r="G84" i="10" s="1"/>
  <c r="F55" i="10"/>
  <c r="F84" i="10" s="1"/>
  <c r="E55" i="10"/>
  <c r="E84" i="10" s="1"/>
  <c r="J104" i="10" l="1"/>
  <c r="K104" i="10"/>
  <c r="L104" i="10"/>
  <c r="M104" i="10"/>
  <c r="N104" i="10"/>
  <c r="O104" i="10"/>
  <c r="P104" i="10"/>
  <c r="Q104" i="10"/>
  <c r="R104" i="10"/>
  <c r="S104" i="10"/>
  <c r="T104" i="10"/>
  <c r="U104" i="10"/>
  <c r="N11" i="9"/>
  <c r="D4" i="10"/>
  <c r="U97" i="10" l="1"/>
  <c r="U5" i="8" s="1"/>
  <c r="U6" i="8" s="1"/>
  <c r="T97" i="10"/>
  <c r="T5" i="8" s="1"/>
  <c r="T6" i="8" s="1"/>
  <c r="S97" i="10"/>
  <c r="S5" i="8" s="1"/>
  <c r="S6" i="8" s="1"/>
  <c r="R97" i="10"/>
  <c r="R5" i="8" s="1"/>
  <c r="R6" i="8" s="1"/>
  <c r="P97" i="10"/>
  <c r="O97" i="10"/>
  <c r="N97" i="10"/>
  <c r="N5" i="8" s="1"/>
  <c r="N6" i="8" s="1"/>
  <c r="M97" i="10"/>
  <c r="M5" i="8" s="1"/>
  <c r="M6" i="8" s="1"/>
  <c r="L97" i="10"/>
  <c r="L5" i="8" s="1"/>
  <c r="L6" i="8" s="1"/>
  <c r="K97" i="10"/>
  <c r="K5" i="8" s="1"/>
  <c r="K6" i="8" s="1"/>
  <c r="J97" i="10"/>
  <c r="J5" i="8" s="1"/>
  <c r="J6" i="8" s="1"/>
  <c r="I97" i="10"/>
  <c r="I5" i="8" s="1"/>
  <c r="I6" i="8" s="1"/>
  <c r="H97" i="10"/>
  <c r="G97" i="10"/>
  <c r="F97" i="10"/>
  <c r="F5" i="8" s="1"/>
  <c r="F6" i="8" s="1"/>
  <c r="E97" i="10"/>
  <c r="E5" i="8" s="1"/>
  <c r="E6" i="8" s="1"/>
  <c r="U5" i="10"/>
  <c r="R5" i="10"/>
  <c r="D11" i="10"/>
  <c r="E9" i="10" s="1"/>
  <c r="E4" i="10"/>
  <c r="H11" i="9"/>
  <c r="S5" i="10" l="1"/>
  <c r="I5" i="10"/>
  <c r="K5" i="10"/>
  <c r="J5" i="10"/>
  <c r="M5" i="10"/>
  <c r="E5" i="10"/>
  <c r="L5" i="10"/>
  <c r="T5" i="10"/>
  <c r="G5" i="10"/>
  <c r="G5" i="8"/>
  <c r="G6" i="8" s="1"/>
  <c r="O5" i="10"/>
  <c r="O5" i="8"/>
  <c r="O6" i="8" s="1"/>
  <c r="F5" i="10"/>
  <c r="N5" i="10"/>
  <c r="H5" i="10"/>
  <c r="H5" i="8"/>
  <c r="H6" i="8" s="1"/>
  <c r="D13" i="10"/>
  <c r="D17" i="10" s="1"/>
  <c r="D9" i="9" s="1"/>
  <c r="D12" i="9" s="1"/>
  <c r="D20" i="9" s="1"/>
  <c r="P5" i="10"/>
  <c r="P5" i="8"/>
  <c r="P6" i="8" s="1"/>
  <c r="E6" i="10"/>
  <c r="F4" i="10" s="1"/>
  <c r="Z11" i="9"/>
  <c r="D21" i="9" l="1"/>
  <c r="D13" i="8" s="1"/>
  <c r="D14" i="8" s="1"/>
  <c r="D19" i="9"/>
  <c r="F6" i="10"/>
  <c r="G4" i="10" s="1"/>
  <c r="G6" i="10" s="1"/>
  <c r="H4" i="10" s="1"/>
  <c r="H6" i="10" s="1"/>
  <c r="I4" i="10" s="1"/>
  <c r="I6" i="10" s="1"/>
  <c r="J4" i="10" s="1"/>
  <c r="J6" i="10" s="1"/>
  <c r="K4" i="10" s="1"/>
  <c r="K6" i="10" s="1"/>
  <c r="L4" i="10" s="1"/>
  <c r="L6" i="10" s="1"/>
  <c r="M4" i="10" s="1"/>
  <c r="M6" i="10" s="1"/>
  <c r="N4" i="10" s="1"/>
  <c r="N6" i="10" s="1"/>
  <c r="O4" i="10" s="1"/>
  <c r="O6" i="10" s="1"/>
  <c r="P4" i="10" s="1"/>
  <c r="P6" i="10" s="1"/>
  <c r="D22" i="9" l="1"/>
  <c r="Q4" i="10"/>
  <c r="P11" i="9"/>
  <c r="L11" i="9"/>
  <c r="J11" i="9"/>
  <c r="F11" i="9"/>
  <c r="AB11" i="9"/>
  <c r="X11" i="9"/>
  <c r="V11" i="9"/>
  <c r="T11" i="9"/>
  <c r="D20" i="1" l="1"/>
  <c r="D21" i="1"/>
  <c r="D19" i="1"/>
  <c r="F21" i="1"/>
  <c r="F20" i="1"/>
  <c r="F19" i="1"/>
  <c r="J21" i="1"/>
  <c r="J20" i="1"/>
  <c r="J19" i="1"/>
  <c r="H21" i="1"/>
  <c r="H20" i="1"/>
  <c r="H19" i="1"/>
  <c r="L21" i="1"/>
  <c r="L20" i="1"/>
  <c r="L19" i="1"/>
  <c r="N21" i="1"/>
  <c r="N20" i="1"/>
  <c r="N19" i="1"/>
  <c r="P19" i="1"/>
  <c r="P21" i="1"/>
  <c r="P20" i="1"/>
  <c r="D11" i="1"/>
  <c r="D12" i="1" s="1"/>
  <c r="F11" i="1"/>
  <c r="F12" i="1" s="1"/>
  <c r="H11" i="1"/>
  <c r="H12" i="1" s="1"/>
  <c r="J11" i="1"/>
  <c r="J12" i="1" s="1"/>
  <c r="L11" i="1"/>
  <c r="L12" i="1" s="1"/>
  <c r="N11" i="1"/>
  <c r="N12" i="1" s="1"/>
  <c r="O10" i="1"/>
  <c r="P11" i="1" s="1"/>
  <c r="P12" i="1" s="1"/>
  <c r="D22" i="1" l="1"/>
  <c r="D28" i="1" s="1"/>
  <c r="H6" i="7" l="1"/>
  <c r="G6" i="7"/>
  <c r="Y10" i="1"/>
  <c r="Z11" i="1" s="1"/>
  <c r="Z12" i="1" s="1"/>
  <c r="H48" i="7"/>
  <c r="G48" i="7"/>
  <c r="H33" i="7"/>
  <c r="G33" i="7"/>
  <c r="H16" i="7"/>
  <c r="H18" i="7" s="1"/>
  <c r="G14" i="7"/>
  <c r="H10" i="7"/>
  <c r="H12" i="7" s="1"/>
  <c r="H14" i="7" s="1"/>
  <c r="H5" i="7"/>
  <c r="H7" i="7" s="1"/>
  <c r="F11" i="7"/>
  <c r="F12" i="7" s="1"/>
  <c r="F48" i="7"/>
  <c r="F10" i="7"/>
  <c r="F7" i="7"/>
  <c r="F6" i="7"/>
  <c r="F33" i="7"/>
  <c r="F5" i="7"/>
  <c r="X25" i="1"/>
  <c r="X24" i="1"/>
  <c r="W10" i="1" s="1"/>
  <c r="X11" i="1" s="1"/>
  <c r="X12" i="1" s="1"/>
  <c r="Z20" i="1" l="1"/>
  <c r="Z19" i="1"/>
  <c r="Z21" i="1"/>
  <c r="X20" i="1"/>
  <c r="X21" i="1"/>
  <c r="F14" i="7"/>
  <c r="F16" i="7"/>
  <c r="F18" i="7" s="1"/>
  <c r="G16" i="7"/>
  <c r="G18" i="7" s="1"/>
  <c r="AB24" i="1" l="1"/>
  <c r="AA10" i="1"/>
  <c r="AB11" i="1" s="1"/>
  <c r="AB12" i="1" s="1"/>
  <c r="E16" i="7"/>
  <c r="AB19" i="1" l="1"/>
  <c r="AB20" i="1"/>
  <c r="AB21" i="1"/>
  <c r="AB26" i="1" s="1"/>
  <c r="C14" i="7"/>
  <c r="AB22" i="1" l="1"/>
  <c r="AB28" i="1" s="1"/>
  <c r="C48" i="7"/>
  <c r="S10" i="1" l="1"/>
  <c r="D48" i="7" l="1"/>
  <c r="D11" i="7" s="1"/>
  <c r="D12" i="7" s="1"/>
  <c r="C11" i="7"/>
  <c r="C12" i="7" s="1"/>
  <c r="E48" i="7"/>
  <c r="E11" i="7" s="1"/>
  <c r="E12" i="7" s="1"/>
  <c r="C33" i="7"/>
  <c r="D33" i="7"/>
  <c r="E33" i="7"/>
  <c r="C6" i="7" l="1"/>
  <c r="C7" i="7" s="1"/>
  <c r="E6" i="7"/>
  <c r="E7" i="7" s="1"/>
  <c r="E14" i="7" s="1"/>
  <c r="D6" i="7"/>
  <c r="D7" i="7" s="1"/>
  <c r="D14" i="7" s="1"/>
  <c r="D16" i="7" s="1"/>
  <c r="D18" i="7" s="1"/>
  <c r="Q10" i="1"/>
  <c r="R11" i="1" s="1"/>
  <c r="U10" i="1"/>
  <c r="V11" i="1" s="1"/>
  <c r="E18" i="7" l="1"/>
  <c r="C16" i="7"/>
  <c r="C18" i="7" s="1"/>
  <c r="R12" i="1" l="1"/>
  <c r="C19" i="6"/>
  <c r="D19" i="6"/>
  <c r="E19" i="6"/>
  <c r="F19" i="6"/>
  <c r="G19" i="6"/>
  <c r="J22" i="1" l="1"/>
  <c r="J28" i="1" s="1"/>
  <c r="N22" i="1"/>
  <c r="N28" i="1" s="1"/>
  <c r="P22" i="1"/>
  <c r="P28" i="1" s="1"/>
  <c r="R20" i="1"/>
  <c r="R19" i="1"/>
  <c r="R21" i="1"/>
  <c r="T11" i="1"/>
  <c r="T12" i="1" s="1"/>
  <c r="F22" i="1" l="1"/>
  <c r="F28" i="1" s="1"/>
  <c r="L22" i="1"/>
  <c r="L28" i="1" s="1"/>
  <c r="H22" i="1"/>
  <c r="H28" i="1" s="1"/>
  <c r="R22" i="1"/>
  <c r="R28" i="1" s="1"/>
  <c r="T19" i="1"/>
  <c r="T20" i="1"/>
  <c r="T21" i="1"/>
  <c r="V12" i="1"/>
  <c r="X19" i="1" l="1"/>
  <c r="X26" i="1"/>
  <c r="V20" i="1"/>
  <c r="V21" i="1"/>
  <c r="V19" i="1"/>
  <c r="T22" i="1"/>
  <c r="T28" i="1" s="1"/>
  <c r="X22" i="1" l="1"/>
  <c r="X28" i="1" s="1"/>
  <c r="Z22" i="1"/>
  <c r="Z28" i="1" s="1"/>
  <c r="V22" i="1"/>
  <c r="V28" i="1" l="1"/>
  <c r="H18" i="6" s="1"/>
  <c r="H19" i="6" s="1"/>
  <c r="M19" i="6" l="1"/>
  <c r="K19" i="6"/>
  <c r="J19" i="6"/>
  <c r="I19" i="6"/>
  <c r="L19" i="6"/>
  <c r="Q89" i="10"/>
  <c r="Q97" i="10" l="1"/>
  <c r="Q5" i="10" l="1"/>
  <c r="Q5" i="8"/>
  <c r="Q6" i="8" l="1"/>
  <c r="Q6" i="10"/>
  <c r="R4" i="10" l="1"/>
  <c r="R6" i="10" s="1"/>
  <c r="S4" i="10" l="1"/>
  <c r="S6" i="10" s="1"/>
  <c r="T4" i="10" l="1"/>
  <c r="T6" i="10" s="1"/>
  <c r="U4" i="10" l="1"/>
  <c r="U6" i="10" s="1"/>
  <c r="R11" i="9" l="1"/>
  <c r="K36" i="10"/>
  <c r="K38" i="10" s="1"/>
  <c r="K16" i="10" s="1"/>
  <c r="D61" i="10" l="1"/>
  <c r="D96" i="10" s="1"/>
  <c r="D60" i="10"/>
  <c r="C60" i="10" s="1"/>
  <c r="D59" i="10"/>
  <c r="C59" i="10" s="1"/>
  <c r="D58" i="10"/>
  <c r="D87" i="10" s="1"/>
  <c r="D57" i="10"/>
  <c r="D86" i="10" s="1"/>
  <c r="C56" i="10"/>
  <c r="D55" i="10"/>
  <c r="D84" i="10" s="1"/>
  <c r="O105" i="10" l="1"/>
  <c r="I105" i="10"/>
  <c r="C61" i="10"/>
  <c r="C57" i="10"/>
  <c r="T106" i="10"/>
  <c r="F106" i="10"/>
  <c r="E106" i="10"/>
  <c r="O106" i="10"/>
  <c r="Q106" i="10"/>
  <c r="U106" i="10"/>
  <c r="L106" i="10"/>
  <c r="D106" i="10"/>
  <c r="J106" i="10"/>
  <c r="R106" i="10"/>
  <c r="P106" i="10"/>
  <c r="N106" i="10"/>
  <c r="M106" i="10"/>
  <c r="S106" i="10"/>
  <c r="K106" i="10"/>
  <c r="I106" i="10"/>
  <c r="H106" i="10"/>
  <c r="G106" i="10"/>
  <c r="M113" i="10"/>
  <c r="K113" i="10"/>
  <c r="I113" i="10"/>
  <c r="R113" i="10"/>
  <c r="H113" i="10"/>
  <c r="J113" i="10"/>
  <c r="G113" i="10"/>
  <c r="D113" i="10"/>
  <c r="L113" i="10"/>
  <c r="F113" i="10"/>
  <c r="Q113" i="10"/>
  <c r="U113" i="10"/>
  <c r="P113" i="10"/>
  <c r="S113" i="10"/>
  <c r="E113" i="10"/>
  <c r="O113" i="10"/>
  <c r="T113" i="10"/>
  <c r="N113" i="10"/>
  <c r="P103" i="10"/>
  <c r="N103" i="10"/>
  <c r="E103" i="10"/>
  <c r="T103" i="10"/>
  <c r="O103" i="10"/>
  <c r="R103" i="10"/>
  <c r="H103" i="10"/>
  <c r="L103" i="10"/>
  <c r="Q103" i="10"/>
  <c r="M103" i="10"/>
  <c r="G103" i="10"/>
  <c r="I103" i="10"/>
  <c r="S103" i="10"/>
  <c r="K103" i="10"/>
  <c r="U103" i="10"/>
  <c r="D103" i="10"/>
  <c r="F103" i="10"/>
  <c r="J103" i="10"/>
  <c r="E105" i="10"/>
  <c r="N105" i="10"/>
  <c r="P105" i="10"/>
  <c r="S105" i="10"/>
  <c r="Q105" i="10"/>
  <c r="H105" i="10"/>
  <c r="R105" i="10"/>
  <c r="C55" i="10"/>
  <c r="T105" i="10"/>
  <c r="J105" i="10"/>
  <c r="K105" i="10"/>
  <c r="D88" i="10"/>
  <c r="C58" i="10"/>
  <c r="D105" i="10"/>
  <c r="D89" i="10"/>
  <c r="U105" i="10"/>
  <c r="L105" i="10"/>
  <c r="M105" i="10"/>
  <c r="F105" i="10"/>
  <c r="G105" i="10"/>
  <c r="D97" i="10" l="1"/>
  <c r="D5" i="8" s="1"/>
  <c r="R48" i="10"/>
  <c r="R50" i="10"/>
  <c r="R49" i="10"/>
  <c r="S50" i="10"/>
  <c r="S48" i="10"/>
  <c r="S49" i="10"/>
  <c r="U48" i="10"/>
  <c r="U50" i="10"/>
  <c r="U49" i="10"/>
  <c r="Q49" i="10"/>
  <c r="Q50" i="10"/>
  <c r="Q48" i="10"/>
  <c r="O108" i="10"/>
  <c r="J108" i="10"/>
  <c r="E108" i="10"/>
  <c r="N108" i="10"/>
  <c r="H108" i="10"/>
  <c r="Q108" i="10"/>
  <c r="D108" i="10"/>
  <c r="T108" i="10"/>
  <c r="S108" i="10"/>
  <c r="L108" i="10"/>
  <c r="U108" i="10"/>
  <c r="R108" i="10"/>
  <c r="P108" i="10"/>
  <c r="M108" i="10"/>
  <c r="I108" i="10"/>
  <c r="G108" i="10"/>
  <c r="F108" i="10"/>
  <c r="K108" i="10"/>
  <c r="I107" i="10"/>
  <c r="H107" i="10"/>
  <c r="H114" i="10" s="1"/>
  <c r="O107" i="10"/>
  <c r="G107" i="10"/>
  <c r="D107" i="10"/>
  <c r="M107" i="10"/>
  <c r="U107" i="10"/>
  <c r="L107" i="10"/>
  <c r="Q107" i="10"/>
  <c r="Q114" i="10" s="1"/>
  <c r="S107" i="10"/>
  <c r="S114" i="10" s="1"/>
  <c r="F107" i="10"/>
  <c r="R107" i="10"/>
  <c r="T107" i="10"/>
  <c r="E107" i="10"/>
  <c r="J107" i="10"/>
  <c r="P107" i="10"/>
  <c r="N107" i="10"/>
  <c r="N114" i="10" s="1"/>
  <c r="K107" i="10"/>
  <c r="T50" i="10"/>
  <c r="T48" i="10"/>
  <c r="T49" i="10"/>
  <c r="J114" i="10" l="1"/>
  <c r="J10" i="10" s="1"/>
  <c r="E114" i="10"/>
  <c r="O114" i="10"/>
  <c r="Z25" i="9" s="1"/>
  <c r="F114" i="10"/>
  <c r="D114" i="10"/>
  <c r="U114" i="10"/>
  <c r="D5" i="10"/>
  <c r="K114" i="10"/>
  <c r="T114" i="10"/>
  <c r="AJ25" i="9" s="1"/>
  <c r="M114" i="10"/>
  <c r="V25" i="9" s="1"/>
  <c r="G114" i="10"/>
  <c r="G10" i="10" s="1"/>
  <c r="I114" i="10"/>
  <c r="I10" i="10" s="1"/>
  <c r="R114" i="10"/>
  <c r="R10" i="10" s="1"/>
  <c r="L114" i="10"/>
  <c r="T25" i="9" s="1"/>
  <c r="P114" i="10"/>
  <c r="P10" i="10" s="1"/>
  <c r="D25" i="9"/>
  <c r="U10" i="10"/>
  <c r="AL25" i="9"/>
  <c r="L25" i="9"/>
  <c r="H10" i="10"/>
  <c r="M10" i="10"/>
  <c r="AD25" i="9"/>
  <c r="Q10" i="10"/>
  <c r="E10" i="10"/>
  <c r="E11" i="10" s="1"/>
  <c r="F25" i="9"/>
  <c r="R25" i="9"/>
  <c r="K10" i="10"/>
  <c r="D6" i="8"/>
  <c r="D7" i="8" s="1"/>
  <c r="D8" i="8" s="1"/>
  <c r="S10" i="10"/>
  <c r="AH25" i="9"/>
  <c r="X25" i="9"/>
  <c r="N10" i="10"/>
  <c r="H25" i="9"/>
  <c r="F10" i="10"/>
  <c r="P25" i="9" l="1"/>
  <c r="T10" i="10"/>
  <c r="O10" i="10"/>
  <c r="J25" i="9"/>
  <c r="N25" i="9"/>
  <c r="L10" i="10"/>
  <c r="AF25" i="9"/>
  <c r="AB25" i="9"/>
  <c r="D16" i="8"/>
  <c r="D17" i="8" s="1"/>
  <c r="D19" i="8" s="1"/>
  <c r="D26" i="9" s="1"/>
  <c r="D28" i="9" s="1"/>
  <c r="D9" i="8"/>
  <c r="E4" i="8" s="1"/>
  <c r="E13" i="10"/>
  <c r="E15" i="10" s="1"/>
  <c r="E17" i="10" s="1"/>
  <c r="F9" i="9" s="1"/>
  <c r="F12" i="9" s="1"/>
  <c r="F9" i="10"/>
  <c r="F11" i="10" s="1"/>
  <c r="E7" i="8" l="1"/>
  <c r="E8" i="8" s="1"/>
  <c r="E16" i="8" s="1"/>
  <c r="E17" i="8" s="1"/>
  <c r="F13" i="10"/>
  <c r="F15" i="10" s="1"/>
  <c r="G9" i="10"/>
  <c r="G11" i="10" s="1"/>
  <c r="F21" i="9"/>
  <c r="E13" i="8" s="1"/>
  <c r="E14" i="8" s="1"/>
  <c r="F19" i="9"/>
  <c r="F20" i="9"/>
  <c r="E19" i="8" l="1"/>
  <c r="F26" i="9" s="1"/>
  <c r="E9" i="8"/>
  <c r="F4" i="8" s="1"/>
  <c r="F7" i="8" s="1"/>
  <c r="F8" i="8" s="1"/>
  <c r="F16" i="8" s="1"/>
  <c r="F17" i="8" s="1"/>
  <c r="H9" i="9"/>
  <c r="H12" i="9" s="1"/>
  <c r="F17" i="10"/>
  <c r="F22" i="9"/>
  <c r="G13" i="10"/>
  <c r="G15" i="10" s="1"/>
  <c r="H9" i="10"/>
  <c r="H11" i="10" s="1"/>
  <c r="F28" i="9" l="1"/>
  <c r="J9" i="9"/>
  <c r="J12" i="9" s="1"/>
  <c r="G17" i="10"/>
  <c r="I9" i="10"/>
  <c r="I11" i="10" s="1"/>
  <c r="H13" i="10"/>
  <c r="H15" i="10" s="1"/>
  <c r="H19" i="9"/>
  <c r="H20" i="9"/>
  <c r="H21" i="9"/>
  <c r="F13" i="8" s="1"/>
  <c r="F14" i="8" s="1"/>
  <c r="F19" i="8" s="1"/>
  <c r="H26" i="9" s="1"/>
  <c r="F9" i="8"/>
  <c r="G4" i="8" s="1"/>
  <c r="J19" i="9" l="1"/>
  <c r="J21" i="9"/>
  <c r="G13" i="8" s="1"/>
  <c r="G14" i="8" s="1"/>
  <c r="J20" i="9"/>
  <c r="H22" i="9"/>
  <c r="H28" i="9" s="1"/>
  <c r="H17" i="10"/>
  <c r="L9" i="9"/>
  <c r="L12" i="9" s="1"/>
  <c r="G7" i="8"/>
  <c r="G8" i="8" s="1"/>
  <c r="G16" i="8" s="1"/>
  <c r="G17" i="8" s="1"/>
  <c r="J9" i="10"/>
  <c r="J11" i="10" s="1"/>
  <c r="I13" i="10"/>
  <c r="I15" i="10" s="1"/>
  <c r="J22" i="9" l="1"/>
  <c r="G19" i="8"/>
  <c r="J26" i="9" s="1"/>
  <c r="K9" i="10"/>
  <c r="K11" i="10" s="1"/>
  <c r="J13" i="10"/>
  <c r="J15" i="10" s="1"/>
  <c r="N9" i="9"/>
  <c r="N12" i="9" s="1"/>
  <c r="I17" i="10"/>
  <c r="G9" i="8"/>
  <c r="H4" i="8" s="1"/>
  <c r="L19" i="9"/>
  <c r="L21" i="9"/>
  <c r="H13" i="8" s="1"/>
  <c r="H14" i="8" s="1"/>
  <c r="L20" i="9"/>
  <c r="J28" i="9" l="1"/>
  <c r="L9" i="10"/>
  <c r="L11" i="10" s="1"/>
  <c r="K13" i="10"/>
  <c r="K15" i="10" s="1"/>
  <c r="N20" i="9"/>
  <c r="N21" i="9"/>
  <c r="I13" i="8" s="1"/>
  <c r="I14" i="8" s="1"/>
  <c r="N19" i="9"/>
  <c r="N22" i="9" s="1"/>
  <c r="L22" i="9"/>
  <c r="H7" i="8"/>
  <c r="H8" i="8" s="1"/>
  <c r="H16" i="8" s="1"/>
  <c r="H17" i="8" s="1"/>
  <c r="H19" i="8" s="1"/>
  <c r="L26" i="9" s="1"/>
  <c r="P9" i="9"/>
  <c r="P12" i="9" s="1"/>
  <c r="J17" i="10"/>
  <c r="H9" i="8" l="1"/>
  <c r="I4" i="8" s="1"/>
  <c r="I7" i="8" s="1"/>
  <c r="I8" i="8" s="1"/>
  <c r="I16" i="8" s="1"/>
  <c r="I17" i="8" s="1"/>
  <c r="I19" i="8" s="1"/>
  <c r="N26" i="9" s="1"/>
  <c r="N28" i="9" s="1"/>
  <c r="L13" i="10"/>
  <c r="L15" i="10" s="1"/>
  <c r="M9" i="10"/>
  <c r="M11" i="10" s="1"/>
  <c r="P20" i="9"/>
  <c r="P19" i="9"/>
  <c r="P21" i="9"/>
  <c r="J13" i="8" s="1"/>
  <c r="J14" i="8" s="1"/>
  <c r="L28" i="9"/>
  <c r="R9" i="9"/>
  <c r="R12" i="9" s="1"/>
  <c r="K17" i="10"/>
  <c r="I9" i="8" l="1"/>
  <c r="J4" i="8" s="1"/>
  <c r="M13" i="10"/>
  <c r="M15" i="10" s="1"/>
  <c r="N9" i="10"/>
  <c r="N11" i="10" s="1"/>
  <c r="R19" i="9"/>
  <c r="R21" i="9"/>
  <c r="K13" i="8" s="1"/>
  <c r="K14" i="8" s="1"/>
  <c r="R20" i="9"/>
  <c r="P22" i="9"/>
  <c r="T9" i="9"/>
  <c r="T12" i="9" s="1"/>
  <c r="L17" i="10"/>
  <c r="T20" i="9" l="1"/>
  <c r="T19" i="9"/>
  <c r="T21" i="9"/>
  <c r="L13" i="8" s="1"/>
  <c r="L14" i="8" s="1"/>
  <c r="R22" i="9"/>
  <c r="O9" i="10"/>
  <c r="O11" i="10" s="1"/>
  <c r="N13" i="10"/>
  <c r="N15" i="10" s="1"/>
  <c r="M17" i="10"/>
  <c r="V9" i="9"/>
  <c r="V12" i="9" s="1"/>
  <c r="J7" i="8"/>
  <c r="J8" i="8" s="1"/>
  <c r="J16" i="8" s="1"/>
  <c r="J17" i="8" s="1"/>
  <c r="J19" i="8" s="1"/>
  <c r="P26" i="9" s="1"/>
  <c r="P28" i="9" s="1"/>
  <c r="T22" i="9" l="1"/>
  <c r="V19" i="9"/>
  <c r="V20" i="9"/>
  <c r="V21" i="9"/>
  <c r="M13" i="8" s="1"/>
  <c r="M14" i="8" s="1"/>
  <c r="J9" i="8"/>
  <c r="K4" i="8" s="1"/>
  <c r="N17" i="10"/>
  <c r="X9" i="9"/>
  <c r="X12" i="9" s="1"/>
  <c r="P9" i="10"/>
  <c r="P11" i="10" s="1"/>
  <c r="O13" i="10"/>
  <c r="O15" i="10" s="1"/>
  <c r="V22" i="9" l="1"/>
  <c r="Q9" i="10"/>
  <c r="Q11" i="10" s="1"/>
  <c r="P13" i="10"/>
  <c r="P15" i="10" s="1"/>
  <c r="K7" i="8"/>
  <c r="K8" i="8" s="1"/>
  <c r="K16" i="8" s="1"/>
  <c r="K17" i="8" s="1"/>
  <c r="K19" i="8" s="1"/>
  <c r="R26" i="9" s="1"/>
  <c r="R28" i="9" s="1"/>
  <c r="O17" i="10"/>
  <c r="Z9" i="9"/>
  <c r="Z12" i="9" s="1"/>
  <c r="X20" i="9"/>
  <c r="X19" i="9"/>
  <c r="X21" i="9"/>
  <c r="N13" i="8" s="1"/>
  <c r="N14" i="8" s="1"/>
  <c r="X22" i="9" l="1"/>
  <c r="R9" i="10"/>
  <c r="R11" i="10" s="1"/>
  <c r="Q13" i="10"/>
  <c r="Q15" i="10" s="1"/>
  <c r="Z21" i="9"/>
  <c r="O13" i="8" s="1"/>
  <c r="O14" i="8" s="1"/>
  <c r="Z19" i="9"/>
  <c r="Z20" i="9"/>
  <c r="K9" i="8"/>
  <c r="L4" i="8" s="1"/>
  <c r="AB9" i="9"/>
  <c r="AB12" i="9" s="1"/>
  <c r="P17" i="10"/>
  <c r="Z22" i="9" l="1"/>
  <c r="AB20" i="9"/>
  <c r="AB19" i="9"/>
  <c r="AB21" i="9"/>
  <c r="P13" i="8" s="1"/>
  <c r="P14" i="8" s="1"/>
  <c r="AD9" i="9"/>
  <c r="AD12" i="9" s="1"/>
  <c r="Q17" i="10"/>
  <c r="S9" i="10"/>
  <c r="S11" i="10" s="1"/>
  <c r="R13" i="10"/>
  <c r="R15" i="10" s="1"/>
  <c r="L7" i="8"/>
  <c r="L8" i="8" s="1"/>
  <c r="L16" i="8" s="1"/>
  <c r="L17" i="8" s="1"/>
  <c r="L19" i="8" s="1"/>
  <c r="T26" i="9" s="1"/>
  <c r="T28" i="9" s="1"/>
  <c r="AD21" i="9" l="1"/>
  <c r="Q13" i="8" s="1"/>
  <c r="Q14" i="8" s="1"/>
  <c r="AD20" i="9"/>
  <c r="AD19" i="9"/>
  <c r="AB22" i="9"/>
  <c r="L9" i="8"/>
  <c r="M4" i="8" s="1"/>
  <c r="AF9" i="9"/>
  <c r="AF12" i="9" s="1"/>
  <c r="R17" i="10"/>
  <c r="S13" i="10"/>
  <c r="S15" i="10" s="1"/>
  <c r="T9" i="10"/>
  <c r="T11" i="10" s="1"/>
  <c r="U9" i="10" l="1"/>
  <c r="U11" i="10" s="1"/>
  <c r="U13" i="10" s="1"/>
  <c r="T13" i="10"/>
  <c r="T15" i="10" s="1"/>
  <c r="AH9" i="9"/>
  <c r="AH12" i="9" s="1"/>
  <c r="S17" i="10"/>
  <c r="AF19" i="9"/>
  <c r="AF21" i="9"/>
  <c r="R13" i="8" s="1"/>
  <c r="R14" i="8" s="1"/>
  <c r="AF20" i="9"/>
  <c r="M7" i="8"/>
  <c r="M8" i="8" s="1"/>
  <c r="M16" i="8" s="1"/>
  <c r="M17" i="8" s="1"/>
  <c r="M19" i="8" s="1"/>
  <c r="V26" i="9" s="1"/>
  <c r="V28" i="9" s="1"/>
  <c r="AD22" i="9"/>
  <c r="T17" i="10" l="1"/>
  <c r="AJ9" i="9"/>
  <c r="AJ12" i="9" s="1"/>
  <c r="M9" i="8"/>
  <c r="N4" i="8" s="1"/>
  <c r="AF22" i="9"/>
  <c r="AF28" i="9" s="1"/>
  <c r="AH20" i="9"/>
  <c r="AH19" i="9"/>
  <c r="AH21" i="9"/>
  <c r="S13" i="8" s="1"/>
  <c r="S14" i="8" s="1"/>
  <c r="U15" i="10"/>
  <c r="U17" i="10" l="1"/>
  <c r="AL9" i="9"/>
  <c r="AL12" i="9" s="1"/>
  <c r="AH22" i="9"/>
  <c r="AH28" i="9" s="1"/>
  <c r="N7" i="8"/>
  <c r="N8" i="8" s="1"/>
  <c r="N16" i="8" s="1"/>
  <c r="N17" i="8" s="1"/>
  <c r="N19" i="8" s="1"/>
  <c r="X26" i="9" s="1"/>
  <c r="X28" i="9" s="1"/>
  <c r="AJ19" i="9"/>
  <c r="AJ21" i="9"/>
  <c r="T13" i="8" s="1"/>
  <c r="T14" i="8" s="1"/>
  <c r="AJ20" i="9"/>
  <c r="N9" i="8" l="1"/>
  <c r="O4" i="8" s="1"/>
  <c r="O7" i="8" s="1"/>
  <c r="O8" i="8" s="1"/>
  <c r="O16" i="8" s="1"/>
  <c r="O17" i="8" s="1"/>
  <c r="O19" i="8" s="1"/>
  <c r="Z26" i="9" s="1"/>
  <c r="Z28" i="9" s="1"/>
  <c r="AJ22" i="9"/>
  <c r="AJ28" i="9" s="1"/>
  <c r="AL21" i="9"/>
  <c r="U13" i="8" s="1"/>
  <c r="U14" i="8" s="1"/>
  <c r="AL20" i="9"/>
  <c r="AL19" i="9"/>
  <c r="AL22" i="9" s="1"/>
  <c r="AL28" i="9" s="1"/>
  <c r="O9" i="8" l="1"/>
  <c r="P4" i="8" s="1"/>
  <c r="P7" i="8" l="1"/>
  <c r="P8" i="8" s="1"/>
  <c r="P16" i="8" s="1"/>
  <c r="P17" i="8" s="1"/>
  <c r="P19" i="8" s="1"/>
  <c r="AB26" i="9" s="1"/>
  <c r="AB28" i="9" s="1"/>
  <c r="P9" i="8" l="1"/>
  <c r="Q4" i="8" s="1"/>
  <c r="Q7" i="8" s="1"/>
  <c r="Q8" i="8" s="1"/>
  <c r="Q16" i="8" s="1"/>
  <c r="Q17" i="8" s="1"/>
  <c r="Q19" i="8" s="1"/>
  <c r="AD26" i="9" s="1"/>
  <c r="AD28" i="9" s="1"/>
  <c r="Q9" i="8"/>
  <c r="R4" i="8" s="1"/>
  <c r="R7" i="8" l="1"/>
  <c r="R8" i="8" s="1"/>
  <c r="R16" i="8" s="1"/>
  <c r="R17" i="8" s="1"/>
  <c r="R19" i="8" s="1"/>
  <c r="R9" i="8" l="1"/>
  <c r="S4" i="8" s="1"/>
  <c r="S7" i="8" s="1"/>
  <c r="S8" i="8" s="1"/>
  <c r="S16" i="8" s="1"/>
  <c r="S17" i="8" s="1"/>
  <c r="S19" i="8" s="1"/>
  <c r="S9" i="8" l="1"/>
  <c r="T4" i="8" s="1"/>
  <c r="T7" i="8" s="1"/>
  <c r="T8" i="8" s="1"/>
  <c r="T16" i="8" s="1"/>
  <c r="T17" i="8" s="1"/>
  <c r="T19" i="8" s="1"/>
  <c r="T9" i="8" l="1"/>
  <c r="U4" i="8" s="1"/>
  <c r="U7" i="8" l="1"/>
  <c r="U8" i="8" s="1"/>
  <c r="U16" i="8" s="1"/>
  <c r="U17" i="8" s="1"/>
  <c r="U19" i="8" s="1"/>
  <c r="U9" i="8" l="1"/>
</calcChain>
</file>

<file path=xl/sharedStrings.xml><?xml version="1.0" encoding="utf-8"?>
<sst xmlns="http://schemas.openxmlformats.org/spreadsheetml/2006/main" count="237" uniqueCount="119">
  <si>
    <t>Hydro One Distribution</t>
  </si>
  <si>
    <t xml:space="preserve">Renewable Generation Connection Rate Protection </t>
  </si>
  <si>
    <t>Compensation Amounts under Ontario Regulation 330/09</t>
  </si>
  <si>
    <t>Summary of Revenue Requirement for Recovery in 2022-2027</t>
  </si>
  <si>
    <t>RGCP Eligible Investments ($M)</t>
  </si>
  <si>
    <t>Board Approved RR Basis (1)</t>
  </si>
  <si>
    <t>Proposed for Recoveries</t>
  </si>
  <si>
    <t>2010 RGCP Investment</t>
  </si>
  <si>
    <t>2011 RGCP Investment</t>
  </si>
  <si>
    <t>2012 RGCP Investment</t>
  </si>
  <si>
    <t>2013 RGCP Investment</t>
  </si>
  <si>
    <t>2014 RGCP Investment</t>
  </si>
  <si>
    <t>2022 RGCP Investment (2)</t>
  </si>
  <si>
    <t>NOTES:</t>
  </si>
  <si>
    <t>Historical period based on actuals</t>
  </si>
  <si>
    <t>(1)</t>
  </si>
  <si>
    <t>No funding was received from 2015 - 2021.</t>
  </si>
  <si>
    <t>(2)</t>
  </si>
  <si>
    <t>Proposed Revenue Requirement for 2022 to 2027, which is based on the 2020 actual revenue requirement. Note that future actual revenue requirement may vary.</t>
  </si>
  <si>
    <t xml:space="preserve">Renewable Generation Investment Summary </t>
  </si>
  <si>
    <t>Historic</t>
  </si>
  <si>
    <r>
      <t>Forecast Period</t>
    </r>
    <r>
      <rPr>
        <b/>
        <vertAlign val="superscript"/>
        <sz val="10"/>
        <rFont val="Arial"/>
        <family val="2"/>
      </rPr>
      <t>3</t>
    </r>
  </si>
  <si>
    <t>Total REI Investments</t>
  </si>
  <si>
    <t>In-Service Additions</t>
  </si>
  <si>
    <t>Incremental OM&amp;A (Start-Up)</t>
  </si>
  <si>
    <t>Incremental OM&amp;A (Ongoing)</t>
  </si>
  <si>
    <t/>
  </si>
  <si>
    <t>Total Expansion Investments</t>
  </si>
  <si>
    <r>
      <t>Direct Benefit Assumption - REI</t>
    </r>
    <r>
      <rPr>
        <vertAlign val="superscript"/>
        <sz val="10"/>
        <rFont val="Arial"/>
        <family val="2"/>
      </rPr>
      <t>1</t>
    </r>
  </si>
  <si>
    <r>
      <t>Direct Benefit Assumption - Expansion</t>
    </r>
    <r>
      <rPr>
        <vertAlign val="superscript"/>
        <sz val="10"/>
        <rFont val="Arial"/>
        <family val="2"/>
      </rPr>
      <t>2</t>
    </r>
  </si>
  <si>
    <t>Total REI Investments - Provincial Portion (95%)</t>
  </si>
  <si>
    <t>2015</t>
  </si>
  <si>
    <t>Total Expansion Investments- Provincial Portion (82%)</t>
  </si>
  <si>
    <t>Total Provincial Portion</t>
  </si>
  <si>
    <t>Notes:</t>
  </si>
  <si>
    <t>1 - As established in EB-2009-0096, Hydro One assumes a direct benefit percentage of 5% for REI investments.</t>
  </si>
  <si>
    <t>2 - As established in EB-2009-0096 Hydro One assumes a direct benefit percentage of 18.2% for Expansion investments</t>
  </si>
  <si>
    <t xml:space="preserve">3 - Forecast Period amounts are based on the approved in-service additions and OM&amp;A work program costs from Hydro One's 2023-2027 Joint Rate Application (EB-2021-0110). </t>
  </si>
  <si>
    <t>Rate Base Calculations</t>
  </si>
  <si>
    <t>Gross Fixed Assets</t>
  </si>
  <si>
    <t>Opening</t>
  </si>
  <si>
    <t>Additions</t>
  </si>
  <si>
    <t>Ending</t>
  </si>
  <si>
    <t>Depreciation</t>
  </si>
  <si>
    <t>NBV</t>
  </si>
  <si>
    <t>Rate Base (average)</t>
  </si>
  <si>
    <t>Working Capital</t>
  </si>
  <si>
    <t>Total Rate Base</t>
  </si>
  <si>
    <t>Capital Structure</t>
  </si>
  <si>
    <t>Long-Term Debt</t>
  </si>
  <si>
    <t>Short-Term Debt</t>
  </si>
  <si>
    <t>Common Equity</t>
  </si>
  <si>
    <t>% Return on Rate Base</t>
  </si>
  <si>
    <t>$ Return on Rate Base</t>
  </si>
  <si>
    <t>OM&amp;A</t>
  </si>
  <si>
    <t>Working Capital %</t>
  </si>
  <si>
    <t>Working Capital Component</t>
  </si>
  <si>
    <t>Allocation</t>
  </si>
  <si>
    <t>DC219 (GEP)</t>
  </si>
  <si>
    <t>Fixed Assets</t>
  </si>
  <si>
    <t>DC203 (GEP)</t>
  </si>
  <si>
    <t>Total Capex</t>
  </si>
  <si>
    <t>Dep Rate</t>
  </si>
  <si>
    <t>Total 1808</t>
  </si>
  <si>
    <t>Total 1815</t>
  </si>
  <si>
    <t>Total 1820</t>
  </si>
  <si>
    <t>Total 1830</t>
  </si>
  <si>
    <t>Total 1835</t>
  </si>
  <si>
    <t>Total 1850</t>
  </si>
  <si>
    <t>Total 1860</t>
  </si>
  <si>
    <t>Total 1920</t>
  </si>
  <si>
    <t>Total 1925</t>
  </si>
  <si>
    <t>Total 1955</t>
  </si>
  <si>
    <t>Total 1960</t>
  </si>
  <si>
    <t>Total 1970</t>
  </si>
  <si>
    <t>Total 1975</t>
  </si>
  <si>
    <t>Total 1980</t>
  </si>
  <si>
    <t>Total</t>
  </si>
  <si>
    <t>Depreciation Expense from Additions</t>
  </si>
  <si>
    <t>Depreciation Expense</t>
  </si>
  <si>
    <t>Income Tax</t>
  </si>
  <si>
    <t>Class 47 - 8%</t>
  </si>
  <si>
    <t>Opening UCC</t>
  </si>
  <si>
    <t>Half year rule</t>
  </si>
  <si>
    <t>Eligible UCC</t>
  </si>
  <si>
    <t>CCA Claim</t>
  </si>
  <si>
    <t>Ending UCC</t>
  </si>
  <si>
    <t>Income Tax Rate</t>
  </si>
  <si>
    <t>Return on Equity</t>
  </si>
  <si>
    <t>Gross Up</t>
  </si>
  <si>
    <t>Timing Differences</t>
  </si>
  <si>
    <t>Total Tax</t>
  </si>
  <si>
    <t>Renewable Generation Connection Rate Protection ($M)</t>
  </si>
  <si>
    <t>Net Fixed Assets</t>
  </si>
  <si>
    <t>WCA</t>
  </si>
  <si>
    <t>Rate Base</t>
  </si>
  <si>
    <t>Deemed ST Debt</t>
  </si>
  <si>
    <t>Deemed LT Debt</t>
  </si>
  <si>
    <t>Deemed Equity</t>
  </si>
  <si>
    <t>Capital Tax</t>
  </si>
  <si>
    <t>ST Interest</t>
  </si>
  <si>
    <t>LT Interest</t>
  </si>
  <si>
    <t>ROE</t>
  </si>
  <si>
    <t>OM&amp;A (1)</t>
  </si>
  <si>
    <t>Depreciation (2)</t>
  </si>
  <si>
    <t>Income tax (3)</t>
  </si>
  <si>
    <t>Provincial Rate Protection - Revenue Requirement ($M)</t>
  </si>
  <si>
    <t>Monthly RGCRP amounts</t>
  </si>
  <si>
    <t>OM&amp;A is allocated to the provincial ratepayers and Hydro One customers based on an 81.8% and 18.2% revenue split for Expansion investments and a 95% and 5% revenue split for REI Investments</t>
  </si>
  <si>
    <t>Depreciation rates are applied by asset class</t>
  </si>
  <si>
    <t>(3)</t>
  </si>
  <si>
    <t>See Income tax &amp; UCC tab</t>
  </si>
  <si>
    <t>OM&amp;A is allocated to the provincial ratepayers and Hydro One customers based on an 81.8% and 18.2% revenue split</t>
  </si>
  <si>
    <t>*</t>
  </si>
  <si>
    <t>2021 revenue requirement figures, which informs 2022 RGCRP, is based on 2020 actuals.</t>
  </si>
  <si>
    <t>Rate Base Calculations ($M)</t>
  </si>
  <si>
    <t>Total In-Service Additions</t>
  </si>
  <si>
    <t>Depreciation Expense ($M)</t>
  </si>
  <si>
    <t>See Income Taxes &amp; UCC 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</si>
</sst>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&quot;$&quot;* #,##0.0_-;\-&quot;$&quot;* #,##0.0_-;_-&quot;$&quot;* &quot;-&quot;??_-;_-@_-"/>
    <numFmt numFmtId="167" formatCode="_-&quot;$&quot;* #,##0_-;\-&quot;$&quot;* #,##0_-;_-&quot;$&quot;* &quot;-&quot;??_-;_-@_-"/>
    <numFmt numFmtId="168" formatCode="0.0%"/>
    <numFmt numFmtId="169" formatCode="_-* #,##0.0_-;\-* #,##0.0_-;_-* &quot;-&quot;??_-;_-@_-"/>
    <numFmt numFmtId="170" formatCode="&quot;$&quot;#,##0"/>
    <numFmt numFmtId="171" formatCode="&quot;$&quot;#,##0.0"/>
    <numFmt numFmtId="172" formatCode="_-&quot;$&quot;* #,##0.0_-;\-&quot;$&quot;* #,##0.0_-;_-&quot;$&quot;* &quot;-&quot;_-;_-@_-"/>
    <numFmt numFmtId="173" formatCode="#,##0.0_);\(#,##0.0\)"/>
    <numFmt numFmtId="174" formatCode="0.0"/>
    <numFmt numFmtId="175" formatCode="_-&quot;$&quot;* #,##0.00000_-;\-&quot;$&quot;* #,##0.00000_-;_-&quot;$&quot;* &quot;-&quot;??_-;_-@_-"/>
    <numFmt numFmtId="176" formatCode="_-&quot;$&quot;* #,##0.0000_-;\-&quot;$&quot;* #,##0.0000_-;_-&quot;$&quot;* &quot;-&quot;??_-;_-@_-"/>
    <numFmt numFmtId="177" formatCode="_-&quot;$&quot;* #,##0.000000_-;\-&quot;$&quot;* #,##0.000000_-;_-&quot;$&quot;* &quot;-&quot;??_-;_-@_-"/>
    <numFmt numFmtId="178" formatCode="_(* #,##0.000000_);_(* \(#,##0.000000\);_(* &quot;-&quot;??_);_(@_)"/>
    <numFmt numFmtId="179" formatCode="_(* #,##0.00000000_);_(* \(#,##0.00000000\);_(* &quot;-&quot;??_);_(@_)"/>
    <numFmt numFmtId="180" formatCode="_-* #,##0.0000_-;\-* #,##0.0000_-;_-* &quot;-&quot;??_-;_-@_-"/>
    <numFmt numFmtId="181" formatCode="_-* #,##0.000000_-;\-* #,##0.000000_-;_-* &quot;-&quot;??_-;_-@_-"/>
    <numFmt numFmtId="182" formatCode="#,##0.00000"/>
    <numFmt numFmtId="183" formatCode="_-&quot;$&quot;* #,##0.0000000_-;\-&quot;$&quot;* #,##0.0000000_-;_-&quot;$&quot;* &quot;-&quot;??_-;_-@_-"/>
    <numFmt numFmtId="184" formatCode="_(&quot;$&quot;* #,##0.00000_);_(&quot;$&quot;* \(#,##0.00000\);_(&quot;$&quot;* &quot;-&quot;??_);_(@_)"/>
  </numFmts>
  <fonts count="50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rgb="FFC00000"/>
      <name val="Calibri"/>
      <family val="2"/>
    </font>
    <font>
      <sz val="12"/>
      <color rgb="FFC0000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4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sz val="14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sz val="12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2"/>
      <name val="Arial"/>
      <family val="2"/>
    </font>
    <font>
      <u/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gray0625"/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165" fontId="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9" fillId="0" borderId="0"/>
    <xf numFmtId="0" fontId="27" fillId="0" borderId="0"/>
    <xf numFmtId="0" fontId="9" fillId="0" borderId="0"/>
    <xf numFmtId="0" fontId="26" fillId="0" borderId="0"/>
    <xf numFmtId="0" fontId="9" fillId="23" borderId="7" applyNumberFormat="0" applyFont="0" applyAlignment="0" applyProtection="0"/>
    <xf numFmtId="0" fontId="18" fillId="20" borderId="8" applyNumberFormat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9" fillId="0" borderId="0"/>
    <xf numFmtId="0" fontId="1" fillId="0" borderId="0"/>
    <xf numFmtId="9" fontId="9" fillId="0" borderId="0" applyFont="0" applyFill="0" applyBorder="0" applyAlignment="0" applyProtection="0"/>
  </cellStyleXfs>
  <cellXfs count="192">
    <xf numFmtId="0" fontId="0" fillId="0" borderId="0" xfId="0"/>
    <xf numFmtId="0" fontId="23" fillId="0" borderId="0" xfId="0" applyFont="1"/>
    <xf numFmtId="0" fontId="23" fillId="0" borderId="0" xfId="0" applyFont="1" applyAlignment="1">
      <alignment vertical="center"/>
    </xf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center"/>
    </xf>
    <xf numFmtId="170" fontId="0" fillId="0" borderId="0" xfId="0" applyNumberFormat="1"/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left" indent="1"/>
    </xf>
    <xf numFmtId="173" fontId="30" fillId="0" borderId="0" xfId="0" applyNumberFormat="1" applyFont="1"/>
    <xf numFmtId="173" fontId="30" fillId="0" borderId="11" xfId="0" applyNumberFormat="1" applyFont="1" applyBorder="1"/>
    <xf numFmtId="169" fontId="30" fillId="0" borderId="0" xfId="28" applyNumberFormat="1" applyFont="1" applyFill="1"/>
    <xf numFmtId="169" fontId="30" fillId="0" borderId="11" xfId="28" applyNumberFormat="1" applyFont="1" applyFill="1" applyBorder="1"/>
    <xf numFmtId="0" fontId="31" fillId="0" borderId="0" xfId="0" applyFont="1" applyAlignment="1">
      <alignment horizontal="center"/>
    </xf>
    <xf numFmtId="10" fontId="30" fillId="0" borderId="0" xfId="50" applyNumberFormat="1" applyFont="1" applyFill="1" applyAlignment="1">
      <alignment horizontal="center"/>
    </xf>
    <xf numFmtId="164" fontId="30" fillId="0" borderId="0" xfId="32" applyFont="1" applyFill="1"/>
    <xf numFmtId="0" fontId="29" fillId="0" borderId="11" xfId="0" applyFont="1" applyBorder="1"/>
    <xf numFmtId="164" fontId="29" fillId="0" borderId="11" xfId="32" applyFont="1" applyBorder="1"/>
    <xf numFmtId="173" fontId="30" fillId="0" borderId="0" xfId="0" applyNumberFormat="1" applyFont="1" applyAlignment="1">
      <alignment horizontal="center"/>
    </xf>
    <xf numFmtId="0" fontId="32" fillId="0" borderId="0" xfId="0" applyFont="1"/>
    <xf numFmtId="0" fontId="33" fillId="0" borderId="0" xfId="0" applyFont="1"/>
    <xf numFmtId="0" fontId="34" fillId="0" borderId="13" xfId="0" applyFont="1" applyBorder="1"/>
    <xf numFmtId="0" fontId="32" fillId="0" borderId="14" xfId="0" applyFont="1" applyBorder="1"/>
    <xf numFmtId="0" fontId="33" fillId="24" borderId="14" xfId="0" applyFont="1" applyFill="1" applyBorder="1" applyAlignment="1">
      <alignment horizontal="center" wrapText="1"/>
    </xf>
    <xf numFmtId="0" fontId="33" fillId="0" borderId="14" xfId="0" applyFont="1" applyBorder="1" applyAlignment="1">
      <alignment horizontal="center"/>
    </xf>
    <xf numFmtId="166" fontId="32" fillId="24" borderId="0" xfId="32" applyNumberFormat="1" applyFont="1" applyFill="1" applyBorder="1"/>
    <xf numFmtId="170" fontId="32" fillId="0" borderId="0" xfId="0" applyNumberFormat="1" applyFont="1"/>
    <xf numFmtId="170" fontId="33" fillId="0" borderId="0" xfId="0" applyNumberFormat="1" applyFont="1" applyAlignment="1">
      <alignment horizontal="right"/>
    </xf>
    <xf numFmtId="170" fontId="33" fillId="0" borderId="0" xfId="0" applyNumberFormat="1" applyFont="1"/>
    <xf numFmtId="171" fontId="33" fillId="0" borderId="0" xfId="0" applyNumberFormat="1" applyFont="1"/>
    <xf numFmtId="171" fontId="32" fillId="24" borderId="11" xfId="0" applyNumberFormat="1" applyFont="1" applyFill="1" applyBorder="1"/>
    <xf numFmtId="171" fontId="33" fillId="0" borderId="11" xfId="0" applyNumberFormat="1" applyFont="1" applyBorder="1"/>
    <xf numFmtId="0" fontId="36" fillId="0" borderId="0" xfId="0" applyFont="1"/>
    <xf numFmtId="49" fontId="36" fillId="0" borderId="0" xfId="0" applyNumberFormat="1" applyFont="1"/>
    <xf numFmtId="0" fontId="37" fillId="0" borderId="0" xfId="0" applyFont="1"/>
    <xf numFmtId="0" fontId="36" fillId="0" borderId="0" xfId="0" applyFont="1" applyAlignment="1">
      <alignment vertical="center"/>
    </xf>
    <xf numFmtId="9" fontId="36" fillId="0" borderId="0" xfId="0" applyNumberFormat="1" applyFont="1" applyAlignment="1">
      <alignment horizontal="center"/>
    </xf>
    <xf numFmtId="166" fontId="36" fillId="0" borderId="0" xfId="32" applyNumberFormat="1" applyFont="1"/>
    <xf numFmtId="166" fontId="36" fillId="0" borderId="0" xfId="0" applyNumberFormat="1" applyFont="1"/>
    <xf numFmtId="172" fontId="36" fillId="0" borderId="0" xfId="0" applyNumberFormat="1" applyFont="1" applyAlignment="1">
      <alignment horizontal="center"/>
    </xf>
    <xf numFmtId="168" fontId="36" fillId="0" borderId="0" xfId="0" applyNumberFormat="1" applyFont="1" applyAlignment="1">
      <alignment horizontal="center"/>
    </xf>
    <xf numFmtId="166" fontId="36" fillId="0" borderId="10" xfId="0" applyNumberFormat="1" applyFont="1" applyBorder="1"/>
    <xf numFmtId="9" fontId="38" fillId="25" borderId="0" xfId="0" applyNumberFormat="1" applyFont="1" applyFill="1" applyAlignment="1">
      <alignment horizontal="center"/>
    </xf>
    <xf numFmtId="167" fontId="36" fillId="0" borderId="0" xfId="0" applyNumberFormat="1" applyFont="1"/>
    <xf numFmtId="164" fontId="36" fillId="0" borderId="0" xfId="32" applyFont="1"/>
    <xf numFmtId="0" fontId="38" fillId="0" borderId="0" xfId="0" applyFont="1"/>
    <xf numFmtId="10" fontId="38" fillId="25" borderId="0" xfId="0" applyNumberFormat="1" applyFont="1" applyFill="1" applyAlignment="1">
      <alignment horizontal="center"/>
    </xf>
    <xf numFmtId="166" fontId="36" fillId="0" borderId="11" xfId="0" applyNumberFormat="1" applyFont="1" applyBorder="1"/>
    <xf numFmtId="166" fontId="37" fillId="25" borderId="0" xfId="0" applyNumberFormat="1" applyFont="1" applyFill="1"/>
    <xf numFmtId="166" fontId="36" fillId="25" borderId="0" xfId="0" applyNumberFormat="1" applyFont="1" applyFill="1"/>
    <xf numFmtId="166" fontId="36" fillId="25" borderId="0" xfId="32" applyNumberFormat="1" applyFont="1" applyFill="1"/>
    <xf numFmtId="9" fontId="36" fillId="24" borderId="0" xfId="0" applyNumberFormat="1" applyFont="1" applyFill="1" applyAlignment="1">
      <alignment horizontal="left"/>
    </xf>
    <xf numFmtId="166" fontId="37" fillId="0" borderId="0" xfId="0" applyNumberFormat="1" applyFont="1"/>
    <xf numFmtId="165" fontId="37" fillId="0" borderId="0" xfId="28" applyFont="1" applyBorder="1"/>
    <xf numFmtId="165" fontId="37" fillId="0" borderId="0" xfId="28" applyFont="1"/>
    <xf numFmtId="174" fontId="23" fillId="0" borderId="0" xfId="0" applyNumberFormat="1" applyFont="1"/>
    <xf numFmtId="165" fontId="30" fillId="0" borderId="0" xfId="28" applyFont="1"/>
    <xf numFmtId="165" fontId="9" fillId="0" borderId="0" xfId="28" applyFont="1"/>
    <xf numFmtId="165" fontId="30" fillId="0" borderId="11" xfId="28" applyFont="1" applyBorder="1"/>
    <xf numFmtId="165" fontId="9" fillId="0" borderId="11" xfId="28" applyFont="1" applyBorder="1"/>
    <xf numFmtId="165" fontId="30" fillId="0" borderId="0" xfId="28" applyFont="1" applyFill="1"/>
    <xf numFmtId="165" fontId="30" fillId="0" borderId="11" xfId="28" applyFont="1" applyFill="1" applyBorder="1"/>
    <xf numFmtId="165" fontId="29" fillId="0" borderId="11" xfId="28" applyFont="1" applyBorder="1"/>
    <xf numFmtId="175" fontId="36" fillId="0" borderId="0" xfId="0" applyNumberFormat="1" applyFont="1"/>
    <xf numFmtId="165" fontId="36" fillId="0" borderId="0" xfId="28" applyFont="1"/>
    <xf numFmtId="177" fontId="37" fillId="26" borderId="12" xfId="0" applyNumberFormat="1" applyFont="1" applyFill="1" applyBorder="1"/>
    <xf numFmtId="177" fontId="37" fillId="0" borderId="0" xfId="0" applyNumberFormat="1" applyFont="1"/>
    <xf numFmtId="177" fontId="24" fillId="0" borderId="0" xfId="0" applyNumberFormat="1" applyFont="1"/>
    <xf numFmtId="0" fontId="28" fillId="0" borderId="0" xfId="57" applyFont="1"/>
    <xf numFmtId="0" fontId="28" fillId="0" borderId="0" xfId="28" applyNumberFormat="1" applyFont="1"/>
    <xf numFmtId="0" fontId="9" fillId="0" borderId="0" xfId="44"/>
    <xf numFmtId="0" fontId="39" fillId="0" borderId="0" xfId="44" applyFont="1" applyAlignment="1">
      <alignment horizontal="center"/>
    </xf>
    <xf numFmtId="0" fontId="39" fillId="0" borderId="0" xfId="44" applyFont="1"/>
    <xf numFmtId="0" fontId="28" fillId="0" borderId="0" xfId="44" applyFont="1" applyAlignment="1">
      <alignment horizontal="center"/>
    </xf>
    <xf numFmtId="0" fontId="40" fillId="0" borderId="0" xfId="44" applyFont="1"/>
    <xf numFmtId="0" fontId="28" fillId="0" borderId="21" xfId="44" applyFont="1" applyBorder="1" applyAlignment="1">
      <alignment horizontal="center"/>
    </xf>
    <xf numFmtId="167" fontId="0" fillId="0" borderId="0" xfId="32" applyNumberFormat="1" applyFont="1" applyFill="1" applyBorder="1" applyProtection="1"/>
    <xf numFmtId="0" fontId="42" fillId="0" borderId="0" xfId="44" applyFont="1"/>
    <xf numFmtId="9" fontId="9" fillId="0" borderId="0" xfId="50" applyFont="1" applyAlignment="1">
      <alignment horizontal="center" vertical="center"/>
    </xf>
    <xf numFmtId="0" fontId="28" fillId="0" borderId="0" xfId="44" applyFont="1"/>
    <xf numFmtId="49" fontId="28" fillId="0" borderId="21" xfId="44" applyNumberFormat="1" applyFont="1" applyBorder="1" applyAlignment="1">
      <alignment horizontal="center"/>
    </xf>
    <xf numFmtId="0" fontId="2" fillId="0" borderId="0" xfId="0" applyFont="1"/>
    <xf numFmtId="166" fontId="9" fillId="0" borderId="0" xfId="32" applyNumberFormat="1" applyFont="1" applyFill="1"/>
    <xf numFmtId="166" fontId="9" fillId="0" borderId="0" xfId="32" applyNumberFormat="1" applyFont="1" applyFill="1" applyBorder="1" applyAlignment="1" applyProtection="1">
      <alignment horizontal="center"/>
      <protection locked="0"/>
    </xf>
    <xf numFmtId="166" fontId="9" fillId="0" borderId="0" xfId="32" applyNumberFormat="1" applyFont="1"/>
    <xf numFmtId="165" fontId="9" fillId="0" borderId="0" xfId="28" applyFont="1" applyFill="1"/>
    <xf numFmtId="43" fontId="9" fillId="0" borderId="0" xfId="0" applyNumberFormat="1" applyFont="1"/>
    <xf numFmtId="176" fontId="2" fillId="0" borderId="0" xfId="32" applyNumberFormat="1" applyFont="1"/>
    <xf numFmtId="0" fontId="46" fillId="0" borderId="0" xfId="0" applyFont="1"/>
    <xf numFmtId="176" fontId="25" fillId="0" borderId="0" xfId="32" applyNumberFormat="1" applyFont="1"/>
    <xf numFmtId="0" fontId="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164" fontId="2" fillId="0" borderId="0" xfId="32" applyFont="1"/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46" fillId="0" borderId="0" xfId="0" applyNumberFormat="1" applyFont="1"/>
    <xf numFmtId="164" fontId="2" fillId="0" borderId="10" xfId="0" applyNumberFormat="1" applyFont="1" applyBorder="1"/>
    <xf numFmtId="164" fontId="2" fillId="0" borderId="10" xfId="32" applyFont="1" applyBorder="1"/>
    <xf numFmtId="9" fontId="48" fillId="25" borderId="0" xfId="0" applyNumberFormat="1" applyFont="1" applyFill="1" applyAlignment="1">
      <alignment horizontal="center"/>
    </xf>
    <xf numFmtId="164" fontId="2" fillId="0" borderId="0" xfId="28" applyNumberFormat="1" applyFont="1"/>
    <xf numFmtId="164" fontId="48" fillId="0" borderId="0" xfId="0" applyNumberFormat="1" applyFont="1"/>
    <xf numFmtId="164" fontId="2" fillId="0" borderId="11" xfId="0" applyNumberFormat="1" applyFont="1" applyBorder="1"/>
    <xf numFmtId="164" fontId="2" fillId="0" borderId="11" xfId="28" applyNumberFormat="1" applyFont="1" applyBorder="1"/>
    <xf numFmtId="164" fontId="2" fillId="0" borderId="11" xfId="32" applyFont="1" applyBorder="1"/>
    <xf numFmtId="164" fontId="25" fillId="0" borderId="0" xfId="0" applyNumberFormat="1" applyFont="1"/>
    <xf numFmtId="164" fontId="47" fillId="0" borderId="0" xfId="0" applyNumberFormat="1" applyFont="1"/>
    <xf numFmtId="0" fontId="47" fillId="0" borderId="0" xfId="0" applyFont="1"/>
    <xf numFmtId="164" fontId="25" fillId="0" borderId="0" xfId="32" applyFont="1"/>
    <xf numFmtId="164" fontId="25" fillId="0" borderId="0" xfId="28" applyNumberFormat="1" applyFont="1" applyBorder="1"/>
    <xf numFmtId="164" fontId="25" fillId="0" borderId="0" xfId="28" applyNumberFormat="1" applyFont="1"/>
    <xf numFmtId="49" fontId="2" fillId="0" borderId="0" xfId="0" applyNumberFormat="1" applyFont="1"/>
    <xf numFmtId="176" fontId="46" fillId="0" borderId="0" xfId="32" applyNumberFormat="1" applyFont="1"/>
    <xf numFmtId="0" fontId="9" fillId="0" borderId="0" xfId="57"/>
    <xf numFmtId="178" fontId="9" fillId="0" borderId="0" xfId="57" applyNumberFormat="1"/>
    <xf numFmtId="0" fontId="9" fillId="0" borderId="0" xfId="0" applyFont="1"/>
    <xf numFmtId="43" fontId="9" fillId="0" borderId="0" xfId="57" applyNumberFormat="1"/>
    <xf numFmtId="0" fontId="9" fillId="0" borderId="0" xfId="57" applyAlignment="1">
      <alignment horizontal="left" indent="1"/>
    </xf>
    <xf numFmtId="0" fontId="9" fillId="0" borderId="0" xfId="57" applyAlignment="1">
      <alignment horizontal="right"/>
    </xf>
    <xf numFmtId="0" fontId="28" fillId="0" borderId="0" xfId="0" applyFont="1"/>
    <xf numFmtId="9" fontId="9" fillId="0" borderId="0" xfId="50" applyFont="1"/>
    <xf numFmtId="165" fontId="28" fillId="0" borderId="0" xfId="28" applyFont="1"/>
    <xf numFmtId="179" fontId="9" fillId="0" borderId="0" xfId="0" applyNumberFormat="1" applyFont="1"/>
    <xf numFmtId="169" fontId="9" fillId="0" borderId="0" xfId="28" applyNumberFormat="1" applyFont="1"/>
    <xf numFmtId="0" fontId="40" fillId="0" borderId="0" xfId="0" applyFont="1"/>
    <xf numFmtId="168" fontId="9" fillId="0" borderId="0" xfId="50" applyNumberFormat="1" applyFont="1"/>
    <xf numFmtId="178" fontId="9" fillId="0" borderId="0" xfId="0" applyNumberFormat="1" applyFont="1"/>
    <xf numFmtId="44" fontId="0" fillId="0" borderId="0" xfId="0" applyNumberFormat="1"/>
    <xf numFmtId="175" fontId="2" fillId="0" borderId="0" xfId="0" applyNumberFormat="1" applyFont="1"/>
    <xf numFmtId="169" fontId="28" fillId="0" borderId="0" xfId="28" applyNumberFormat="1" applyFont="1"/>
    <xf numFmtId="169" fontId="9" fillId="0" borderId="0" xfId="28" applyNumberFormat="1" applyFont="1" applyFill="1"/>
    <xf numFmtId="169" fontId="9" fillId="0" borderId="11" xfId="28" applyNumberFormat="1" applyFont="1" applyBorder="1"/>
    <xf numFmtId="173" fontId="9" fillId="0" borderId="0" xfId="28" applyNumberFormat="1" applyFont="1"/>
    <xf numFmtId="9" fontId="48" fillId="25" borderId="0" xfId="50" applyFont="1" applyFill="1" applyAlignment="1">
      <alignment horizontal="center"/>
    </xf>
    <xf numFmtId="9" fontId="2" fillId="0" borderId="0" xfId="50" applyFont="1" applyAlignment="1">
      <alignment horizontal="center"/>
    </xf>
    <xf numFmtId="168" fontId="2" fillId="0" borderId="0" xfId="50" applyNumberFormat="1" applyFont="1" applyAlignment="1">
      <alignment horizontal="center"/>
    </xf>
    <xf numFmtId="168" fontId="2" fillId="0" borderId="0" xfId="50" applyNumberFormat="1" applyFont="1"/>
    <xf numFmtId="9" fontId="46" fillId="0" borderId="0" xfId="50" applyFont="1"/>
    <xf numFmtId="180" fontId="9" fillId="0" borderId="0" xfId="28" applyNumberFormat="1" applyFont="1"/>
    <xf numFmtId="181" fontId="9" fillId="0" borderId="0" xfId="28" applyNumberFormat="1" applyFont="1"/>
    <xf numFmtId="0" fontId="40" fillId="0" borderId="0" xfId="57" applyFont="1"/>
    <xf numFmtId="0" fontId="40" fillId="0" borderId="0" xfId="57" applyFont="1" applyAlignment="1">
      <alignment horizontal="center"/>
    </xf>
    <xf numFmtId="174" fontId="9" fillId="0" borderId="0" xfId="57" applyNumberFormat="1" applyAlignment="1">
      <alignment horizontal="center"/>
    </xf>
    <xf numFmtId="174" fontId="9" fillId="0" borderId="0" xfId="57" applyNumberFormat="1"/>
    <xf numFmtId="0" fontId="9" fillId="0" borderId="0" xfId="57" applyAlignment="1">
      <alignment horizontal="left"/>
    </xf>
    <xf numFmtId="10" fontId="9" fillId="0" borderId="0" xfId="59" applyNumberFormat="1" applyFont="1" applyAlignment="1">
      <alignment horizontal="center"/>
    </xf>
    <xf numFmtId="181" fontId="9" fillId="0" borderId="0" xfId="0" applyNumberFormat="1" applyFont="1"/>
    <xf numFmtId="0" fontId="49" fillId="0" borderId="0" xfId="0" applyFont="1"/>
    <xf numFmtId="44" fontId="9" fillId="0" borderId="0" xfId="44" applyNumberFormat="1"/>
    <xf numFmtId="175" fontId="25" fillId="0" borderId="0" xfId="0" applyNumberFormat="1" applyFont="1"/>
    <xf numFmtId="0" fontId="41" fillId="0" borderId="0" xfId="44" applyFont="1" applyAlignment="1">
      <alignment horizontal="center"/>
    </xf>
    <xf numFmtId="164" fontId="2" fillId="0" borderId="0" xfId="32" applyFont="1" applyFill="1"/>
    <xf numFmtId="182" fontId="46" fillId="0" borderId="0" xfId="0" applyNumberFormat="1" applyFont="1"/>
    <xf numFmtId="175" fontId="46" fillId="0" borderId="0" xfId="0" applyNumberFormat="1" applyFont="1"/>
    <xf numFmtId="184" fontId="9" fillId="0" borderId="0" xfId="44" applyNumberFormat="1"/>
    <xf numFmtId="9" fontId="9" fillId="0" borderId="0" xfId="50" applyFont="1" applyFill="1" applyAlignment="1">
      <alignment horizontal="center" vertical="center"/>
    </xf>
    <xf numFmtId="0" fontId="45" fillId="0" borderId="0" xfId="0" applyFont="1"/>
    <xf numFmtId="166" fontId="2" fillId="0" borderId="0" xfId="32" applyNumberFormat="1" applyFont="1"/>
    <xf numFmtId="166" fontId="46" fillId="0" borderId="0" xfId="32" applyNumberFormat="1" applyFont="1"/>
    <xf numFmtId="166" fontId="9" fillId="0" borderId="0" xfId="44" applyNumberFormat="1"/>
    <xf numFmtId="166" fontId="0" fillId="0" borderId="0" xfId="0" applyNumberFormat="1"/>
    <xf numFmtId="183" fontId="2" fillId="0" borderId="0" xfId="0" applyNumberFormat="1" applyFont="1"/>
    <xf numFmtId="164" fontId="25" fillId="25" borderId="0" xfId="32" applyFont="1" applyFill="1"/>
    <xf numFmtId="164" fontId="46" fillId="0" borderId="0" xfId="32" applyFont="1"/>
    <xf numFmtId="164" fontId="25" fillId="0" borderId="0" xfId="32" applyFont="1" applyFill="1"/>
    <xf numFmtId="164" fontId="2" fillId="25" borderId="0" xfId="32" applyFont="1" applyFill="1"/>
    <xf numFmtId="164" fontId="25" fillId="26" borderId="12" xfId="32" applyFont="1" applyFill="1" applyBorder="1"/>
    <xf numFmtId="164" fontId="47" fillId="0" borderId="0" xfId="32" applyFont="1"/>
    <xf numFmtId="173" fontId="9" fillId="0" borderId="0" xfId="57" applyNumberFormat="1" applyAlignment="1">
      <alignment horizontal="center"/>
    </xf>
    <xf numFmtId="173" fontId="9" fillId="0" borderId="0" xfId="57" applyNumberFormat="1"/>
    <xf numFmtId="168" fontId="9" fillId="0" borderId="0" xfId="59" applyNumberFormat="1" applyFont="1" applyFill="1" applyAlignment="1">
      <alignment horizontal="center"/>
    </xf>
    <xf numFmtId="168" fontId="9" fillId="0" borderId="0" xfId="59" applyNumberFormat="1" applyFont="1" applyAlignment="1">
      <alignment horizontal="center"/>
    </xf>
    <xf numFmtId="0" fontId="35" fillId="24" borderId="13" xfId="0" applyFont="1" applyFill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39" fillId="0" borderId="0" xfId="44" applyFont="1" applyAlignment="1">
      <alignment horizontal="center"/>
    </xf>
    <xf numFmtId="0" fontId="28" fillId="0" borderId="23" xfId="44" applyFont="1" applyBorder="1" applyAlignment="1">
      <alignment horizontal="center"/>
    </xf>
    <xf numFmtId="0" fontId="28" fillId="0" borderId="11" xfId="44" applyFont="1" applyBorder="1" applyAlignment="1">
      <alignment horizontal="center"/>
    </xf>
    <xf numFmtId="0" fontId="28" fillId="0" borderId="24" xfId="44" applyFont="1" applyBorder="1" applyAlignment="1">
      <alignment horizontal="center"/>
    </xf>
    <xf numFmtId="0" fontId="39" fillId="0" borderId="23" xfId="44" applyFont="1" applyBorder="1" applyAlignment="1">
      <alignment horizontal="center"/>
    </xf>
    <xf numFmtId="0" fontId="39" fillId="0" borderId="11" xfId="44" applyFont="1" applyBorder="1" applyAlignment="1">
      <alignment horizontal="center"/>
    </xf>
    <xf numFmtId="0" fontId="39" fillId="0" borderId="24" xfId="44" applyFont="1" applyBorder="1" applyAlignment="1">
      <alignment horizontal="center"/>
    </xf>
    <xf numFmtId="0" fontId="25" fillId="0" borderId="15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</cellXfs>
  <cellStyles count="6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 xr:uid="{00000000-0005-0000-0000-00001C000000}"/>
    <cellStyle name="Comma 3" xfId="30" xr:uid="{00000000-0005-0000-0000-00001D000000}"/>
    <cellStyle name="Comma 4" xfId="31" xr:uid="{00000000-0005-0000-0000-00001E000000}"/>
    <cellStyle name="Currency" xfId="32" builtinId="4"/>
    <cellStyle name="Currency 2" xfId="33" xr:uid="{00000000-0005-0000-0000-000020000000}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Input" xfId="41" builtinId="20" customBuiltin="1"/>
    <cellStyle name="Linked Cell" xfId="42" builtinId="24" customBuiltin="1"/>
    <cellStyle name="Neutral" xfId="43" builtinId="28" customBuiltin="1"/>
    <cellStyle name="Normal" xfId="0" builtinId="0"/>
    <cellStyle name="Normal - Style1 11 2 2" xfId="57" xr:uid="{995CCE7B-D044-4EE3-B632-38765048EF22}"/>
    <cellStyle name="Normal 2" xfId="44" xr:uid="{00000000-0005-0000-0000-00002C000000}"/>
    <cellStyle name="Normal 2 2" xfId="45" xr:uid="{00000000-0005-0000-0000-00002D000000}"/>
    <cellStyle name="Normal 3" xfId="46" xr:uid="{00000000-0005-0000-0000-00002E000000}"/>
    <cellStyle name="Normal 4" xfId="47" xr:uid="{00000000-0005-0000-0000-00002F000000}"/>
    <cellStyle name="Normal 4 2" xfId="58" xr:uid="{98DFD3A2-F662-4394-B920-EAE0C483BB91}"/>
    <cellStyle name="Note" xfId="48" builtinId="10" customBuiltin="1"/>
    <cellStyle name="Output" xfId="49" builtinId="21" customBuiltin="1"/>
    <cellStyle name="Percent" xfId="50" builtinId="5"/>
    <cellStyle name="Percent 10 2 2" xfId="59" xr:uid="{22A3600E-B69D-4FF3-8F36-20D9263DB174}"/>
    <cellStyle name="Percent 2" xfId="51" xr:uid="{00000000-0005-0000-0000-000033000000}"/>
    <cellStyle name="Percent 3" xfId="52" xr:uid="{00000000-0005-0000-0000-000034000000}"/>
    <cellStyle name="Percent 4" xfId="53" xr:uid="{00000000-0005-0000-0000-000035000000}"/>
    <cellStyle name="Title" xfId="54" builtinId="15" customBuiltin="1"/>
    <cellStyle name="Total" xfId="55" builtinId="25" customBuiltin="1"/>
    <cellStyle name="Warning Text" xfId="5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38</xdr:row>
      <xdr:rowOff>0</xdr:rowOff>
    </xdr:from>
    <xdr:to>
      <xdr:col>18</xdr:col>
      <xdr:colOff>253264</xdr:colOff>
      <xdr:row>46</xdr:row>
      <xdr:rowOff>132882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D858E3-5ED6-D460-F7BF-3DC0AD4437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38464" y="7878536"/>
          <a:ext cx="11695238" cy="15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30"/>
  <sheetViews>
    <sheetView zoomScaleNormal="100" zoomScaleSheetLayoutView="100" workbookViewId="0">
      <selection activeCell="H18" sqref="H18"/>
    </sheetView>
  </sheetViews>
  <sheetFormatPr defaultRowHeight="15" x14ac:dyDescent="0.2"/>
  <cols>
    <col min="1" max="1" width="2.77734375" customWidth="1"/>
    <col min="2" max="2" width="26.77734375" customWidth="1"/>
    <col min="3" max="7" width="11.77734375" customWidth="1"/>
    <col min="8" max="12" width="9.5546875" customWidth="1"/>
    <col min="13" max="13" width="10.109375" customWidth="1"/>
    <col min="14" max="14" width="14.109375" customWidth="1"/>
  </cols>
  <sheetData>
    <row r="2" spans="2:15" ht="15.75" x14ac:dyDescent="0.25">
      <c r="B2" s="21" t="s">
        <v>0</v>
      </c>
      <c r="C2" s="21"/>
      <c r="D2" s="21"/>
      <c r="E2" s="21"/>
      <c r="F2" s="20"/>
      <c r="G2" s="20"/>
      <c r="H2" s="20"/>
      <c r="I2" s="20"/>
      <c r="J2" s="20"/>
      <c r="K2" s="20"/>
      <c r="L2" s="20"/>
      <c r="M2" s="20"/>
    </row>
    <row r="3" spans="2:15" ht="15.75" x14ac:dyDescent="0.25">
      <c r="B3" s="21" t="s">
        <v>1</v>
      </c>
      <c r="C3" s="21"/>
      <c r="D3" s="21"/>
      <c r="E3" s="21"/>
      <c r="F3" s="20"/>
      <c r="G3" s="20"/>
      <c r="H3" s="20"/>
      <c r="I3" s="20"/>
      <c r="J3" s="20"/>
      <c r="K3" s="20"/>
      <c r="L3" s="20"/>
      <c r="M3" s="20"/>
    </row>
    <row r="4" spans="2:15" ht="15.75" x14ac:dyDescent="0.25">
      <c r="B4" s="21" t="s">
        <v>2</v>
      </c>
      <c r="C4" s="21"/>
      <c r="D4" s="21"/>
      <c r="E4" s="21"/>
      <c r="F4" s="20"/>
      <c r="G4" s="20"/>
      <c r="H4" s="20"/>
      <c r="I4" s="20"/>
      <c r="J4" s="20"/>
      <c r="K4" s="20"/>
      <c r="L4" s="20"/>
      <c r="M4" s="20"/>
    </row>
    <row r="5" spans="2:15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5" ht="15.75" x14ac:dyDescent="0.25">
      <c r="B6" s="21" t="s">
        <v>3</v>
      </c>
      <c r="C6" s="21"/>
      <c r="D6" s="21"/>
      <c r="E6" s="21"/>
      <c r="F6" s="20"/>
      <c r="G6" s="20"/>
      <c r="H6" s="20"/>
      <c r="I6" s="20"/>
      <c r="J6" s="20"/>
      <c r="K6" s="20"/>
      <c r="L6" s="20"/>
      <c r="M6" s="20"/>
    </row>
    <row r="7" spans="2:15" ht="15.75" x14ac:dyDescent="0.25">
      <c r="B7" s="21" t="s">
        <v>4</v>
      </c>
      <c r="C7" s="21"/>
      <c r="D7" s="21"/>
      <c r="E7" s="21"/>
      <c r="F7" s="20"/>
      <c r="G7" s="20"/>
      <c r="H7" s="20"/>
      <c r="I7" s="20"/>
      <c r="J7" s="20"/>
      <c r="K7" s="20"/>
      <c r="L7" s="20"/>
      <c r="M7" s="20"/>
    </row>
    <row r="8" spans="2:15" ht="15.75" x14ac:dyDescent="0.25">
      <c r="B8" s="21"/>
      <c r="C8" s="21"/>
      <c r="D8" s="21"/>
      <c r="E8" s="21"/>
      <c r="F8" s="20"/>
      <c r="G8" s="20"/>
      <c r="H8" s="20"/>
      <c r="I8" s="20"/>
      <c r="J8" s="20"/>
      <c r="K8" s="20"/>
      <c r="L8" s="20"/>
      <c r="M8" s="20"/>
    </row>
    <row r="9" spans="2:15" ht="16.5" thickBot="1" x14ac:dyDescent="0.3"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</row>
    <row r="10" spans="2:15" ht="15.75" x14ac:dyDescent="0.25">
      <c r="B10" s="22"/>
      <c r="C10" s="172" t="s">
        <v>5</v>
      </c>
      <c r="D10" s="172"/>
      <c r="E10" s="172"/>
      <c r="F10" s="172"/>
      <c r="G10" s="172"/>
      <c r="H10" s="173" t="s">
        <v>6</v>
      </c>
      <c r="I10" s="173"/>
      <c r="J10" s="173"/>
      <c r="K10" s="173"/>
      <c r="L10" s="173"/>
      <c r="M10" s="173"/>
    </row>
    <row r="11" spans="2:15" ht="16.5" thickBot="1" x14ac:dyDescent="0.3">
      <c r="B11" s="23"/>
      <c r="C11" s="24">
        <v>2010</v>
      </c>
      <c r="D11" s="24">
        <v>2011</v>
      </c>
      <c r="E11" s="24">
        <v>2012</v>
      </c>
      <c r="F11" s="24">
        <v>2013</v>
      </c>
      <c r="G11" s="24">
        <v>2014</v>
      </c>
      <c r="H11" s="25">
        <v>2022</v>
      </c>
      <c r="I11" s="25">
        <v>2023</v>
      </c>
      <c r="J11" s="25">
        <v>2024</v>
      </c>
      <c r="K11" s="25">
        <v>2025</v>
      </c>
      <c r="L11" s="25">
        <v>2026</v>
      </c>
      <c r="M11" s="25">
        <v>2027</v>
      </c>
      <c r="N11" s="5"/>
      <c r="O11" s="5"/>
    </row>
    <row r="12" spans="2:15" ht="19.5" customHeight="1" x14ac:dyDescent="0.25">
      <c r="B12" s="20" t="s">
        <v>7</v>
      </c>
      <c r="C12" s="26">
        <v>3.7</v>
      </c>
      <c r="D12" s="26"/>
      <c r="E12" s="26"/>
      <c r="F12" s="26"/>
      <c r="G12" s="26"/>
      <c r="H12" s="27"/>
      <c r="I12" s="27"/>
      <c r="J12" s="27"/>
      <c r="K12" s="27"/>
      <c r="L12" s="27"/>
      <c r="M12" s="27"/>
    </row>
    <row r="13" spans="2:15" ht="19.5" customHeight="1" x14ac:dyDescent="0.25">
      <c r="B13" s="20" t="s">
        <v>8</v>
      </c>
      <c r="C13" s="26"/>
      <c r="D13" s="26">
        <v>19.700123999999999</v>
      </c>
      <c r="E13" s="26"/>
      <c r="F13" s="26"/>
      <c r="G13" s="26"/>
      <c r="H13" s="27"/>
      <c r="I13" s="27"/>
      <c r="J13" s="27"/>
      <c r="K13" s="27"/>
      <c r="L13" s="27"/>
      <c r="M13" s="27"/>
    </row>
    <row r="14" spans="2:15" ht="19.5" customHeight="1" x14ac:dyDescent="0.25">
      <c r="B14" s="20" t="s">
        <v>9</v>
      </c>
      <c r="C14" s="26"/>
      <c r="D14" s="26"/>
      <c r="E14" s="26">
        <v>19.700123999999999</v>
      </c>
      <c r="F14" s="26"/>
      <c r="G14" s="26"/>
      <c r="H14" s="27"/>
      <c r="I14" s="27"/>
      <c r="J14" s="27"/>
      <c r="K14" s="27"/>
      <c r="L14" s="27"/>
      <c r="M14" s="27"/>
    </row>
    <row r="15" spans="2:15" ht="19.5" customHeight="1" x14ac:dyDescent="0.25">
      <c r="B15" s="20" t="s">
        <v>10</v>
      </c>
      <c r="C15" s="26"/>
      <c r="D15" s="26"/>
      <c r="E15" s="26"/>
      <c r="F15" s="26">
        <v>19.700123999999999</v>
      </c>
      <c r="G15" s="26"/>
      <c r="H15" s="27"/>
      <c r="I15" s="27"/>
      <c r="J15" s="27"/>
      <c r="K15" s="27"/>
      <c r="L15" s="27"/>
      <c r="M15" s="27"/>
    </row>
    <row r="16" spans="2:15" ht="19.5" customHeight="1" x14ac:dyDescent="0.25">
      <c r="B16" s="20" t="s">
        <v>11</v>
      </c>
      <c r="C16" s="26"/>
      <c r="D16" s="26"/>
      <c r="E16" s="26"/>
      <c r="F16" s="26"/>
      <c r="G16" s="26">
        <v>19.700123999999999</v>
      </c>
      <c r="H16" s="28"/>
      <c r="I16" s="29"/>
      <c r="J16" s="29"/>
      <c r="K16" s="29"/>
      <c r="L16" s="29"/>
      <c r="M16" s="29"/>
    </row>
    <row r="17" spans="1:13" ht="19.5" customHeight="1" x14ac:dyDescent="0.25">
      <c r="B17" s="20"/>
      <c r="C17" s="26"/>
      <c r="D17" s="26"/>
      <c r="E17" s="26"/>
      <c r="F17" s="26"/>
      <c r="G17" s="26"/>
      <c r="H17" s="28"/>
      <c r="I17" s="29"/>
      <c r="J17" s="29"/>
      <c r="K17" s="29"/>
      <c r="L17" s="29"/>
      <c r="M17" s="29"/>
    </row>
    <row r="18" spans="1:13" ht="19.5" customHeight="1" x14ac:dyDescent="0.25">
      <c r="B18" s="20" t="s">
        <v>12</v>
      </c>
      <c r="C18" s="26"/>
      <c r="D18" s="26"/>
      <c r="E18" s="26"/>
      <c r="F18" s="26"/>
      <c r="G18" s="26"/>
      <c r="H18" s="30">
        <f>'Revenue Requirement'!V28</f>
        <v>9.8874212719836958</v>
      </c>
      <c r="I18" s="29"/>
      <c r="J18" s="29"/>
      <c r="K18" s="29"/>
      <c r="L18" s="29"/>
      <c r="M18" s="29"/>
    </row>
    <row r="19" spans="1:13" ht="19.5" customHeight="1" x14ac:dyDescent="0.25">
      <c r="B19" s="20"/>
      <c r="C19" s="31">
        <f>SUM(C12:C18)</f>
        <v>3.7</v>
      </c>
      <c r="D19" s="31">
        <f>SUM(D12:D18)</f>
        <v>19.700123999999999</v>
      </c>
      <c r="E19" s="31">
        <f>SUM(E12:E18)</f>
        <v>19.700123999999999</v>
      </c>
      <c r="F19" s="31">
        <f>SUM(F12:F18)</f>
        <v>19.700123999999999</v>
      </c>
      <c r="G19" s="31">
        <f>SUM(G12:G18)</f>
        <v>19.700123999999999</v>
      </c>
      <c r="H19" s="32">
        <f>H18</f>
        <v>9.8874212719836958</v>
      </c>
      <c r="I19" s="32">
        <f>H19</f>
        <v>9.8874212719836958</v>
      </c>
      <c r="J19" s="32">
        <f>H19</f>
        <v>9.8874212719836958</v>
      </c>
      <c r="K19" s="32">
        <f>H19</f>
        <v>9.8874212719836958</v>
      </c>
      <c r="L19" s="32">
        <f>H19</f>
        <v>9.8874212719836958</v>
      </c>
      <c r="M19" s="32">
        <f>H19</f>
        <v>9.8874212719836958</v>
      </c>
    </row>
    <row r="20" spans="1:13" ht="15.75" x14ac:dyDescent="0.25"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7"/>
    </row>
    <row r="21" spans="1:13" ht="15.75" x14ac:dyDescent="0.25">
      <c r="A21" s="33" t="s">
        <v>13</v>
      </c>
      <c r="B21" s="33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</row>
    <row r="22" spans="1:13" s="1" customFormat="1" ht="16.5" customHeight="1" x14ac:dyDescent="0.25">
      <c r="A22" s="52" t="s">
        <v>14</v>
      </c>
      <c r="B22" s="52"/>
      <c r="C22" s="33"/>
      <c r="D22" s="33"/>
      <c r="E22" s="33"/>
      <c r="F22" s="33"/>
      <c r="G22" s="33"/>
      <c r="H22" s="33"/>
    </row>
    <row r="23" spans="1:13" ht="15.75" x14ac:dyDescent="0.25">
      <c r="A23" s="34" t="s">
        <v>15</v>
      </c>
      <c r="B23" s="33" t="s">
        <v>16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</row>
    <row r="24" spans="1:13" ht="15.75" x14ac:dyDescent="0.25">
      <c r="A24" s="34" t="s">
        <v>17</v>
      </c>
      <c r="B24" s="33" t="s">
        <v>18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</row>
    <row r="25" spans="1:13" ht="15.75" x14ac:dyDescent="0.25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</row>
    <row r="30" spans="1:13" x14ac:dyDescent="0.2">
      <c r="H30" s="6"/>
    </row>
  </sheetData>
  <mergeCells count="2">
    <mergeCell ref="C10:G10"/>
    <mergeCell ref="H10:M10"/>
  </mergeCells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C9983-2E41-4D05-A1A9-70A2C0EDC810}">
  <dimension ref="A2:S69"/>
  <sheetViews>
    <sheetView showGridLines="0" tabSelected="1" zoomScale="70" zoomScaleNormal="70" workbookViewId="0">
      <selection activeCell="B25" sqref="B25"/>
    </sheetView>
  </sheetViews>
  <sheetFormatPr defaultRowHeight="15" x14ac:dyDescent="0.2"/>
  <cols>
    <col min="1" max="1" width="41.77734375" customWidth="1"/>
    <col min="2" max="2" width="13.5546875" customWidth="1"/>
    <col min="3" max="3" width="14.6640625" customWidth="1"/>
    <col min="4" max="4" width="13.44140625" customWidth="1"/>
    <col min="5" max="19" width="11.21875" customWidth="1"/>
  </cols>
  <sheetData>
    <row r="2" spans="1:19" ht="18" x14ac:dyDescent="0.25">
      <c r="A2" s="174" t="s">
        <v>19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</row>
    <row r="3" spans="1:19" ht="18" x14ac:dyDescent="0.25">
      <c r="A3" s="78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</row>
    <row r="4" spans="1:19" ht="18" x14ac:dyDescent="0.25">
      <c r="A4" s="73"/>
      <c r="B4" s="178" t="s">
        <v>20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80"/>
      <c r="O4" s="175" t="s">
        <v>21</v>
      </c>
      <c r="P4" s="176"/>
      <c r="Q4" s="176"/>
      <c r="R4" s="176"/>
      <c r="S4" s="177"/>
    </row>
    <row r="5" spans="1:19" x14ac:dyDescent="0.2">
      <c r="A5" s="75" t="s">
        <v>22</v>
      </c>
      <c r="B5" s="76">
        <v>2010</v>
      </c>
      <c r="C5" s="76">
        <v>2011</v>
      </c>
      <c r="D5" s="76">
        <v>2012</v>
      </c>
      <c r="E5" s="76">
        <v>2013</v>
      </c>
      <c r="F5" s="76">
        <v>2014</v>
      </c>
      <c r="G5" s="76">
        <v>2015</v>
      </c>
      <c r="H5" s="76">
        <v>2016</v>
      </c>
      <c r="I5" s="76">
        <v>2017</v>
      </c>
      <c r="J5" s="76">
        <v>2018</v>
      </c>
      <c r="K5" s="76">
        <v>2019</v>
      </c>
      <c r="L5" s="76">
        <v>2020</v>
      </c>
      <c r="M5" s="76">
        <v>2021</v>
      </c>
      <c r="N5" s="76">
        <v>2022</v>
      </c>
      <c r="O5" s="76">
        <v>2023</v>
      </c>
      <c r="P5" s="76">
        <v>2024</v>
      </c>
      <c r="Q5" s="76">
        <v>2025</v>
      </c>
      <c r="R5" s="76">
        <v>2026</v>
      </c>
      <c r="S5" s="76">
        <v>2027</v>
      </c>
    </row>
    <row r="6" spans="1:19" x14ac:dyDescent="0.2">
      <c r="A6" s="71" t="s">
        <v>23</v>
      </c>
      <c r="B6" s="83">
        <f>0.22243329797165</f>
        <v>0.22243329797165001</v>
      </c>
      <c r="C6" s="83">
        <f>1.94092181112776</f>
        <v>1.94092181112776</v>
      </c>
      <c r="D6" s="83">
        <f>1.4467695575899</f>
        <v>1.4467695575899</v>
      </c>
      <c r="E6" s="83">
        <f>0.13468619</f>
        <v>0.13468619000000001</v>
      </c>
      <c r="F6" s="83">
        <f>3.62413946</f>
        <v>3.6241394599999999</v>
      </c>
      <c r="G6" s="83">
        <f>3.84563734</f>
        <v>3.8456373400000001</v>
      </c>
      <c r="H6" s="83">
        <f>10.60017678</f>
        <v>10.60017678</v>
      </c>
      <c r="I6" s="83">
        <f>1.89428904</f>
        <v>1.8942890400000001</v>
      </c>
      <c r="J6" s="83">
        <f>3.72217548</f>
        <v>3.7221754800000002</v>
      </c>
      <c r="K6" s="83">
        <f>2.61593171</f>
        <v>2.6159317099999999</v>
      </c>
      <c r="L6" s="83">
        <f>0.87755464</f>
        <v>0.87755464000000005</v>
      </c>
      <c r="M6" s="83">
        <f>9115.04/1000000</f>
        <v>9.1150400000000013E-3</v>
      </c>
      <c r="N6" s="83">
        <f>0.2766477</f>
        <v>0.2766477</v>
      </c>
      <c r="O6" s="84">
        <f>1.26623044738147</f>
        <v>1.2662304473814701</v>
      </c>
      <c r="P6" s="84">
        <f>1.26623047011526</f>
        <v>1.26623047011526</v>
      </c>
      <c r="Q6" s="84">
        <f>1.26625634200198</f>
        <v>1.2662563420019799</v>
      </c>
      <c r="R6" s="84">
        <f>1.26632171102393</f>
        <v>1.26632171102393</v>
      </c>
      <c r="S6" s="84">
        <f>1.26638838742631</f>
        <v>1.26638838742631</v>
      </c>
    </row>
    <row r="7" spans="1:19" x14ac:dyDescent="0.2">
      <c r="A7" s="71" t="s">
        <v>24</v>
      </c>
      <c r="B7" s="83"/>
      <c r="C7" s="83">
        <f>4.970752*0.42</f>
        <v>2.08771584</v>
      </c>
      <c r="D7" s="83">
        <v>2.0164332488769467</v>
      </c>
      <c r="E7" s="83">
        <v>0.21658421684022763</v>
      </c>
      <c r="F7" s="83">
        <v>0.24948258331214979</v>
      </c>
      <c r="G7" s="83">
        <v>0.54289473684210532</v>
      </c>
      <c r="H7" s="83">
        <v>1.7075380114889105</v>
      </c>
      <c r="I7" s="83">
        <v>1.7838135659553542</v>
      </c>
      <c r="J7" s="83">
        <v>1.5103969117570097</v>
      </c>
      <c r="K7" s="83">
        <v>1.2533919116177898</v>
      </c>
      <c r="L7" s="83">
        <v>2.857285325624161</v>
      </c>
      <c r="M7" s="83">
        <v>0.12460608855939678</v>
      </c>
      <c r="N7" s="83">
        <v>0.92235444000000011</v>
      </c>
      <c r="O7" s="84">
        <v>0.760130368</v>
      </c>
      <c r="P7" s="84">
        <v>0.78483458711092646</v>
      </c>
      <c r="Q7" s="84">
        <v>1.386600681746132</v>
      </c>
      <c r="R7" s="84">
        <v>1.4316127724027117</v>
      </c>
      <c r="S7" s="84">
        <v>1.4780847243690427</v>
      </c>
    </row>
    <row r="8" spans="1:19" x14ac:dyDescent="0.2">
      <c r="A8" s="71" t="s">
        <v>25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4"/>
      <c r="P8" s="84"/>
      <c r="Q8" s="84"/>
      <c r="R8" s="84"/>
      <c r="S8" s="84"/>
    </row>
    <row r="9" spans="1:19" x14ac:dyDescent="0.2">
      <c r="A9" s="71"/>
      <c r="B9" s="71"/>
      <c r="C9" s="71"/>
      <c r="D9" s="71"/>
      <c r="E9" s="71"/>
      <c r="F9" s="71"/>
      <c r="G9" s="71"/>
      <c r="H9" s="71"/>
      <c r="I9" s="71"/>
      <c r="J9" s="71"/>
      <c r="K9" s="150"/>
      <c r="L9" s="150"/>
      <c r="M9" s="150"/>
      <c r="N9" s="150"/>
      <c r="O9" s="150"/>
      <c r="P9" s="77"/>
      <c r="Q9" s="77"/>
      <c r="R9" s="77"/>
      <c r="S9" s="77"/>
    </row>
    <row r="10" spans="1:19" ht="18" x14ac:dyDescent="0.25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1"/>
      <c r="L10" s="71"/>
      <c r="M10" s="71"/>
      <c r="N10" s="71"/>
      <c r="O10" s="74" t="s">
        <v>26</v>
      </c>
      <c r="P10" s="74" t="s">
        <v>26</v>
      </c>
      <c r="Q10" s="74" t="s">
        <v>26</v>
      </c>
      <c r="R10" s="74" t="s">
        <v>26</v>
      </c>
      <c r="S10" s="74" t="s">
        <v>26</v>
      </c>
    </row>
    <row r="11" spans="1:19" x14ac:dyDescent="0.2">
      <c r="A11" s="75" t="s">
        <v>27</v>
      </c>
      <c r="B11" s="76">
        <v>2010</v>
      </c>
      <c r="C11" s="76">
        <v>2011</v>
      </c>
      <c r="D11" s="76">
        <v>2012</v>
      </c>
      <c r="E11" s="76">
        <v>2013</v>
      </c>
      <c r="F11" s="76">
        <v>2014</v>
      </c>
      <c r="G11" s="76">
        <v>2015</v>
      </c>
      <c r="H11" s="76">
        <v>2016</v>
      </c>
      <c r="I11" s="76">
        <v>2017</v>
      </c>
      <c r="J11" s="76">
        <v>2018</v>
      </c>
      <c r="K11" s="76">
        <v>2019</v>
      </c>
      <c r="L11" s="76">
        <v>2020</v>
      </c>
      <c r="M11" s="76">
        <v>2021</v>
      </c>
      <c r="N11" s="76">
        <v>2022</v>
      </c>
      <c r="O11" s="76">
        <v>2023</v>
      </c>
      <c r="P11" s="76">
        <v>2024</v>
      </c>
      <c r="Q11" s="76">
        <v>2025</v>
      </c>
      <c r="R11" s="76">
        <v>2026</v>
      </c>
      <c r="S11" s="76">
        <v>2027</v>
      </c>
    </row>
    <row r="12" spans="1:19" x14ac:dyDescent="0.2">
      <c r="A12" s="71" t="s">
        <v>23</v>
      </c>
      <c r="B12" s="83">
        <f>0.306305331588253</f>
        <v>0.30630533158825302</v>
      </c>
      <c r="C12" s="83">
        <f>2.67277743200182</f>
        <v>2.6727774320018201</v>
      </c>
      <c r="D12" s="83">
        <f>1.9922971655343</f>
        <v>1.9922971655343</v>
      </c>
      <c r="E12" s="83">
        <f>1.3470878</f>
        <v>1.3470877999999999</v>
      </c>
      <c r="F12" s="83">
        <f>19.03961138</f>
        <v>19.03961138</v>
      </c>
      <c r="G12" s="83">
        <f>13.80721246</f>
        <v>13.807212460000001</v>
      </c>
      <c r="H12" s="83">
        <f>5.22411635</f>
        <v>5.2241163500000001</v>
      </c>
      <c r="I12" s="83">
        <f>0.91133792</f>
        <v>0.91133792000000002</v>
      </c>
      <c r="J12" s="83">
        <f>0.54022689</f>
        <v>0.54022689000000002</v>
      </c>
      <c r="K12" s="83">
        <f>2.52421526</f>
        <v>2.5242152600000001</v>
      </c>
      <c r="L12" s="83">
        <f>-0.39431725</f>
        <v>-0.39431725000000001</v>
      </c>
      <c r="M12" s="83">
        <f>0.17081577</f>
        <v>0.17081577000000001</v>
      </c>
      <c r="N12" s="83">
        <f>0.3820373</f>
        <v>0.38203730000000002</v>
      </c>
      <c r="O12" s="84">
        <f>1.26623027224715</f>
        <v>1.2662302722471499</v>
      </c>
      <c r="P12" s="84">
        <f>1.26623052737071</f>
        <v>1.26623052737071</v>
      </c>
      <c r="Q12" s="84">
        <f>0.213766519218893</f>
        <v>0.213766519218893</v>
      </c>
      <c r="R12" s="84">
        <f>0.213831761942045</f>
        <v>0.21383176194204501</v>
      </c>
      <c r="S12" s="84">
        <f>0.213898564643222</f>
        <v>0.21389856464322199</v>
      </c>
    </row>
    <row r="13" spans="1:19" x14ac:dyDescent="0.2">
      <c r="A13" s="71" t="s">
        <v>24</v>
      </c>
      <c r="B13" s="83"/>
      <c r="C13" s="83">
        <f>4.970752*0.58</f>
        <v>2.8830361599999996</v>
      </c>
      <c r="D13" s="83">
        <v>2.7767616654299361</v>
      </c>
      <c r="E13" s="83">
        <v>2.1662054304010319</v>
      </c>
      <c r="F13" s="83">
        <v>1.3106701562587793</v>
      </c>
      <c r="G13" s="83">
        <v>1.9491858190709046</v>
      </c>
      <c r="H13" s="83">
        <v>0.84153098851108976</v>
      </c>
      <c r="I13" s="83">
        <v>0.85818843404464584</v>
      </c>
      <c r="J13" s="83">
        <v>0.21921508824299005</v>
      </c>
      <c r="K13" s="83">
        <v>1.2094470883822102</v>
      </c>
      <c r="L13" s="83">
        <v>-1.2838823256241609</v>
      </c>
      <c r="M13" s="83">
        <v>2.335117011440603</v>
      </c>
      <c r="N13" s="83">
        <v>1.2737275599999998</v>
      </c>
      <c r="O13" s="84">
        <v>0.760130368</v>
      </c>
      <c r="P13" s="84">
        <v>0.78483462259898362</v>
      </c>
      <c r="Q13" s="84">
        <v>0.23408277727935015</v>
      </c>
      <c r="R13" s="84">
        <v>0.24174289904109825</v>
      </c>
      <c r="S13" s="84">
        <v>0.24965500639669114</v>
      </c>
    </row>
    <row r="14" spans="1:19" x14ac:dyDescent="0.2">
      <c r="A14" s="71" t="s">
        <v>25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4"/>
      <c r="P14" s="84"/>
      <c r="Q14" s="84"/>
      <c r="R14" s="84"/>
      <c r="S14" s="84"/>
    </row>
    <row r="15" spans="1:19" x14ac:dyDescent="0.2">
      <c r="A15" s="71"/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</row>
    <row r="16" spans="1:19" x14ac:dyDescent="0.2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</row>
    <row r="17" spans="1:19" ht="18" x14ac:dyDescent="0.25">
      <c r="A17" s="71"/>
      <c r="B17" s="155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</row>
    <row r="18" spans="1:19" ht="18" x14ac:dyDescent="0.25">
      <c r="A18" s="71" t="s">
        <v>28</v>
      </c>
      <c r="B18" s="79">
        <v>0.05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</row>
    <row r="19" spans="1:19" ht="18" x14ac:dyDescent="0.25">
      <c r="A19" s="71" t="s">
        <v>29</v>
      </c>
      <c r="B19" s="79">
        <v>0.182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</row>
    <row r="20" spans="1:19" ht="18" x14ac:dyDescent="0.25">
      <c r="A20" s="71"/>
      <c r="B20" s="79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</row>
    <row r="21" spans="1:19" ht="18" x14ac:dyDescent="0.25">
      <c r="A21" s="71"/>
      <c r="B21" s="79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</row>
    <row r="22" spans="1:19" ht="18" x14ac:dyDescent="0.25">
      <c r="A22" s="78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</row>
    <row r="23" spans="1:19" ht="18" x14ac:dyDescent="0.25">
      <c r="A23" s="73"/>
      <c r="B23" s="178" t="s">
        <v>20</v>
      </c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80"/>
      <c r="O23" s="175" t="s">
        <v>21</v>
      </c>
      <c r="P23" s="176"/>
      <c r="Q23" s="176"/>
      <c r="R23" s="176"/>
      <c r="S23" s="177"/>
    </row>
    <row r="24" spans="1:19" x14ac:dyDescent="0.2">
      <c r="A24" s="75" t="s">
        <v>30</v>
      </c>
      <c r="B24" s="76">
        <v>2010</v>
      </c>
      <c r="C24" s="76">
        <v>2011</v>
      </c>
      <c r="D24" s="76">
        <v>2012</v>
      </c>
      <c r="E24" s="76">
        <v>2013</v>
      </c>
      <c r="F24" s="76">
        <v>2014</v>
      </c>
      <c r="G24" s="81" t="s">
        <v>31</v>
      </c>
      <c r="H24" s="76">
        <v>2016</v>
      </c>
      <c r="I24" s="76">
        <v>2017</v>
      </c>
      <c r="J24" s="76">
        <v>2018</v>
      </c>
      <c r="K24" s="76">
        <v>2019</v>
      </c>
      <c r="L24" s="76">
        <v>2020</v>
      </c>
      <c r="M24" s="76">
        <v>2021</v>
      </c>
      <c r="N24" s="76">
        <v>2022</v>
      </c>
      <c r="O24" s="76">
        <v>2023</v>
      </c>
      <c r="P24" s="76">
        <v>2024</v>
      </c>
      <c r="Q24" s="76">
        <v>2025</v>
      </c>
      <c r="R24" s="76">
        <v>2026</v>
      </c>
      <c r="S24" s="76">
        <v>2027</v>
      </c>
    </row>
    <row r="25" spans="1:19" x14ac:dyDescent="0.2">
      <c r="A25" s="71" t="s">
        <v>23</v>
      </c>
      <c r="B25" s="83">
        <f>95%*B6</f>
        <v>0.2113116330730675</v>
      </c>
      <c r="C25" s="83">
        <f>95%*C6</f>
        <v>1.8438757205713718</v>
      </c>
      <c r="D25" s="83">
        <f t="shared" ref="D25:S25" si="0">95%*D6</f>
        <v>1.3744310797104049</v>
      </c>
      <c r="E25" s="83">
        <f t="shared" si="0"/>
        <v>0.1279518805</v>
      </c>
      <c r="F25" s="83">
        <f t="shared" si="0"/>
        <v>3.4429324869999998</v>
      </c>
      <c r="G25" s="83">
        <f t="shared" si="0"/>
        <v>3.653355473</v>
      </c>
      <c r="H25" s="83">
        <f t="shared" si="0"/>
        <v>10.070167940999999</v>
      </c>
      <c r="I25" s="83">
        <f t="shared" si="0"/>
        <v>1.799574588</v>
      </c>
      <c r="J25" s="83">
        <f t="shared" si="0"/>
        <v>3.5360667060000002</v>
      </c>
      <c r="K25" s="83">
        <f t="shared" si="0"/>
        <v>2.4851351244999997</v>
      </c>
      <c r="L25" s="83">
        <f t="shared" si="0"/>
        <v>0.83367690800000005</v>
      </c>
      <c r="M25" s="83">
        <f t="shared" si="0"/>
        <v>8.6592880000000011E-3</v>
      </c>
      <c r="N25" s="83">
        <f t="shared" si="0"/>
        <v>0.26281531499999999</v>
      </c>
      <c r="O25" s="83">
        <f t="shared" si="0"/>
        <v>1.2029189250123964</v>
      </c>
      <c r="P25" s="83">
        <f t="shared" si="0"/>
        <v>1.2029189466094969</v>
      </c>
      <c r="Q25" s="83">
        <f t="shared" si="0"/>
        <v>1.2029435249018809</v>
      </c>
      <c r="R25" s="83">
        <f t="shared" si="0"/>
        <v>1.2030056254727335</v>
      </c>
      <c r="S25" s="83">
        <f t="shared" si="0"/>
        <v>1.2030689680549944</v>
      </c>
    </row>
    <row r="26" spans="1:19" x14ac:dyDescent="0.2">
      <c r="A26" s="71" t="s">
        <v>24</v>
      </c>
      <c r="B26" s="83">
        <v>0</v>
      </c>
      <c r="C26" s="83">
        <f>C7*95%</f>
        <v>1.9833300479999998</v>
      </c>
      <c r="D26" s="83">
        <f>D7*95%</f>
        <v>1.9156115864330994</v>
      </c>
      <c r="E26" s="83">
        <f t="shared" ref="E26:S26" si="1">E7*95%</f>
        <v>0.20575500599821625</v>
      </c>
      <c r="F26" s="83">
        <f t="shared" si="1"/>
        <v>0.23700845414654229</v>
      </c>
      <c r="G26" s="83">
        <f t="shared" si="1"/>
        <v>0.51575000000000004</v>
      </c>
      <c r="H26" s="83">
        <f t="shared" si="1"/>
        <v>1.6221611109144649</v>
      </c>
      <c r="I26" s="83">
        <f t="shared" si="1"/>
        <v>1.6946228876575864</v>
      </c>
      <c r="J26" s="83">
        <f t="shared" si="1"/>
        <v>1.4348770661691592</v>
      </c>
      <c r="K26" s="83">
        <f t="shared" si="1"/>
        <v>1.1907223160369003</v>
      </c>
      <c r="L26" s="83">
        <f t="shared" si="1"/>
        <v>2.714421059342953</v>
      </c>
      <c r="M26" s="83">
        <f t="shared" si="1"/>
        <v>0.11837578413142694</v>
      </c>
      <c r="N26" s="83">
        <f t="shared" si="1"/>
        <v>0.87623671800000003</v>
      </c>
      <c r="O26" s="83">
        <f t="shared" si="1"/>
        <v>0.72212384959999998</v>
      </c>
      <c r="P26" s="83">
        <f t="shared" si="1"/>
        <v>0.74559285775538009</v>
      </c>
      <c r="Q26" s="83">
        <f t="shared" si="1"/>
        <v>1.3172706476588254</v>
      </c>
      <c r="R26" s="83">
        <f t="shared" si="1"/>
        <v>1.360032133782576</v>
      </c>
      <c r="S26" s="83">
        <f t="shared" si="1"/>
        <v>1.4041804881505906</v>
      </c>
    </row>
    <row r="27" spans="1:19" x14ac:dyDescent="0.2">
      <c r="A27" s="71" t="s">
        <v>25</v>
      </c>
      <c r="B27" s="85">
        <v>0</v>
      </c>
      <c r="C27" s="85">
        <v>0</v>
      </c>
      <c r="D27" s="83">
        <v>0</v>
      </c>
      <c r="E27" s="83">
        <v>0</v>
      </c>
      <c r="F27" s="83">
        <v>0</v>
      </c>
      <c r="G27" s="83">
        <v>0</v>
      </c>
      <c r="H27" s="85">
        <v>0</v>
      </c>
      <c r="I27" s="85">
        <v>0</v>
      </c>
      <c r="J27" s="85">
        <v>0</v>
      </c>
      <c r="K27" s="85">
        <v>0</v>
      </c>
      <c r="L27" s="85">
        <v>0</v>
      </c>
      <c r="M27" s="85">
        <v>0</v>
      </c>
      <c r="N27" s="85">
        <v>0</v>
      </c>
      <c r="O27" s="84">
        <v>0</v>
      </c>
      <c r="P27" s="84">
        <v>0</v>
      </c>
      <c r="Q27" s="84">
        <v>0</v>
      </c>
      <c r="R27" s="84">
        <v>0</v>
      </c>
      <c r="S27" s="84">
        <v>0</v>
      </c>
    </row>
    <row r="28" spans="1:19" x14ac:dyDescent="0.2">
      <c r="A28" s="71"/>
      <c r="B28" s="71"/>
      <c r="C28" s="71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</row>
    <row r="29" spans="1:19" ht="18" x14ac:dyDescent="0.25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1"/>
      <c r="L29" s="71"/>
      <c r="M29" s="71"/>
      <c r="N29" s="71"/>
      <c r="O29" s="74" t="s">
        <v>26</v>
      </c>
      <c r="P29" s="74" t="s">
        <v>26</v>
      </c>
      <c r="Q29" s="74" t="s">
        <v>26</v>
      </c>
      <c r="R29" s="74" t="s">
        <v>26</v>
      </c>
      <c r="S29" s="74" t="s">
        <v>26</v>
      </c>
    </row>
    <row r="30" spans="1:19" x14ac:dyDescent="0.2">
      <c r="A30" s="75" t="s">
        <v>32</v>
      </c>
      <c r="B30" s="76">
        <v>2010</v>
      </c>
      <c r="C30" s="76">
        <v>2011</v>
      </c>
      <c r="D30" s="76">
        <v>2012</v>
      </c>
      <c r="E30" s="76">
        <v>2013</v>
      </c>
      <c r="F30" s="76">
        <v>2014</v>
      </c>
      <c r="G30" s="76">
        <v>2015</v>
      </c>
      <c r="H30" s="76">
        <v>2016</v>
      </c>
      <c r="I30" s="76">
        <v>2017</v>
      </c>
      <c r="J30" s="76">
        <v>2018</v>
      </c>
      <c r="K30" s="76">
        <v>2019</v>
      </c>
      <c r="L30" s="76">
        <v>2020</v>
      </c>
      <c r="M30" s="76">
        <v>2021</v>
      </c>
      <c r="N30" s="76">
        <v>2022</v>
      </c>
      <c r="O30" s="76">
        <v>2023</v>
      </c>
      <c r="P30" s="76">
        <v>2024</v>
      </c>
      <c r="Q30" s="76">
        <v>2025</v>
      </c>
      <c r="R30" s="76">
        <v>2026</v>
      </c>
      <c r="S30" s="76">
        <v>2027</v>
      </c>
    </row>
    <row r="31" spans="1:19" x14ac:dyDescent="0.2">
      <c r="A31" s="71" t="s">
        <v>23</v>
      </c>
      <c r="B31" s="83">
        <f>81.8%*B12</f>
        <v>0.25055776123919093</v>
      </c>
      <c r="C31" s="83">
        <f t="shared" ref="C31:S31" si="2">81.8%*C12</f>
        <v>2.1863319393774887</v>
      </c>
      <c r="D31" s="83">
        <f t="shared" si="2"/>
        <v>1.6296990814070573</v>
      </c>
      <c r="E31" s="83">
        <f t="shared" si="2"/>
        <v>1.1019178204</v>
      </c>
      <c r="F31" s="83">
        <f t="shared" si="2"/>
        <v>15.574402108839999</v>
      </c>
      <c r="G31" s="83">
        <f t="shared" si="2"/>
        <v>11.29429979228</v>
      </c>
      <c r="H31" s="83">
        <f t="shared" si="2"/>
        <v>4.2733271742999994</v>
      </c>
      <c r="I31" s="83">
        <f t="shared" si="2"/>
        <v>0.74547441855999996</v>
      </c>
      <c r="J31" s="83">
        <f t="shared" si="2"/>
        <v>0.44190559601999996</v>
      </c>
      <c r="K31" s="83">
        <f t="shared" si="2"/>
        <v>2.0648080826799999</v>
      </c>
      <c r="L31" s="83">
        <f t="shared" si="2"/>
        <v>-0.32255151049999997</v>
      </c>
      <c r="M31" s="83">
        <f t="shared" si="2"/>
        <v>0.13972729985999999</v>
      </c>
      <c r="N31" s="83">
        <f t="shared" si="2"/>
        <v>0.31250651140000002</v>
      </c>
      <c r="O31" s="83">
        <f t="shared" si="2"/>
        <v>1.0357763626981686</v>
      </c>
      <c r="P31" s="83">
        <f t="shared" si="2"/>
        <v>1.0357765713892406</v>
      </c>
      <c r="Q31" s="83">
        <f t="shared" si="2"/>
        <v>0.17486101272105448</v>
      </c>
      <c r="R31" s="83">
        <f t="shared" si="2"/>
        <v>0.17491438126859279</v>
      </c>
      <c r="S31" s="83">
        <f t="shared" si="2"/>
        <v>0.17496902587815558</v>
      </c>
    </row>
    <row r="32" spans="1:19" x14ac:dyDescent="0.2">
      <c r="A32" s="71" t="s">
        <v>24</v>
      </c>
      <c r="B32" s="83">
        <v>0</v>
      </c>
      <c r="C32" s="83">
        <f>81.8%*C13</f>
        <v>2.3583235788799994</v>
      </c>
      <c r="D32" s="83">
        <f>81.8%*D13</f>
        <v>2.2713910423216874</v>
      </c>
      <c r="E32" s="83">
        <f t="shared" ref="E32:S32" si="3">81.8%*E13</f>
        <v>1.771956042068044</v>
      </c>
      <c r="F32" s="83">
        <f t="shared" si="3"/>
        <v>1.0721281878196813</v>
      </c>
      <c r="G32" s="83">
        <f t="shared" si="3"/>
        <v>1.5944339999999999</v>
      </c>
      <c r="H32" s="83">
        <f t="shared" si="3"/>
        <v>0.68837234860207142</v>
      </c>
      <c r="I32" s="83">
        <f t="shared" si="3"/>
        <v>0.70199813904852026</v>
      </c>
      <c r="J32" s="83">
        <f t="shared" si="3"/>
        <v>0.17931794218276584</v>
      </c>
      <c r="K32" s="83">
        <f t="shared" si="3"/>
        <v>0.9893277182966479</v>
      </c>
      <c r="L32" s="83">
        <f t="shared" si="3"/>
        <v>-1.0502157423605636</v>
      </c>
      <c r="M32" s="83">
        <f t="shared" si="3"/>
        <v>1.9101257153584132</v>
      </c>
      <c r="N32" s="83">
        <f t="shared" si="3"/>
        <v>1.0419091440799997</v>
      </c>
      <c r="O32" s="83">
        <f t="shared" si="3"/>
        <v>0.62178664102399994</v>
      </c>
      <c r="P32" s="83">
        <f t="shared" si="3"/>
        <v>0.64199472128596857</v>
      </c>
      <c r="Q32" s="83">
        <f t="shared" si="3"/>
        <v>0.1914797118145084</v>
      </c>
      <c r="R32" s="83">
        <f t="shared" si="3"/>
        <v>0.19774569141561835</v>
      </c>
      <c r="S32" s="83">
        <f t="shared" si="3"/>
        <v>0.20421779523249334</v>
      </c>
    </row>
    <row r="33" spans="1:19" x14ac:dyDescent="0.2">
      <c r="A33" s="71" t="s">
        <v>25</v>
      </c>
      <c r="B33" s="85">
        <v>0</v>
      </c>
      <c r="C33" s="85">
        <v>0</v>
      </c>
      <c r="D33" s="83">
        <v>0</v>
      </c>
      <c r="E33" s="83">
        <v>0</v>
      </c>
      <c r="F33" s="83">
        <v>0</v>
      </c>
      <c r="G33" s="83">
        <v>0</v>
      </c>
      <c r="H33" s="85">
        <v>0</v>
      </c>
      <c r="I33" s="85">
        <v>0</v>
      </c>
      <c r="J33" s="85">
        <v>0</v>
      </c>
      <c r="K33" s="85">
        <v>0</v>
      </c>
      <c r="L33" s="85">
        <v>0</v>
      </c>
      <c r="M33" s="85">
        <v>0</v>
      </c>
      <c r="N33" s="85">
        <v>0</v>
      </c>
      <c r="O33" s="84">
        <v>0</v>
      </c>
      <c r="P33" s="84">
        <v>0</v>
      </c>
      <c r="Q33" s="84">
        <v>0</v>
      </c>
      <c r="R33" s="84">
        <v>0</v>
      </c>
      <c r="S33" s="84">
        <v>0</v>
      </c>
    </row>
    <row r="34" spans="1:19" x14ac:dyDescent="0.2">
      <c r="A34" s="71"/>
      <c r="B34" s="159"/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</row>
    <row r="35" spans="1:19" x14ac:dyDescent="0.2">
      <c r="A35" s="71"/>
      <c r="B35" s="71"/>
      <c r="C35" s="71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</row>
    <row r="36" spans="1:19" x14ac:dyDescent="0.2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</row>
    <row r="37" spans="1:19" x14ac:dyDescent="0.2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  <row r="38" spans="1:19" x14ac:dyDescent="0.2">
      <c r="A38" s="75" t="s">
        <v>33</v>
      </c>
      <c r="B38" s="76">
        <v>2010</v>
      </c>
      <c r="C38" s="76">
        <v>2011</v>
      </c>
      <c r="D38" s="76">
        <v>2012</v>
      </c>
      <c r="E38" s="76">
        <v>2013</v>
      </c>
      <c r="F38" s="76">
        <v>2014</v>
      </c>
      <c r="G38" s="76">
        <v>2015</v>
      </c>
      <c r="H38" s="76">
        <v>2016</v>
      </c>
      <c r="I38" s="76">
        <v>2017</v>
      </c>
      <c r="J38" s="76">
        <v>2018</v>
      </c>
      <c r="K38" s="76">
        <v>2019</v>
      </c>
      <c r="L38" s="76">
        <v>2020</v>
      </c>
      <c r="M38" s="76">
        <v>2021</v>
      </c>
      <c r="N38" s="76">
        <v>2022</v>
      </c>
      <c r="O38" s="76">
        <v>2023</v>
      </c>
      <c r="P38" s="76">
        <v>2024</v>
      </c>
      <c r="Q38" s="76">
        <v>2025</v>
      </c>
      <c r="R38" s="76">
        <v>2026</v>
      </c>
      <c r="S38" s="76">
        <v>2027</v>
      </c>
    </row>
    <row r="39" spans="1:19" x14ac:dyDescent="0.2">
      <c r="A39" s="71" t="s">
        <v>23</v>
      </c>
      <c r="B39" s="83">
        <f>B31+B25</f>
        <v>0.46186939431225843</v>
      </c>
      <c r="C39" s="83">
        <f t="shared" ref="C39:S39" si="4">C31+C25</f>
        <v>4.0302076599488608</v>
      </c>
      <c r="D39" s="83">
        <f t="shared" si="4"/>
        <v>3.0041301611174624</v>
      </c>
      <c r="E39" s="83">
        <f t="shared" si="4"/>
        <v>1.2298697008999999</v>
      </c>
      <c r="F39" s="83">
        <f t="shared" si="4"/>
        <v>19.017334595839998</v>
      </c>
      <c r="G39" s="83">
        <f t="shared" si="4"/>
        <v>14.94765526528</v>
      </c>
      <c r="H39" s="83">
        <f t="shared" si="4"/>
        <v>14.343495115299998</v>
      </c>
      <c r="I39" s="83">
        <f t="shared" si="4"/>
        <v>2.5450490065600002</v>
      </c>
      <c r="J39" s="83">
        <f t="shared" si="4"/>
        <v>3.97797230202</v>
      </c>
      <c r="K39" s="83">
        <f t="shared" si="4"/>
        <v>4.5499432071800001</v>
      </c>
      <c r="L39" s="83">
        <f t="shared" si="4"/>
        <v>0.51112539750000008</v>
      </c>
      <c r="M39" s="83">
        <f t="shared" si="4"/>
        <v>0.14838658785999997</v>
      </c>
      <c r="N39" s="83">
        <f t="shared" si="4"/>
        <v>0.57532182639999996</v>
      </c>
      <c r="O39" s="83">
        <f t="shared" si="4"/>
        <v>2.238695287710565</v>
      </c>
      <c r="P39" s="83">
        <f t="shared" si="4"/>
        <v>2.2386955179987376</v>
      </c>
      <c r="Q39" s="83">
        <f t="shared" si="4"/>
        <v>1.3778045376229353</v>
      </c>
      <c r="R39" s="83">
        <f t="shared" si="4"/>
        <v>1.3779200067413262</v>
      </c>
      <c r="S39" s="83">
        <f t="shared" si="4"/>
        <v>1.37803799393315</v>
      </c>
    </row>
    <row r="40" spans="1:19" x14ac:dyDescent="0.2">
      <c r="A40" s="71" t="s">
        <v>24</v>
      </c>
      <c r="B40" s="83">
        <f t="shared" ref="B40:S40" si="5">B32+B26</f>
        <v>0</v>
      </c>
      <c r="C40" s="83">
        <f t="shared" si="5"/>
        <v>4.3416536268799995</v>
      </c>
      <c r="D40" s="83">
        <f t="shared" si="5"/>
        <v>4.1870026287547866</v>
      </c>
      <c r="E40" s="83">
        <f t="shared" si="5"/>
        <v>1.9777110480662603</v>
      </c>
      <c r="F40" s="83">
        <f t="shared" si="5"/>
        <v>1.3091366419662236</v>
      </c>
      <c r="G40" s="83">
        <f t="shared" si="5"/>
        <v>2.1101839999999998</v>
      </c>
      <c r="H40" s="83">
        <f t="shared" si="5"/>
        <v>2.3105334595165363</v>
      </c>
      <c r="I40" s="83">
        <f t="shared" si="5"/>
        <v>2.3966210267061068</v>
      </c>
      <c r="J40" s="83">
        <f t="shared" si="5"/>
        <v>1.614195008351925</v>
      </c>
      <c r="K40" s="83">
        <f t="shared" si="5"/>
        <v>2.180050034333548</v>
      </c>
      <c r="L40" s="83">
        <f t="shared" si="5"/>
        <v>1.6642053169823894</v>
      </c>
      <c r="M40" s="83">
        <f t="shared" si="5"/>
        <v>2.02850149948984</v>
      </c>
      <c r="N40" s="83">
        <f t="shared" si="5"/>
        <v>1.9181458620799998</v>
      </c>
      <c r="O40" s="83">
        <f t="shared" si="5"/>
        <v>1.3439104906239998</v>
      </c>
      <c r="P40" s="83">
        <f t="shared" si="5"/>
        <v>1.3875875790413486</v>
      </c>
      <c r="Q40" s="83">
        <f t="shared" si="5"/>
        <v>1.5087503594733338</v>
      </c>
      <c r="R40" s="83">
        <f t="shared" si="5"/>
        <v>1.5577778251981944</v>
      </c>
      <c r="S40" s="83">
        <f t="shared" si="5"/>
        <v>1.6083982833830839</v>
      </c>
    </row>
    <row r="41" spans="1:19" x14ac:dyDescent="0.2">
      <c r="A41" s="71" t="s">
        <v>25</v>
      </c>
      <c r="B41" s="83">
        <f t="shared" ref="B41:S41" si="6">B33+B27</f>
        <v>0</v>
      </c>
      <c r="C41" s="83">
        <f t="shared" si="6"/>
        <v>0</v>
      </c>
      <c r="D41" s="83">
        <f t="shared" si="6"/>
        <v>0</v>
      </c>
      <c r="E41" s="83">
        <f t="shared" si="6"/>
        <v>0</v>
      </c>
      <c r="F41" s="83">
        <f t="shared" si="6"/>
        <v>0</v>
      </c>
      <c r="G41" s="83">
        <f t="shared" si="6"/>
        <v>0</v>
      </c>
      <c r="H41" s="83">
        <f t="shared" si="6"/>
        <v>0</v>
      </c>
      <c r="I41" s="83">
        <f t="shared" si="6"/>
        <v>0</v>
      </c>
      <c r="J41" s="83">
        <f t="shared" si="6"/>
        <v>0</v>
      </c>
      <c r="K41" s="83">
        <f t="shared" si="6"/>
        <v>0</v>
      </c>
      <c r="L41" s="83">
        <f t="shared" si="6"/>
        <v>0</v>
      </c>
      <c r="M41" s="83">
        <f t="shared" si="6"/>
        <v>0</v>
      </c>
      <c r="N41" s="83">
        <f t="shared" si="6"/>
        <v>0</v>
      </c>
      <c r="O41" s="83">
        <f t="shared" si="6"/>
        <v>0</v>
      </c>
      <c r="P41" s="83">
        <f t="shared" si="6"/>
        <v>0</v>
      </c>
      <c r="Q41" s="83">
        <f t="shared" si="6"/>
        <v>0</v>
      </c>
      <c r="R41" s="83">
        <f t="shared" si="6"/>
        <v>0</v>
      </c>
      <c r="S41" s="83">
        <f t="shared" si="6"/>
        <v>0</v>
      </c>
    </row>
    <row r="42" spans="1:19" x14ac:dyDescent="0.2">
      <c r="B42" s="160"/>
      <c r="C42" s="160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</row>
    <row r="44" spans="1:19" x14ac:dyDescent="0.2">
      <c r="A44" s="80" t="s">
        <v>34</v>
      </c>
    </row>
    <row r="45" spans="1:19" x14ac:dyDescent="0.2">
      <c r="A45" s="71" t="s">
        <v>35</v>
      </c>
    </row>
    <row r="46" spans="1:19" x14ac:dyDescent="0.2">
      <c r="A46" s="71" t="s">
        <v>36</v>
      </c>
    </row>
    <row r="47" spans="1:19" x14ac:dyDescent="0.2">
      <c r="A47" s="71" t="s">
        <v>37</v>
      </c>
    </row>
    <row r="51" spans="1:19" x14ac:dyDescent="0.2">
      <c r="A51" s="156"/>
    </row>
    <row r="53" spans="1:19" x14ac:dyDescent="0.2">
      <c r="A53" s="71"/>
    </row>
    <row r="54" spans="1:19" x14ac:dyDescent="0.2"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</row>
    <row r="56" spans="1:19" x14ac:dyDescent="0.2">
      <c r="A56" s="82"/>
    </row>
    <row r="57" spans="1:19" x14ac:dyDescent="0.2"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</row>
    <row r="68" spans="15:15" x14ac:dyDescent="0.2">
      <c r="O68" s="127"/>
    </row>
    <row r="69" spans="15:15" x14ac:dyDescent="0.2">
      <c r="O69" s="127"/>
    </row>
  </sheetData>
  <mergeCells count="5">
    <mergeCell ref="A2:S2"/>
    <mergeCell ref="O23:S23"/>
    <mergeCell ref="B23:N23"/>
    <mergeCell ref="B4:N4"/>
    <mergeCell ref="O4:S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6E121-6840-4FB9-B1F6-C405C92DDB3B}">
  <dimension ref="A1:AE119"/>
  <sheetViews>
    <sheetView showGridLines="0" zoomScaleNormal="100" workbookViewId="0">
      <selection activeCell="M45" sqref="M45"/>
    </sheetView>
  </sheetViews>
  <sheetFormatPr defaultColWidth="8.77734375" defaultRowHeight="12.75" x14ac:dyDescent="0.2"/>
  <cols>
    <col min="1" max="1" width="14.44140625" style="115" customWidth="1"/>
    <col min="2" max="2" width="8.77734375" style="115"/>
    <col min="3" max="3" width="6.21875" style="115" customWidth="1"/>
    <col min="4" max="4" width="13.77734375" style="115" bestFit="1" customWidth="1"/>
    <col min="5" max="5" width="13.33203125" style="115" bestFit="1" customWidth="1"/>
    <col min="6" max="6" width="14.109375" style="115" bestFit="1" customWidth="1"/>
    <col min="7" max="8" width="13.77734375" style="115" bestFit="1" customWidth="1"/>
    <col min="9" max="10" width="13.33203125" style="115" bestFit="1" customWidth="1"/>
    <col min="11" max="11" width="13.109375" style="115" bestFit="1" customWidth="1"/>
    <col min="12" max="12" width="13.77734375" style="115" bestFit="1" customWidth="1"/>
    <col min="13" max="13" width="13.33203125" style="115" bestFit="1" customWidth="1"/>
    <col min="14" max="15" width="13.77734375" style="115" bestFit="1" customWidth="1"/>
    <col min="16" max="17" width="14.109375" style="115" bestFit="1" customWidth="1"/>
    <col min="18" max="21" width="13.77734375" style="115" bestFit="1" customWidth="1"/>
    <col min="22" max="16384" width="8.77734375" style="115"/>
  </cols>
  <sheetData>
    <row r="1" spans="1:22" x14ac:dyDescent="0.2">
      <c r="A1" s="69" t="s">
        <v>38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87"/>
      <c r="Q1" s="113"/>
      <c r="R1" s="113"/>
      <c r="S1" s="113"/>
      <c r="T1" s="113"/>
      <c r="U1" s="114"/>
    </row>
    <row r="2" spans="1:22" x14ac:dyDescent="0.2">
      <c r="A2" s="69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6"/>
      <c r="Q2" s="113"/>
      <c r="R2" s="113"/>
      <c r="S2" s="113"/>
      <c r="T2" s="113"/>
      <c r="U2" s="113"/>
    </row>
    <row r="3" spans="1:22" x14ac:dyDescent="0.2">
      <c r="A3" s="69" t="s">
        <v>39</v>
      </c>
      <c r="B3" s="113"/>
      <c r="C3" s="70"/>
      <c r="D3" s="70">
        <v>2010</v>
      </c>
      <c r="E3" s="70">
        <v>2011</v>
      </c>
      <c r="F3" s="70">
        <v>2012</v>
      </c>
      <c r="G3" s="70">
        <v>2013</v>
      </c>
      <c r="H3" s="70">
        <v>2014</v>
      </c>
      <c r="I3" s="70">
        <v>2015</v>
      </c>
      <c r="J3" s="70">
        <v>2016</v>
      </c>
      <c r="K3" s="70">
        <v>2017</v>
      </c>
      <c r="L3" s="70">
        <v>2018</v>
      </c>
      <c r="M3" s="70">
        <v>2019</v>
      </c>
      <c r="N3" s="70">
        <v>2020</v>
      </c>
      <c r="O3" s="70">
        <v>2021</v>
      </c>
      <c r="P3" s="70">
        <v>2022</v>
      </c>
      <c r="Q3" s="70">
        <v>2023</v>
      </c>
      <c r="R3" s="70">
        <v>2024</v>
      </c>
      <c r="S3" s="70">
        <v>2025</v>
      </c>
      <c r="T3" s="70">
        <v>2026</v>
      </c>
      <c r="U3" s="70">
        <v>2027</v>
      </c>
      <c r="V3" s="58"/>
    </row>
    <row r="4" spans="1:22" x14ac:dyDescent="0.2">
      <c r="A4" s="117" t="s">
        <v>40</v>
      </c>
      <c r="B4" s="113"/>
      <c r="C4" s="58"/>
      <c r="D4" s="123">
        <f>C6</f>
        <v>0</v>
      </c>
      <c r="E4" s="123">
        <f>D6</f>
        <v>0.46185091953648527</v>
      </c>
      <c r="F4" s="123">
        <f>E6</f>
        <v>4.4918973711789478</v>
      </c>
      <c r="G4" s="123">
        <f>F6</f>
        <v>7.4959073670899654</v>
      </c>
      <c r="H4" s="123">
        <f t="shared" ref="H4:U4" si="0">G6</f>
        <v>8.7257278732019294</v>
      </c>
      <c r="I4" s="123">
        <f t="shared" si="0"/>
        <v>27.742301775658095</v>
      </c>
      <c r="J4" s="123">
        <f t="shared" si="0"/>
        <v>42.689957040938097</v>
      </c>
      <c r="K4" s="123">
        <f t="shared" si="0"/>
        <v>57.033452156238098</v>
      </c>
      <c r="L4" s="123">
        <f t="shared" si="0"/>
        <v>59.578501162798098</v>
      </c>
      <c r="M4" s="123">
        <f t="shared" si="0"/>
        <v>63.556473464818097</v>
      </c>
      <c r="N4" s="123">
        <f t="shared" si="0"/>
        <v>68.10641667199809</v>
      </c>
      <c r="O4" s="123">
        <f t="shared" si="0"/>
        <v>68.617542069498086</v>
      </c>
      <c r="P4" s="123">
        <f t="shared" si="0"/>
        <v>68.765928657358089</v>
      </c>
      <c r="Q4" s="123">
        <f t="shared" si="0"/>
        <v>69.341250483758088</v>
      </c>
      <c r="R4" s="123">
        <f t="shared" si="0"/>
        <v>71.579945771468658</v>
      </c>
      <c r="S4" s="123">
        <f t="shared" si="0"/>
        <v>73.818641289467394</v>
      </c>
      <c r="T4" s="123">
        <f t="shared" si="0"/>
        <v>75.196445827090329</v>
      </c>
      <c r="U4" s="123">
        <f t="shared" si="0"/>
        <v>76.574365833831649</v>
      </c>
      <c r="V4" s="58"/>
    </row>
    <row r="5" spans="1:22" x14ac:dyDescent="0.2">
      <c r="A5" s="117" t="s">
        <v>41</v>
      </c>
      <c r="B5" s="118"/>
      <c r="C5" s="86"/>
      <c r="D5" s="130">
        <f t="shared" ref="D5" si="1">D97</f>
        <v>0.46185091953648594</v>
      </c>
      <c r="E5" s="130">
        <f>E97</f>
        <v>4.0300464516424626</v>
      </c>
      <c r="F5" s="130">
        <f t="shared" ref="F5:U5" si="2">F97</f>
        <v>3.0040099959110176</v>
      </c>
      <c r="G5" s="130">
        <f t="shared" si="2"/>
        <v>1.229820506111964</v>
      </c>
      <c r="H5" s="130">
        <f t="shared" si="2"/>
        <v>19.016573902456166</v>
      </c>
      <c r="I5" s="130">
        <f t="shared" si="2"/>
        <v>14.947655265280002</v>
      </c>
      <c r="J5" s="130">
        <f t="shared" si="2"/>
        <v>14.343495115299998</v>
      </c>
      <c r="K5" s="130">
        <f t="shared" si="2"/>
        <v>2.5450490065600007</v>
      </c>
      <c r="L5" s="130">
        <f t="shared" si="2"/>
        <v>3.9779723020200004</v>
      </c>
      <c r="M5" s="130">
        <f t="shared" si="2"/>
        <v>4.5499432071800001</v>
      </c>
      <c r="N5" s="130">
        <f t="shared" si="2"/>
        <v>0.51112539750000008</v>
      </c>
      <c r="O5" s="130">
        <f t="shared" si="2"/>
        <v>0.14838658785999997</v>
      </c>
      <c r="P5" s="130">
        <f t="shared" si="2"/>
        <v>0.57532182639999996</v>
      </c>
      <c r="Q5" s="130">
        <f t="shared" si="2"/>
        <v>2.2386952877105655</v>
      </c>
      <c r="R5" s="130">
        <f t="shared" si="2"/>
        <v>2.2386955179987376</v>
      </c>
      <c r="S5" s="130">
        <f t="shared" si="2"/>
        <v>1.3778045376229353</v>
      </c>
      <c r="T5" s="130">
        <f t="shared" si="2"/>
        <v>1.3779200067413262</v>
      </c>
      <c r="U5" s="130">
        <f t="shared" si="2"/>
        <v>1.37803799393315</v>
      </c>
      <c r="V5" s="58"/>
    </row>
    <row r="6" spans="1:22" x14ac:dyDescent="0.2">
      <c r="A6" s="117" t="s">
        <v>42</v>
      </c>
      <c r="B6" s="113"/>
      <c r="C6" s="60"/>
      <c r="D6" s="131">
        <v>0.46185091953648527</v>
      </c>
      <c r="E6" s="131">
        <f>SUM(E4:E5)</f>
        <v>4.4918973711789478</v>
      </c>
      <c r="F6" s="131">
        <f t="shared" ref="F6:U6" si="3">SUM(F4:F5)</f>
        <v>7.4959073670899654</v>
      </c>
      <c r="G6" s="131">
        <f t="shared" si="3"/>
        <v>8.7257278732019294</v>
      </c>
      <c r="H6" s="131">
        <f t="shared" si="3"/>
        <v>27.742301775658095</v>
      </c>
      <c r="I6" s="131">
        <f t="shared" si="3"/>
        <v>42.689957040938097</v>
      </c>
      <c r="J6" s="131">
        <f t="shared" si="3"/>
        <v>57.033452156238098</v>
      </c>
      <c r="K6" s="131">
        <f t="shared" si="3"/>
        <v>59.578501162798098</v>
      </c>
      <c r="L6" s="131">
        <f t="shared" si="3"/>
        <v>63.556473464818097</v>
      </c>
      <c r="M6" s="131">
        <f t="shared" si="3"/>
        <v>68.10641667199809</v>
      </c>
      <c r="N6" s="131">
        <f t="shared" si="3"/>
        <v>68.617542069498086</v>
      </c>
      <c r="O6" s="131">
        <f t="shared" si="3"/>
        <v>68.765928657358089</v>
      </c>
      <c r="P6" s="131">
        <f t="shared" si="3"/>
        <v>69.341250483758088</v>
      </c>
      <c r="Q6" s="131">
        <f t="shared" si="3"/>
        <v>71.579945771468658</v>
      </c>
      <c r="R6" s="131">
        <f t="shared" si="3"/>
        <v>73.818641289467394</v>
      </c>
      <c r="S6" s="131">
        <f t="shared" si="3"/>
        <v>75.196445827090329</v>
      </c>
      <c r="T6" s="131">
        <f t="shared" si="3"/>
        <v>76.574365833831649</v>
      </c>
      <c r="U6" s="131">
        <f t="shared" si="3"/>
        <v>77.952403827764797</v>
      </c>
      <c r="V6" s="58"/>
    </row>
    <row r="7" spans="1:22" x14ac:dyDescent="0.2">
      <c r="A7" s="69"/>
      <c r="B7" s="113"/>
      <c r="C7" s="58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58"/>
    </row>
    <row r="8" spans="1:22" x14ac:dyDescent="0.2">
      <c r="A8" s="69" t="s">
        <v>43</v>
      </c>
      <c r="B8" s="113"/>
      <c r="C8" s="58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58"/>
    </row>
    <row r="9" spans="1:22" x14ac:dyDescent="0.2">
      <c r="A9" s="117" t="s">
        <v>40</v>
      </c>
      <c r="B9" s="113"/>
      <c r="C9" s="58"/>
      <c r="D9" s="123">
        <v>0</v>
      </c>
      <c r="E9" s="123">
        <f>D11</f>
        <v>1.3792127838484301E-2</v>
      </c>
      <c r="F9" s="123">
        <f t="shared" ref="F9:U9" si="4">E11</f>
        <v>0.16172455974484323</v>
      </c>
      <c r="G9" s="123">
        <f t="shared" si="4"/>
        <v>0.51971309773222163</v>
      </c>
      <c r="H9" s="123">
        <f t="shared" si="4"/>
        <v>1.0041353593743652</v>
      </c>
      <c r="I9" s="123">
        <f t="shared" si="4"/>
        <v>2.0931701661892932</v>
      </c>
      <c r="J9" s="123">
        <f t="shared" si="4"/>
        <v>3.9776497831397073</v>
      </c>
      <c r="K9" s="123">
        <f t="shared" si="4"/>
        <v>7.1435856014879393</v>
      </c>
      <c r="L9" s="123">
        <f t="shared" si="4"/>
        <v>10.773600616633498</v>
      </c>
      <c r="M9" s="123">
        <f t="shared" si="4"/>
        <v>14.58206709833868</v>
      </c>
      <c r="N9" s="123">
        <f t="shared" si="4"/>
        <v>18.776047231046913</v>
      </c>
      <c r="O9" s="123">
        <f t="shared" si="4"/>
        <v>23.136498469553686</v>
      </c>
      <c r="P9" s="123">
        <f t="shared" si="4"/>
        <v>27.086645427230735</v>
      </c>
      <c r="Q9" s="123">
        <f t="shared" si="4"/>
        <v>31.153175178169903</v>
      </c>
      <c r="R9" s="123">
        <f t="shared" si="4"/>
        <v>34.72040577034614</v>
      </c>
      <c r="S9" s="123">
        <f t="shared" si="4"/>
        <v>38.38968037169699</v>
      </c>
      <c r="T9" s="123">
        <f t="shared" si="4"/>
        <v>42.141378460491744</v>
      </c>
      <c r="U9" s="123">
        <f t="shared" si="4"/>
        <v>45.955882141402611</v>
      </c>
      <c r="V9" s="58"/>
    </row>
    <row r="10" spans="1:22" x14ac:dyDescent="0.2">
      <c r="A10" s="117" t="s">
        <v>41</v>
      </c>
      <c r="B10" s="113"/>
      <c r="C10" s="58"/>
      <c r="D10" s="123">
        <v>1.3792127838484301E-2</v>
      </c>
      <c r="E10" s="123">
        <f>E114</f>
        <v>0.14793243190635894</v>
      </c>
      <c r="F10" s="123">
        <f t="shared" ref="F10:U10" si="5">F114</f>
        <v>0.3579885379873784</v>
      </c>
      <c r="G10" s="123">
        <f t="shared" si="5"/>
        <v>0.48442226164214353</v>
      </c>
      <c r="H10" s="123">
        <f t="shared" si="5"/>
        <v>1.0890348068149283</v>
      </c>
      <c r="I10" s="123">
        <f t="shared" si="5"/>
        <v>1.8844796169504139</v>
      </c>
      <c r="J10" s="123">
        <f t="shared" si="5"/>
        <v>3.165935818348232</v>
      </c>
      <c r="K10" s="123">
        <f t="shared" si="5"/>
        <v>3.6300150151455597</v>
      </c>
      <c r="L10" s="123">
        <f t="shared" si="5"/>
        <v>3.8084664817051825</v>
      </c>
      <c r="M10" s="123">
        <f t="shared" si="5"/>
        <v>4.1939801327082336</v>
      </c>
      <c r="N10" s="123">
        <f t="shared" si="5"/>
        <v>4.3604512385067711</v>
      </c>
      <c r="O10" s="123">
        <f t="shared" si="5"/>
        <v>3.9501469576770498</v>
      </c>
      <c r="P10" s="123">
        <f t="shared" si="5"/>
        <v>4.0665297509391696</v>
      </c>
      <c r="Q10" s="123">
        <f t="shared" si="5"/>
        <v>3.5672305921762399</v>
      </c>
      <c r="R10" s="123">
        <f t="shared" si="5"/>
        <v>3.6692746013508497</v>
      </c>
      <c r="S10" s="123">
        <f t="shared" si="5"/>
        <v>3.7516980887947549</v>
      </c>
      <c r="T10" s="123">
        <f t="shared" si="5"/>
        <v>3.8145036809108661</v>
      </c>
      <c r="U10" s="123">
        <f t="shared" si="5"/>
        <v>3.8773145937190705</v>
      </c>
      <c r="V10" s="58"/>
    </row>
    <row r="11" spans="1:22" x14ac:dyDescent="0.2">
      <c r="A11" s="117" t="s">
        <v>42</v>
      </c>
      <c r="B11" s="113"/>
      <c r="C11" s="60"/>
      <c r="D11" s="131">
        <f t="shared" ref="D11:U11" si="6">SUM(D9:D10)</f>
        <v>1.3792127838484301E-2</v>
      </c>
      <c r="E11" s="131">
        <f t="shared" si="6"/>
        <v>0.16172455974484323</v>
      </c>
      <c r="F11" s="131">
        <f t="shared" si="6"/>
        <v>0.51971309773222163</v>
      </c>
      <c r="G11" s="131">
        <f t="shared" si="6"/>
        <v>1.0041353593743652</v>
      </c>
      <c r="H11" s="131">
        <f t="shared" si="6"/>
        <v>2.0931701661892932</v>
      </c>
      <c r="I11" s="131">
        <f t="shared" si="6"/>
        <v>3.9776497831397073</v>
      </c>
      <c r="J11" s="131">
        <f t="shared" si="6"/>
        <v>7.1435856014879393</v>
      </c>
      <c r="K11" s="131">
        <f t="shared" si="6"/>
        <v>10.773600616633498</v>
      </c>
      <c r="L11" s="131">
        <f t="shared" si="6"/>
        <v>14.58206709833868</v>
      </c>
      <c r="M11" s="131">
        <f t="shared" si="6"/>
        <v>18.776047231046913</v>
      </c>
      <c r="N11" s="131">
        <f t="shared" si="6"/>
        <v>23.136498469553686</v>
      </c>
      <c r="O11" s="131">
        <f t="shared" si="6"/>
        <v>27.086645427230735</v>
      </c>
      <c r="P11" s="131">
        <f t="shared" si="6"/>
        <v>31.153175178169903</v>
      </c>
      <c r="Q11" s="131">
        <f t="shared" si="6"/>
        <v>34.72040577034614</v>
      </c>
      <c r="R11" s="131">
        <f t="shared" si="6"/>
        <v>38.38968037169699</v>
      </c>
      <c r="S11" s="131">
        <f t="shared" si="6"/>
        <v>42.141378460491744</v>
      </c>
      <c r="T11" s="131">
        <f t="shared" si="6"/>
        <v>45.955882141402611</v>
      </c>
      <c r="U11" s="131">
        <f t="shared" si="6"/>
        <v>49.833196735121682</v>
      </c>
      <c r="V11" s="58"/>
    </row>
    <row r="12" spans="1:22" x14ac:dyDescent="0.2">
      <c r="A12" s="69"/>
      <c r="B12" s="113"/>
      <c r="C12" s="58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58"/>
    </row>
    <row r="13" spans="1:22" x14ac:dyDescent="0.2">
      <c r="A13" s="69" t="s">
        <v>44</v>
      </c>
      <c r="B13" s="113"/>
      <c r="C13" s="58"/>
      <c r="D13" s="123">
        <f>D6-D11</f>
        <v>0.44805879169800095</v>
      </c>
      <c r="E13" s="123">
        <f t="shared" ref="E13:U13" si="7">E6-E11</f>
        <v>4.3301728114341049</v>
      </c>
      <c r="F13" s="123">
        <f t="shared" si="7"/>
        <v>6.9761942693577437</v>
      </c>
      <c r="G13" s="123">
        <f t="shared" si="7"/>
        <v>7.7215925138275647</v>
      </c>
      <c r="H13" s="123">
        <f t="shared" si="7"/>
        <v>25.649131609468803</v>
      </c>
      <c r="I13" s="123">
        <f t="shared" si="7"/>
        <v>38.712307257798386</v>
      </c>
      <c r="J13" s="123">
        <f t="shared" si="7"/>
        <v>49.889866554750157</v>
      </c>
      <c r="K13" s="123">
        <f t="shared" si="7"/>
        <v>48.804900546164603</v>
      </c>
      <c r="L13" s="123">
        <f t="shared" si="7"/>
        <v>48.974406366479414</v>
      </c>
      <c r="M13" s="123">
        <f t="shared" si="7"/>
        <v>49.330369440951173</v>
      </c>
      <c r="N13" s="123">
        <f t="shared" si="7"/>
        <v>45.4810435999444</v>
      </c>
      <c r="O13" s="123">
        <f t="shared" si="7"/>
        <v>41.679283230127353</v>
      </c>
      <c r="P13" s="123">
        <f>P6-P11</f>
        <v>38.188075305588185</v>
      </c>
      <c r="Q13" s="123">
        <f t="shared" si="7"/>
        <v>36.859540001122518</v>
      </c>
      <c r="R13" s="123">
        <f t="shared" si="7"/>
        <v>35.428960917770404</v>
      </c>
      <c r="S13" s="123">
        <f t="shared" si="7"/>
        <v>33.055067366598585</v>
      </c>
      <c r="T13" s="123">
        <f t="shared" si="7"/>
        <v>30.618483692429038</v>
      </c>
      <c r="U13" s="123">
        <f t="shared" si="7"/>
        <v>28.119207092643116</v>
      </c>
      <c r="V13" s="58"/>
    </row>
    <row r="14" spans="1:22" x14ac:dyDescent="0.2">
      <c r="A14" s="69"/>
      <c r="B14" s="113"/>
      <c r="C14" s="58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58"/>
    </row>
    <row r="15" spans="1:22" s="123" customFormat="1" x14ac:dyDescent="0.2">
      <c r="A15" s="123" t="s">
        <v>45</v>
      </c>
      <c r="D15" s="123">
        <f>(D13+C13)/2</f>
        <v>0.22402939584900047</v>
      </c>
      <c r="E15" s="123">
        <f>(E13+D13)/2</f>
        <v>2.389115801566053</v>
      </c>
      <c r="F15" s="123">
        <f t="shared" ref="F15:U15" si="8">(F13+E13)/2</f>
        <v>5.6531835403959239</v>
      </c>
      <c r="G15" s="123">
        <f t="shared" si="8"/>
        <v>7.3488933915926538</v>
      </c>
      <c r="H15" s="123">
        <f t="shared" si="8"/>
        <v>16.685362061648185</v>
      </c>
      <c r="I15" s="123">
        <f t="shared" si="8"/>
        <v>32.180719433633598</v>
      </c>
      <c r="J15" s="123">
        <f t="shared" si="8"/>
        <v>44.301086906274271</v>
      </c>
      <c r="K15" s="123">
        <f t="shared" si="8"/>
        <v>49.34738355045738</v>
      </c>
      <c r="L15" s="123">
        <f t="shared" si="8"/>
        <v>48.889653456322009</v>
      </c>
      <c r="M15" s="123">
        <f t="shared" si="8"/>
        <v>49.152387903715294</v>
      </c>
      <c r="N15" s="123">
        <f t="shared" si="8"/>
        <v>47.405706520447787</v>
      </c>
      <c r="O15" s="123">
        <f t="shared" si="8"/>
        <v>43.580163415035877</v>
      </c>
      <c r="P15" s="123">
        <f t="shared" si="8"/>
        <v>39.933679267857769</v>
      </c>
      <c r="Q15" s="123">
        <f t="shared" si="8"/>
        <v>37.523807653355348</v>
      </c>
      <c r="R15" s="123">
        <f t="shared" si="8"/>
        <v>36.144250459446461</v>
      </c>
      <c r="S15" s="123">
        <f t="shared" si="8"/>
        <v>34.242014142184495</v>
      </c>
      <c r="T15" s="123">
        <f t="shared" si="8"/>
        <v>31.836775529513812</v>
      </c>
      <c r="U15" s="123">
        <f t="shared" si="8"/>
        <v>29.368845392536077</v>
      </c>
    </row>
    <row r="16" spans="1:22" s="123" customFormat="1" x14ac:dyDescent="0.2">
      <c r="A16" s="123" t="s">
        <v>46</v>
      </c>
      <c r="D16" s="123">
        <v>0</v>
      </c>
      <c r="E16" s="123">
        <v>0</v>
      </c>
      <c r="F16" s="123">
        <f>F38</f>
        <v>0.479856059053547</v>
      </c>
      <c r="G16" s="123">
        <f>G38</f>
        <v>0.17598227549166315</v>
      </c>
      <c r="H16" s="123">
        <f t="shared" ref="H16:U16" si="9">H38</f>
        <v>9.9112216389561955E-2</v>
      </c>
      <c r="I16" s="123">
        <f t="shared" si="9"/>
        <v>0.13694520660752088</v>
      </c>
      <c r="J16" s="123">
        <f t="shared" si="9"/>
        <v>0.15799802551579531</v>
      </c>
      <c r="K16" s="123">
        <f t="shared" si="9"/>
        <v>0.18494395079948714</v>
      </c>
      <c r="L16" s="123">
        <f t="shared" si="9"/>
        <v>0.12433545725297973</v>
      </c>
      <c r="M16" s="123">
        <f t="shared" si="9"/>
        <v>0.16956091075305779</v>
      </c>
      <c r="N16" s="123">
        <f t="shared" si="9"/>
        <v>0.12937071027805067</v>
      </c>
      <c r="O16" s="123">
        <f t="shared" si="9"/>
        <v>0.1571813951586791</v>
      </c>
      <c r="P16" s="123">
        <f t="shared" si="9"/>
        <v>0.11758234134550399</v>
      </c>
      <c r="Q16" s="123">
        <f t="shared" si="9"/>
        <v>8.3868948990802064E-2</v>
      </c>
      <c r="R16" s="123">
        <f t="shared" si="9"/>
        <v>8.6594689675243405E-2</v>
      </c>
      <c r="S16" s="123">
        <f t="shared" si="9"/>
        <v>9.4156052669675902E-2</v>
      </c>
      <c r="T16" s="123">
        <f t="shared" si="9"/>
        <v>9.7215692467648912E-2</v>
      </c>
      <c r="U16" s="123">
        <f t="shared" si="9"/>
        <v>0.10037474558541144</v>
      </c>
    </row>
    <row r="17" spans="1:31" s="123" customFormat="1" x14ac:dyDescent="0.2">
      <c r="A17" s="129" t="s">
        <v>47</v>
      </c>
      <c r="D17" s="131">
        <f t="shared" ref="D17" si="10">SUM(D15:D16)</f>
        <v>0.22402939584900047</v>
      </c>
      <c r="E17" s="131">
        <f t="shared" ref="E17" si="11">SUM(E15:E16)</f>
        <v>2.389115801566053</v>
      </c>
      <c r="F17" s="131">
        <f t="shared" ref="F17" si="12">SUM(F15:F16)</f>
        <v>6.1330395994494706</v>
      </c>
      <c r="G17" s="131">
        <f t="shared" ref="G17" si="13">SUM(G15:G16)</f>
        <v>7.5248756670843173</v>
      </c>
      <c r="H17" s="131">
        <f t="shared" ref="H17" si="14">SUM(H15:H16)</f>
        <v>16.784474278037745</v>
      </c>
      <c r="I17" s="131">
        <f t="shared" ref="I17" si="15">SUM(I15:I16)</f>
        <v>32.317664640241119</v>
      </c>
      <c r="J17" s="131">
        <f t="shared" ref="J17" si="16">SUM(J15:J16)</f>
        <v>44.459084931790066</v>
      </c>
      <c r="K17" s="131">
        <f t="shared" ref="K17" si="17">SUM(K15:K16)</f>
        <v>49.532327501256866</v>
      </c>
      <c r="L17" s="131">
        <f t="shared" ref="L17" si="18">SUM(L15:L16)</f>
        <v>49.013988913574991</v>
      </c>
      <c r="M17" s="131">
        <f t="shared" ref="M17" si="19">SUM(M15:M16)</f>
        <v>49.32194881446835</v>
      </c>
      <c r="N17" s="131">
        <f t="shared" ref="N17" si="20">SUM(N15:N16)</f>
        <v>47.53507723072584</v>
      </c>
      <c r="O17" s="131">
        <f t="shared" ref="O17" si="21">SUM(O15:O16)</f>
        <v>43.737344810194557</v>
      </c>
      <c r="P17" s="131">
        <f t="shared" ref="P17" si="22">SUM(P15:P16)</f>
        <v>40.051261609203273</v>
      </c>
      <c r="Q17" s="131">
        <f t="shared" ref="Q17" si="23">SUM(Q15:Q16)</f>
        <v>37.607676602346153</v>
      </c>
      <c r="R17" s="131">
        <f t="shared" ref="R17" si="24">SUM(R15:R16)</f>
        <v>36.230845149121706</v>
      </c>
      <c r="S17" s="131">
        <f t="shared" ref="S17" si="25">SUM(S15:S16)</f>
        <v>34.336170194854169</v>
      </c>
      <c r="T17" s="131">
        <f t="shared" ref="T17" si="26">SUM(T15:T16)</f>
        <v>31.933991221981461</v>
      </c>
      <c r="U17" s="131">
        <f t="shared" ref="U17" si="27">SUM(U15:U16)</f>
        <v>29.469220138121489</v>
      </c>
    </row>
    <row r="18" spans="1:31" x14ac:dyDescent="0.2">
      <c r="C18" s="58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46"/>
      <c r="X18" s="146"/>
      <c r="Y18" s="146"/>
      <c r="Z18" s="146"/>
      <c r="AA18" s="146"/>
      <c r="AB18" s="146"/>
      <c r="AC18" s="146"/>
      <c r="AD18" s="146"/>
      <c r="AE18" s="146"/>
    </row>
    <row r="19" spans="1:31" x14ac:dyDescent="0.2">
      <c r="A19" s="115" t="s">
        <v>48</v>
      </c>
      <c r="C19" s="58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46"/>
      <c r="X19" s="146"/>
      <c r="Y19" s="146"/>
      <c r="Z19" s="146"/>
      <c r="AA19" s="146"/>
      <c r="AB19" s="146"/>
      <c r="AC19" s="146"/>
      <c r="AD19" s="146"/>
      <c r="AE19" s="146"/>
    </row>
    <row r="20" spans="1:31" x14ac:dyDescent="0.2">
      <c r="A20" s="115" t="s">
        <v>49</v>
      </c>
      <c r="C20" s="58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46"/>
      <c r="X20" s="146"/>
      <c r="Y20" s="146"/>
      <c r="Z20" s="146"/>
      <c r="AA20" s="146"/>
      <c r="AB20" s="146"/>
      <c r="AC20" s="146"/>
      <c r="AD20" s="146"/>
      <c r="AE20" s="146"/>
    </row>
    <row r="21" spans="1:31" x14ac:dyDescent="0.2">
      <c r="A21" s="115" t="s">
        <v>50</v>
      </c>
      <c r="C21" s="58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46"/>
      <c r="X21" s="146"/>
      <c r="Y21" s="146"/>
      <c r="Z21" s="146"/>
      <c r="AA21" s="146"/>
      <c r="AB21" s="146"/>
      <c r="AC21" s="146"/>
      <c r="AD21" s="146"/>
      <c r="AE21" s="146"/>
    </row>
    <row r="22" spans="1:31" x14ac:dyDescent="0.2">
      <c r="A22" s="115" t="s">
        <v>51</v>
      </c>
      <c r="C22" s="58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46"/>
      <c r="X22" s="146"/>
      <c r="Y22" s="146"/>
      <c r="Z22" s="146"/>
      <c r="AA22" s="146"/>
      <c r="AB22" s="146"/>
      <c r="AC22" s="146"/>
      <c r="AD22" s="146"/>
      <c r="AE22" s="146"/>
    </row>
    <row r="23" spans="1:31" x14ac:dyDescent="0.2">
      <c r="C23" s="58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46"/>
      <c r="X23" s="146"/>
      <c r="Y23" s="146"/>
      <c r="Z23" s="146"/>
      <c r="AA23" s="146"/>
      <c r="AB23" s="146"/>
      <c r="AC23" s="146"/>
      <c r="AD23" s="146"/>
      <c r="AE23" s="146"/>
    </row>
    <row r="24" spans="1:31" x14ac:dyDescent="0.2">
      <c r="A24" s="115" t="s">
        <v>52</v>
      </c>
      <c r="C24" s="58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46"/>
      <c r="X24" s="146"/>
      <c r="Y24" s="146"/>
      <c r="Z24" s="146"/>
      <c r="AA24" s="146"/>
      <c r="AB24" s="146"/>
      <c r="AC24" s="146"/>
      <c r="AD24" s="146"/>
      <c r="AE24" s="146"/>
    </row>
    <row r="25" spans="1:31" x14ac:dyDescent="0.2">
      <c r="A25" s="115" t="s">
        <v>49</v>
      </c>
      <c r="C25" s="58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46"/>
      <c r="X25" s="146"/>
      <c r="Y25" s="146"/>
      <c r="Z25" s="146"/>
      <c r="AA25" s="146"/>
      <c r="AB25" s="146"/>
      <c r="AC25" s="146"/>
      <c r="AD25" s="146"/>
      <c r="AE25" s="146"/>
    </row>
    <row r="26" spans="1:31" x14ac:dyDescent="0.2">
      <c r="A26" s="115" t="s">
        <v>50</v>
      </c>
      <c r="C26" s="58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46"/>
      <c r="X26" s="146"/>
      <c r="Y26" s="146"/>
      <c r="Z26" s="146"/>
      <c r="AA26" s="146"/>
      <c r="AB26" s="146"/>
      <c r="AC26" s="146"/>
      <c r="AD26" s="146"/>
      <c r="AE26" s="146"/>
    </row>
    <row r="27" spans="1:31" x14ac:dyDescent="0.2">
      <c r="A27" s="115" t="s">
        <v>51</v>
      </c>
      <c r="C27" s="58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pans="1:31" x14ac:dyDescent="0.2">
      <c r="C28" s="58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46"/>
      <c r="X28" s="146"/>
      <c r="Y28" s="146"/>
      <c r="Z28" s="146"/>
      <c r="AA28" s="146"/>
      <c r="AB28" s="146"/>
      <c r="AC28" s="146"/>
      <c r="AD28" s="146"/>
      <c r="AE28" s="146"/>
    </row>
    <row r="29" spans="1:31" x14ac:dyDescent="0.2">
      <c r="A29" s="115" t="s">
        <v>53</v>
      </c>
      <c r="C29" s="58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46"/>
      <c r="X29" s="146"/>
      <c r="Y29" s="146"/>
      <c r="Z29" s="146"/>
      <c r="AA29" s="146"/>
      <c r="AB29" s="146"/>
      <c r="AC29" s="146"/>
      <c r="AD29" s="146"/>
      <c r="AE29" s="146"/>
    </row>
    <row r="30" spans="1:31" x14ac:dyDescent="0.2">
      <c r="A30" s="115" t="s">
        <v>49</v>
      </c>
      <c r="C30" s="58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46"/>
      <c r="X30" s="146"/>
      <c r="Y30" s="146"/>
      <c r="Z30" s="146"/>
      <c r="AA30" s="146"/>
      <c r="AB30" s="146"/>
      <c r="AC30" s="146"/>
      <c r="AD30" s="146"/>
      <c r="AE30" s="146"/>
    </row>
    <row r="31" spans="1:31" x14ac:dyDescent="0.2">
      <c r="A31" s="115" t="s">
        <v>50</v>
      </c>
      <c r="C31" s="58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46"/>
      <c r="X31" s="146"/>
      <c r="Y31" s="146"/>
      <c r="Z31" s="146"/>
      <c r="AA31" s="146"/>
      <c r="AB31" s="146"/>
      <c r="AC31" s="146"/>
      <c r="AD31" s="146"/>
      <c r="AE31" s="146"/>
    </row>
    <row r="32" spans="1:31" x14ac:dyDescent="0.2">
      <c r="A32" s="115" t="s">
        <v>51</v>
      </c>
      <c r="C32" s="58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46"/>
      <c r="X32" s="146"/>
      <c r="Y32" s="146"/>
      <c r="Z32" s="146"/>
      <c r="AA32" s="146"/>
      <c r="AB32" s="146"/>
      <c r="AC32" s="146"/>
      <c r="AD32" s="146"/>
      <c r="AE32" s="146"/>
    </row>
    <row r="33" spans="1:31" x14ac:dyDescent="0.2">
      <c r="C33" s="58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46"/>
      <c r="X33" s="146"/>
      <c r="Y33" s="146"/>
      <c r="Z33" s="146"/>
      <c r="AA33" s="146"/>
      <c r="AB33" s="146"/>
      <c r="AC33" s="146"/>
      <c r="AD33" s="146"/>
      <c r="AE33" s="146"/>
    </row>
    <row r="34" spans="1:31" x14ac:dyDescent="0.2">
      <c r="A34" s="147" t="s">
        <v>46</v>
      </c>
      <c r="C34" s="58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46"/>
      <c r="X34" s="146"/>
      <c r="Y34" s="146"/>
      <c r="Z34" s="146"/>
      <c r="AA34" s="146"/>
      <c r="AB34" s="146"/>
      <c r="AC34" s="146"/>
      <c r="AD34" s="146"/>
      <c r="AE34" s="146"/>
    </row>
    <row r="35" spans="1:31" x14ac:dyDescent="0.2">
      <c r="C35" s="58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46"/>
      <c r="X35" s="146"/>
      <c r="Y35" s="146"/>
      <c r="Z35" s="146"/>
      <c r="AA35" s="146"/>
      <c r="AB35" s="146"/>
      <c r="AC35" s="146"/>
      <c r="AD35" s="146"/>
      <c r="AE35" s="146"/>
    </row>
    <row r="36" spans="1:31" s="123" customFormat="1" x14ac:dyDescent="0.2">
      <c r="A36" s="123" t="s">
        <v>54</v>
      </c>
      <c r="F36" s="123">
        <f>'4 - Revenue Requirement '!G10</f>
        <v>4.1870026287547866</v>
      </c>
      <c r="G36" s="123">
        <f>'4 - Revenue Requirement '!I10</f>
        <v>1.9777110480662603</v>
      </c>
      <c r="H36" s="123">
        <f>'4 - Revenue Requirement '!$K$10</f>
        <v>1.3091366419662236</v>
      </c>
      <c r="I36" s="123">
        <v>1.8491774569330797</v>
      </c>
      <c r="J36" s="123">
        <f>'4 - Revenue Requirement '!$O$10</f>
        <v>2.3105334595165363</v>
      </c>
      <c r="K36" s="130">
        <f>'4 - Revenue Requirement '!$Q$10</f>
        <v>2.3966210267061068</v>
      </c>
      <c r="L36" s="123">
        <f>'4 - Revenue Requirement '!$S$10</f>
        <v>1.614195008351925</v>
      </c>
      <c r="M36" s="123">
        <f>'4 - Revenue Requirement '!$U$10</f>
        <v>2.180050034333548</v>
      </c>
      <c r="N36" s="123">
        <f>'4 - Revenue Requirement '!$W$10</f>
        <v>1.6642053169823894</v>
      </c>
      <c r="O36" s="123">
        <f>'4 - Revenue Requirement '!$Y$10</f>
        <v>2.02850149948984</v>
      </c>
      <c r="P36" s="123">
        <f>'4 - Revenue Requirement '!$AA$10</f>
        <v>1.9181458620799998</v>
      </c>
      <c r="Q36" s="123">
        <f>'4 - Revenue Requirement '!$AC$10</f>
        <v>1.3439104906239998</v>
      </c>
      <c r="R36" s="123">
        <f>'4 - Revenue Requirement '!$AE$10</f>
        <v>1.3875875790413486</v>
      </c>
      <c r="S36" s="123">
        <f>'4 - Revenue Requirement '!$AG$10</f>
        <v>1.5087503594733338</v>
      </c>
      <c r="T36" s="123">
        <f>'4 - Revenue Requirement '!$AI$10</f>
        <v>1.5577778251981944</v>
      </c>
      <c r="U36" s="123">
        <f>'4 - Revenue Requirement '!$AK$10</f>
        <v>1.6083982833830839</v>
      </c>
    </row>
    <row r="37" spans="1:31" x14ac:dyDescent="0.2">
      <c r="A37" s="115" t="s">
        <v>55</v>
      </c>
      <c r="C37" s="58"/>
      <c r="D37" s="125">
        <v>0.11715626258061443</v>
      </c>
      <c r="E37" s="125">
        <v>0.11460610407981904</v>
      </c>
      <c r="F37" s="125">
        <v>0.11460610407981904</v>
      </c>
      <c r="G37" s="125">
        <v>8.8982804471731458E-2</v>
      </c>
      <c r="H37" s="125">
        <v>7.5708076003970795E-2</v>
      </c>
      <c r="I37" s="125">
        <v>7.4057363231460172E-2</v>
      </c>
      <c r="J37" s="125">
        <v>6.838162194320932E-2</v>
      </c>
      <c r="K37" s="125">
        <v>7.7168625635264637E-2</v>
      </c>
      <c r="L37" s="125">
        <v>7.7026292740134811E-2</v>
      </c>
      <c r="M37" s="125">
        <v>7.7778449156050394E-2</v>
      </c>
      <c r="N37" s="125">
        <v>7.7737229269662075E-2</v>
      </c>
      <c r="O37" s="125">
        <v>7.7486457465380035E-2</v>
      </c>
      <c r="P37" s="125">
        <v>6.13E-2</v>
      </c>
      <c r="Q37" s="125">
        <v>6.2406648043844291E-2</v>
      </c>
      <c r="R37" s="125">
        <v>6.2406648043844291E-2</v>
      </c>
      <c r="S37" s="125">
        <v>6.2406648043844291E-2</v>
      </c>
      <c r="T37" s="125">
        <v>6.2406648043844291E-2</v>
      </c>
      <c r="U37" s="125">
        <v>6.2406648043844291E-2</v>
      </c>
      <c r="V37" s="139"/>
      <c r="W37" s="146"/>
      <c r="X37" s="146"/>
      <c r="Y37" s="146"/>
      <c r="Z37" s="146"/>
      <c r="AA37" s="146"/>
      <c r="AB37" s="146"/>
      <c r="AC37" s="146"/>
      <c r="AD37" s="146"/>
      <c r="AE37" s="146"/>
    </row>
    <row r="38" spans="1:31" s="123" customFormat="1" x14ac:dyDescent="0.2">
      <c r="A38" s="123" t="s">
        <v>56</v>
      </c>
      <c r="D38" s="131">
        <f t="shared" ref="D38:U38" si="28">+D36*D37</f>
        <v>0</v>
      </c>
      <c r="E38" s="131">
        <f t="shared" si="28"/>
        <v>0</v>
      </c>
      <c r="F38" s="131">
        <f t="shared" si="28"/>
        <v>0.479856059053547</v>
      </c>
      <c r="G38" s="131">
        <f t="shared" si="28"/>
        <v>0.17598227549166315</v>
      </c>
      <c r="H38" s="131">
        <f t="shared" si="28"/>
        <v>9.9112216389561955E-2</v>
      </c>
      <c r="I38" s="131">
        <f t="shared" si="28"/>
        <v>0.13694520660752088</v>
      </c>
      <c r="J38" s="131">
        <f t="shared" si="28"/>
        <v>0.15799802551579531</v>
      </c>
      <c r="K38" s="131">
        <f t="shared" si="28"/>
        <v>0.18494395079948714</v>
      </c>
      <c r="L38" s="131">
        <f t="shared" si="28"/>
        <v>0.12433545725297973</v>
      </c>
      <c r="M38" s="131">
        <f t="shared" si="28"/>
        <v>0.16956091075305779</v>
      </c>
      <c r="N38" s="131">
        <f t="shared" si="28"/>
        <v>0.12937071027805067</v>
      </c>
      <c r="O38" s="131">
        <f t="shared" si="28"/>
        <v>0.1571813951586791</v>
      </c>
      <c r="P38" s="131">
        <f t="shared" si="28"/>
        <v>0.11758234134550399</v>
      </c>
      <c r="Q38" s="131">
        <f t="shared" si="28"/>
        <v>8.3868948990802064E-2</v>
      </c>
      <c r="R38" s="131">
        <f t="shared" si="28"/>
        <v>8.6594689675243405E-2</v>
      </c>
      <c r="S38" s="131">
        <f t="shared" si="28"/>
        <v>9.4156052669675902E-2</v>
      </c>
      <c r="T38" s="131">
        <f t="shared" si="28"/>
        <v>9.7215692467648912E-2</v>
      </c>
      <c r="U38" s="131">
        <f t="shared" si="28"/>
        <v>0.10037474558541144</v>
      </c>
    </row>
    <row r="39" spans="1:31" x14ac:dyDescent="0.2">
      <c r="C39" s="58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46"/>
      <c r="X39" s="146"/>
      <c r="Y39" s="146"/>
      <c r="Z39" s="146"/>
      <c r="AA39" s="146"/>
      <c r="AB39" s="146"/>
      <c r="AC39" s="146"/>
      <c r="AD39" s="146"/>
      <c r="AE39" s="146"/>
    </row>
    <row r="40" spans="1:31" x14ac:dyDescent="0.2">
      <c r="C40" s="58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46"/>
      <c r="X40" s="146"/>
      <c r="Y40" s="146"/>
      <c r="Z40" s="146"/>
      <c r="AA40" s="146"/>
      <c r="AB40" s="146"/>
      <c r="AC40" s="146"/>
      <c r="AD40" s="146"/>
      <c r="AE40" s="146"/>
    </row>
    <row r="41" spans="1:31" x14ac:dyDescent="0.2">
      <c r="C41" s="58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46"/>
      <c r="X41" s="146"/>
      <c r="Y41" s="146"/>
      <c r="Z41" s="146"/>
      <c r="AA41" s="146"/>
      <c r="AB41" s="146"/>
      <c r="AC41" s="146"/>
      <c r="AD41" s="146"/>
      <c r="AE41" s="146"/>
    </row>
    <row r="42" spans="1:31" x14ac:dyDescent="0.2"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</row>
    <row r="43" spans="1:31" x14ac:dyDescent="0.2"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</row>
    <row r="44" spans="1:31" x14ac:dyDescent="0.2">
      <c r="A44" s="113"/>
      <c r="B44" s="140" t="s">
        <v>57</v>
      </c>
      <c r="C44" s="141"/>
      <c r="D44" s="141">
        <v>2010</v>
      </c>
      <c r="E44" s="141">
        <v>2011</v>
      </c>
      <c r="F44" s="141">
        <v>2012</v>
      </c>
      <c r="G44" s="141">
        <v>2013</v>
      </c>
      <c r="H44" s="141">
        <v>2014</v>
      </c>
      <c r="I44" s="141">
        <v>2015</v>
      </c>
      <c r="J44" s="141">
        <v>2016</v>
      </c>
      <c r="K44" s="141">
        <v>2017</v>
      </c>
      <c r="L44" s="141">
        <v>2018</v>
      </c>
      <c r="M44" s="141">
        <v>2019</v>
      </c>
      <c r="N44" s="141">
        <v>2020</v>
      </c>
      <c r="O44" s="141">
        <v>2021</v>
      </c>
      <c r="P44" s="141">
        <v>2022</v>
      </c>
      <c r="Q44" s="141">
        <v>2023</v>
      </c>
      <c r="R44" s="141">
        <v>2024</v>
      </c>
      <c r="S44" s="141">
        <v>2025</v>
      </c>
      <c r="T44" s="141">
        <v>2026</v>
      </c>
      <c r="U44" s="141">
        <v>2027</v>
      </c>
    </row>
    <row r="45" spans="1:31" x14ac:dyDescent="0.2">
      <c r="A45" s="140" t="s">
        <v>58</v>
      </c>
      <c r="B45" s="140"/>
      <c r="C45" s="140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</row>
    <row r="46" spans="1:31" x14ac:dyDescent="0.2">
      <c r="A46" s="113" t="s">
        <v>59</v>
      </c>
      <c r="B46" s="113"/>
      <c r="C46" s="113"/>
      <c r="D46" s="142">
        <v>0</v>
      </c>
      <c r="E46" s="142">
        <v>0</v>
      </c>
      <c r="F46" s="142">
        <v>0</v>
      </c>
      <c r="G46" s="142">
        <v>0</v>
      </c>
      <c r="H46" s="142">
        <v>0</v>
      </c>
      <c r="I46" s="142">
        <v>0</v>
      </c>
      <c r="J46" s="142">
        <v>0</v>
      </c>
      <c r="K46" s="142">
        <v>0</v>
      </c>
      <c r="L46" s="142">
        <v>0</v>
      </c>
      <c r="M46" s="142">
        <v>0</v>
      </c>
      <c r="N46" s="142">
        <v>0</v>
      </c>
      <c r="O46" s="142">
        <v>0</v>
      </c>
      <c r="P46" s="142">
        <v>0</v>
      </c>
      <c r="Q46" s="142">
        <v>0</v>
      </c>
      <c r="R46" s="142">
        <v>0</v>
      </c>
      <c r="S46" s="142">
        <v>0</v>
      </c>
      <c r="T46" s="142">
        <v>0</v>
      </c>
      <c r="U46" s="142">
        <v>0</v>
      </c>
    </row>
    <row r="47" spans="1:31" x14ac:dyDescent="0.2">
      <c r="A47" s="113"/>
      <c r="B47" s="113"/>
      <c r="C47" s="11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</row>
    <row r="48" spans="1:31" x14ac:dyDescent="0.2">
      <c r="A48" s="144">
        <v>1808</v>
      </c>
      <c r="B48" s="171">
        <v>8.0000000000000004E-4</v>
      </c>
      <c r="C48" s="145"/>
      <c r="D48" s="168">
        <v>0</v>
      </c>
      <c r="E48" s="168">
        <v>0</v>
      </c>
      <c r="F48" s="168">
        <v>0</v>
      </c>
      <c r="G48" s="168">
        <v>0</v>
      </c>
      <c r="H48" s="168">
        <v>0</v>
      </c>
      <c r="I48" s="168">
        <v>0</v>
      </c>
      <c r="J48" s="168">
        <v>0</v>
      </c>
      <c r="K48" s="168">
        <v>0</v>
      </c>
      <c r="L48" s="168">
        <v>0</v>
      </c>
      <c r="M48" s="168">
        <v>0</v>
      </c>
      <c r="N48" s="168">
        <v>0</v>
      </c>
      <c r="O48" s="168">
        <v>0</v>
      </c>
      <c r="P48" s="168">
        <v>0</v>
      </c>
      <c r="Q48" s="168">
        <f t="shared" ref="Q48:U50" si="29">Q$106*$B48</f>
        <v>4.5761918654873219E-5</v>
      </c>
      <c r="R48" s="168">
        <f t="shared" si="29"/>
        <v>4.7472594819697155E-5</v>
      </c>
      <c r="S48" s="168">
        <f t="shared" si="29"/>
        <v>4.8854350559523918E-5</v>
      </c>
      <c r="T48" s="168">
        <f t="shared" si="29"/>
        <v>4.9907229903639483E-5</v>
      </c>
      <c r="U48" s="168">
        <f t="shared" si="29"/>
        <v>5.0960198444379317E-5</v>
      </c>
    </row>
    <row r="49" spans="1:21" x14ac:dyDescent="0.2">
      <c r="A49" s="144">
        <v>1815</v>
      </c>
      <c r="B49" s="171">
        <v>0.98040000000000005</v>
      </c>
      <c r="C49" s="145"/>
      <c r="D49" s="168">
        <v>0</v>
      </c>
      <c r="E49" s="168">
        <v>0</v>
      </c>
      <c r="F49" s="168">
        <v>0</v>
      </c>
      <c r="G49" s="168">
        <v>0</v>
      </c>
      <c r="H49" s="168">
        <v>0</v>
      </c>
      <c r="I49" s="168">
        <v>0</v>
      </c>
      <c r="J49" s="168">
        <v>0</v>
      </c>
      <c r="K49" s="168">
        <v>0</v>
      </c>
      <c r="L49" s="168">
        <v>0</v>
      </c>
      <c r="M49" s="168">
        <v>0</v>
      </c>
      <c r="N49" s="168">
        <v>0</v>
      </c>
      <c r="O49" s="168">
        <v>0</v>
      </c>
      <c r="P49" s="168">
        <v>0</v>
      </c>
      <c r="Q49" s="168">
        <f t="shared" si="29"/>
        <v>5.6081231311547131E-2</v>
      </c>
      <c r="R49" s="168">
        <f t="shared" si="29"/>
        <v>5.8177664951538859E-2</v>
      </c>
      <c r="S49" s="168">
        <f t="shared" si="29"/>
        <v>5.9871006610696567E-2</v>
      </c>
      <c r="T49" s="168">
        <f t="shared" si="29"/>
        <v>6.1161310246910183E-2</v>
      </c>
      <c r="U49" s="168">
        <f t="shared" si="29"/>
        <v>6.2451723193586849E-2</v>
      </c>
    </row>
    <row r="50" spans="1:21" x14ac:dyDescent="0.2">
      <c r="A50" s="144">
        <v>1955</v>
      </c>
      <c r="B50" s="171">
        <v>1.8800000000000001E-2</v>
      </c>
      <c r="C50" s="145"/>
      <c r="D50" s="168">
        <v>0</v>
      </c>
      <c r="E50" s="168">
        <v>0</v>
      </c>
      <c r="F50" s="168">
        <v>0</v>
      </c>
      <c r="G50" s="168">
        <v>0</v>
      </c>
      <c r="H50" s="168">
        <v>0</v>
      </c>
      <c r="I50" s="168">
        <v>0</v>
      </c>
      <c r="J50" s="168">
        <v>0</v>
      </c>
      <c r="K50" s="168">
        <v>0</v>
      </c>
      <c r="L50" s="168">
        <v>0</v>
      </c>
      <c r="M50" s="168">
        <v>0</v>
      </c>
      <c r="N50" s="168">
        <v>0</v>
      </c>
      <c r="O50" s="168">
        <v>0</v>
      </c>
      <c r="P50" s="168">
        <v>0</v>
      </c>
      <c r="Q50" s="168">
        <f t="shared" si="29"/>
        <v>1.0754050883895207E-3</v>
      </c>
      <c r="R50" s="168">
        <f t="shared" si="29"/>
        <v>1.115605978262883E-3</v>
      </c>
      <c r="S50" s="168">
        <f t="shared" si="29"/>
        <v>1.148077238148812E-3</v>
      </c>
      <c r="T50" s="168">
        <f t="shared" si="29"/>
        <v>1.1728199027355277E-3</v>
      </c>
      <c r="U50" s="168">
        <f t="shared" si="29"/>
        <v>1.1975646634429138E-3</v>
      </c>
    </row>
    <row r="52" spans="1:21" x14ac:dyDescent="0.2">
      <c r="A52" s="140" t="s">
        <v>60</v>
      </c>
      <c r="B52" s="140" t="s">
        <v>57</v>
      </c>
      <c r="C52" s="141"/>
      <c r="D52" s="141">
        <v>2010</v>
      </c>
      <c r="E52" s="141">
        <v>2011</v>
      </c>
      <c r="F52" s="141">
        <v>2012</v>
      </c>
      <c r="G52" s="141">
        <v>2013</v>
      </c>
      <c r="H52" s="141">
        <v>2014</v>
      </c>
      <c r="I52" s="141">
        <v>2015</v>
      </c>
      <c r="J52" s="141">
        <v>2016</v>
      </c>
      <c r="K52" s="141">
        <v>2017</v>
      </c>
      <c r="L52" s="141">
        <v>2018</v>
      </c>
      <c r="M52" s="141">
        <v>2019</v>
      </c>
      <c r="N52" s="141">
        <v>2020</v>
      </c>
      <c r="O52" s="141">
        <v>2021</v>
      </c>
      <c r="P52" s="141">
        <v>2022</v>
      </c>
      <c r="Q52" s="141">
        <v>2023</v>
      </c>
      <c r="R52" s="141">
        <v>2024</v>
      </c>
      <c r="S52" s="141">
        <v>2025</v>
      </c>
      <c r="T52" s="141">
        <v>2026</v>
      </c>
      <c r="U52" s="141">
        <v>2027</v>
      </c>
    </row>
    <row r="53" spans="1:21" x14ac:dyDescent="0.2">
      <c r="A53" s="113" t="s">
        <v>59</v>
      </c>
      <c r="B53" s="113"/>
      <c r="C53" s="113"/>
      <c r="D53" s="168">
        <f>'1 - Renewable Gen Invst Summary'!B39</f>
        <v>0.46186939431225843</v>
      </c>
      <c r="E53" s="168">
        <f>'1 - Renewable Gen Invst Summary'!C39</f>
        <v>4.0302076599488608</v>
      </c>
      <c r="F53" s="168">
        <f>'1 - Renewable Gen Invst Summary'!D39</f>
        <v>3.0041301611174624</v>
      </c>
      <c r="G53" s="168">
        <f>'1 - Renewable Gen Invst Summary'!E39</f>
        <v>1.2298697008999999</v>
      </c>
      <c r="H53" s="168">
        <f>'1 - Renewable Gen Invst Summary'!F39</f>
        <v>19.017334595839998</v>
      </c>
      <c r="I53" s="168">
        <f>'1 - Renewable Gen Invst Summary'!G39</f>
        <v>14.94765526528</v>
      </c>
      <c r="J53" s="168">
        <f>'1 - Renewable Gen Invst Summary'!H39</f>
        <v>14.343495115299998</v>
      </c>
      <c r="K53" s="168">
        <f>'1 - Renewable Gen Invst Summary'!I39</f>
        <v>2.5450490065600002</v>
      </c>
      <c r="L53" s="168">
        <f>'1 - Renewable Gen Invst Summary'!J39</f>
        <v>3.97797230202</v>
      </c>
      <c r="M53" s="168">
        <f>'1 - Renewable Gen Invst Summary'!K39</f>
        <v>4.5499432071800001</v>
      </c>
      <c r="N53" s="168">
        <f>'1 - Renewable Gen Invst Summary'!L39</f>
        <v>0.51112539750000008</v>
      </c>
      <c r="O53" s="168">
        <f>'1 - Renewable Gen Invst Summary'!M39</f>
        <v>0.14838658785999997</v>
      </c>
      <c r="P53" s="168">
        <f>'1 - Renewable Gen Invst Summary'!N39</f>
        <v>0.57532182639999996</v>
      </c>
      <c r="Q53" s="168">
        <f>'1 - Renewable Gen Invst Summary'!O39</f>
        <v>2.238695287710565</v>
      </c>
      <c r="R53" s="168">
        <f>'1 - Renewable Gen Invst Summary'!P39</f>
        <v>2.2386955179987376</v>
      </c>
      <c r="S53" s="168">
        <f>'1 - Renewable Gen Invst Summary'!Q39</f>
        <v>1.3778045376229353</v>
      </c>
      <c r="T53" s="168">
        <f>'1 - Renewable Gen Invst Summary'!R39</f>
        <v>1.3779200067413262</v>
      </c>
      <c r="U53" s="168">
        <f>'1 - Renewable Gen Invst Summary'!S39</f>
        <v>1.37803799393315</v>
      </c>
    </row>
    <row r="54" spans="1:21" x14ac:dyDescent="0.2">
      <c r="A54" s="113"/>
      <c r="B54" s="113"/>
      <c r="C54" s="113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69"/>
      <c r="U54" s="169"/>
    </row>
    <row r="55" spans="1:21" x14ac:dyDescent="0.2">
      <c r="A55" s="144">
        <v>1815</v>
      </c>
      <c r="B55" s="170">
        <v>0</v>
      </c>
      <c r="C55" s="171">
        <f>D55/D53</f>
        <v>5.9900000000000002E-2</v>
      </c>
      <c r="D55" s="168">
        <f>D$53*5.99%</f>
        <v>2.7665976719304281E-2</v>
      </c>
      <c r="E55" s="168">
        <f>E$53*5.99%</f>
        <v>0.24140943883093677</v>
      </c>
      <c r="F55" s="168">
        <f t="shared" ref="F55:H55" si="30">F$53*5.99%</f>
        <v>0.17994739665093601</v>
      </c>
      <c r="G55" s="168">
        <f t="shared" si="30"/>
        <v>7.3669195083909997E-2</v>
      </c>
      <c r="H55" s="168">
        <f t="shared" si="30"/>
        <v>1.1391383422908159</v>
      </c>
      <c r="I55" s="168">
        <f t="shared" ref="I55:U55" si="31">I$53*$B55</f>
        <v>0</v>
      </c>
      <c r="J55" s="168">
        <f t="shared" si="31"/>
        <v>0</v>
      </c>
      <c r="K55" s="168">
        <f t="shared" si="31"/>
        <v>0</v>
      </c>
      <c r="L55" s="168">
        <f t="shared" si="31"/>
        <v>0</v>
      </c>
      <c r="M55" s="168">
        <f t="shared" si="31"/>
        <v>0</v>
      </c>
      <c r="N55" s="168">
        <f t="shared" si="31"/>
        <v>0</v>
      </c>
      <c r="O55" s="168">
        <f t="shared" si="31"/>
        <v>0</v>
      </c>
      <c r="P55" s="168">
        <f t="shared" si="31"/>
        <v>0</v>
      </c>
      <c r="Q55" s="168">
        <f t="shared" si="31"/>
        <v>0</v>
      </c>
      <c r="R55" s="168">
        <f t="shared" si="31"/>
        <v>0</v>
      </c>
      <c r="S55" s="168">
        <f t="shared" si="31"/>
        <v>0</v>
      </c>
      <c r="T55" s="168">
        <f t="shared" si="31"/>
        <v>0</v>
      </c>
      <c r="U55" s="168">
        <f t="shared" si="31"/>
        <v>0</v>
      </c>
    </row>
    <row r="56" spans="1:21" x14ac:dyDescent="0.2">
      <c r="A56" s="144">
        <v>1820</v>
      </c>
      <c r="B56" s="170">
        <v>0.21</v>
      </c>
      <c r="C56" s="171">
        <f>D56/D53</f>
        <v>0</v>
      </c>
      <c r="D56" s="168"/>
      <c r="E56" s="168"/>
      <c r="F56" s="168"/>
      <c r="G56" s="168"/>
      <c r="H56" s="168"/>
      <c r="I56" s="168">
        <f t="shared" ref="I56:I61" si="32">I$53*$B56</f>
        <v>3.1390076057087999</v>
      </c>
      <c r="J56" s="168">
        <f t="shared" ref="J56:U56" si="33">J$53*$B56</f>
        <v>3.0121339742129996</v>
      </c>
      <c r="K56" s="168">
        <f t="shared" si="33"/>
        <v>0.53446029137759998</v>
      </c>
      <c r="L56" s="168">
        <f t="shared" si="33"/>
        <v>0.8353741834242</v>
      </c>
      <c r="M56" s="168">
        <f t="shared" si="33"/>
        <v>0.95548807350779996</v>
      </c>
      <c r="N56" s="168">
        <f t="shared" si="33"/>
        <v>0.10733633347500002</v>
      </c>
      <c r="O56" s="168">
        <f t="shared" si="33"/>
        <v>3.1161183450599993E-2</v>
      </c>
      <c r="P56" s="168">
        <f t="shared" si="33"/>
        <v>0.12081758354399999</v>
      </c>
      <c r="Q56" s="168">
        <f t="shared" si="33"/>
        <v>0.47012601041921864</v>
      </c>
      <c r="R56" s="168">
        <f t="shared" si="33"/>
        <v>0.47012605877973485</v>
      </c>
      <c r="S56" s="168">
        <f t="shared" si="33"/>
        <v>0.2893389529008164</v>
      </c>
      <c r="T56" s="168">
        <f t="shared" si="33"/>
        <v>0.28936320141567851</v>
      </c>
      <c r="U56" s="168">
        <f t="shared" si="33"/>
        <v>0.2893879787259615</v>
      </c>
    </row>
    <row r="57" spans="1:21" x14ac:dyDescent="0.2">
      <c r="A57" s="144">
        <v>1830</v>
      </c>
      <c r="B57" s="170">
        <v>0.09</v>
      </c>
      <c r="C57" s="171">
        <f>D57/D53</f>
        <v>6.2780000000000002E-2</v>
      </c>
      <c r="D57" s="168">
        <f>D$53*6.278%</f>
        <v>2.8996160574923584E-2</v>
      </c>
      <c r="E57" s="168">
        <f>$E$53*6.278%</f>
        <v>0.25301643689158948</v>
      </c>
      <c r="F57" s="168">
        <f>F$53*6.278%</f>
        <v>0.1885992915149543</v>
      </c>
      <c r="G57" s="168">
        <f>G$53*6.278%</f>
        <v>7.7211219822501995E-2</v>
      </c>
      <c r="H57" s="168">
        <f>H$53*6.278%</f>
        <v>1.1939082659268352</v>
      </c>
      <c r="I57" s="168">
        <f t="shared" si="32"/>
        <v>1.3452889738751999</v>
      </c>
      <c r="J57" s="168">
        <f t="shared" ref="J57:U59" si="34">J$53*$B57</f>
        <v>1.2909145603769998</v>
      </c>
      <c r="K57" s="168">
        <f t="shared" si="34"/>
        <v>0.22905441059040002</v>
      </c>
      <c r="L57" s="168">
        <f t="shared" si="34"/>
        <v>0.35801750718179998</v>
      </c>
      <c r="M57" s="168">
        <f t="shared" si="34"/>
        <v>0.40949488864619998</v>
      </c>
      <c r="N57" s="168">
        <f t="shared" si="34"/>
        <v>4.6001285775000005E-2</v>
      </c>
      <c r="O57" s="168">
        <f t="shared" si="34"/>
        <v>1.3354792907399998E-2</v>
      </c>
      <c r="P57" s="168">
        <f t="shared" si="34"/>
        <v>5.1778964375999992E-2</v>
      </c>
      <c r="Q57" s="168">
        <f t="shared" si="34"/>
        <v>0.20148257589395085</v>
      </c>
      <c r="R57" s="168">
        <f t="shared" si="34"/>
        <v>0.20148259661988638</v>
      </c>
      <c r="S57" s="168">
        <f t="shared" si="34"/>
        <v>0.12400240838606418</v>
      </c>
      <c r="T57" s="168">
        <f t="shared" si="34"/>
        <v>0.12401280060671935</v>
      </c>
      <c r="U57" s="168">
        <f t="shared" si="34"/>
        <v>0.12402341945398349</v>
      </c>
    </row>
    <row r="58" spans="1:21" x14ac:dyDescent="0.2">
      <c r="A58" s="144">
        <v>1835</v>
      </c>
      <c r="B58" s="170">
        <v>0.06</v>
      </c>
      <c r="C58" s="171">
        <f>D58/D53</f>
        <v>3.7130000000000003E-2</v>
      </c>
      <c r="D58" s="168">
        <f>D$53*3.713%</f>
        <v>1.7149210610814158E-2</v>
      </c>
      <c r="E58" s="168">
        <f>$E$53*3.713%</f>
        <v>0.14964161041390123</v>
      </c>
      <c r="F58" s="168">
        <f>F$53*3.713%</f>
        <v>0.11154335288229139</v>
      </c>
      <c r="G58" s="168">
        <f>G$53*3.713%</f>
        <v>4.5665061994417E-2</v>
      </c>
      <c r="H58" s="168">
        <f>H$53*3.713%</f>
        <v>0.70611363354353918</v>
      </c>
      <c r="I58" s="168">
        <f t="shared" si="32"/>
        <v>0.89685931591680002</v>
      </c>
      <c r="J58" s="168">
        <f t="shared" si="34"/>
        <v>0.86060970691799987</v>
      </c>
      <c r="K58" s="168">
        <f t="shared" si="34"/>
        <v>0.1527029403936</v>
      </c>
      <c r="L58" s="168">
        <f t="shared" si="34"/>
        <v>0.23867833812119998</v>
      </c>
      <c r="M58" s="168">
        <f t="shared" si="34"/>
        <v>0.27299659243079999</v>
      </c>
      <c r="N58" s="168">
        <f t="shared" si="34"/>
        <v>3.0667523850000003E-2</v>
      </c>
      <c r="O58" s="168">
        <f t="shared" si="34"/>
        <v>8.9031952715999986E-3</v>
      </c>
      <c r="P58" s="168">
        <f t="shared" si="34"/>
        <v>3.4519309583999999E-2</v>
      </c>
      <c r="Q58" s="168">
        <f t="shared" si="34"/>
        <v>0.13432171726263389</v>
      </c>
      <c r="R58" s="168">
        <f t="shared" si="34"/>
        <v>0.13432173107992426</v>
      </c>
      <c r="S58" s="168">
        <f t="shared" si="34"/>
        <v>8.2668272257376121E-2</v>
      </c>
      <c r="T58" s="168">
        <f t="shared" si="34"/>
        <v>8.2675200404479565E-2</v>
      </c>
      <c r="U58" s="168">
        <f t="shared" si="34"/>
        <v>8.2682279635988995E-2</v>
      </c>
    </row>
    <row r="59" spans="1:21" x14ac:dyDescent="0.2">
      <c r="A59" s="144">
        <v>1850</v>
      </c>
      <c r="B59" s="170">
        <v>0.28000000000000003</v>
      </c>
      <c r="C59" s="171">
        <f>D59/D53</f>
        <v>0.32052999999999998</v>
      </c>
      <c r="D59" s="168">
        <f>D$53*32.053%</f>
        <v>0.14804299695890819</v>
      </c>
      <c r="E59" s="168">
        <f>E$53*32.053%</f>
        <v>1.2918024612434083</v>
      </c>
      <c r="F59" s="168">
        <f>F$53*32.053%</f>
        <v>0.96291384054298024</v>
      </c>
      <c r="G59" s="168">
        <f>G$53*32.053%</f>
        <v>0.39421013522947695</v>
      </c>
      <c r="H59" s="168">
        <f>H$53*32.053%</f>
        <v>6.0956262580045939</v>
      </c>
      <c r="I59" s="168">
        <f t="shared" si="32"/>
        <v>4.1853434742784001</v>
      </c>
      <c r="J59" s="168">
        <f t="shared" si="34"/>
        <v>4.0161786322839994</v>
      </c>
      <c r="K59" s="168">
        <f t="shared" si="34"/>
        <v>0.71261372183680016</v>
      </c>
      <c r="L59" s="168">
        <f t="shared" si="34"/>
        <v>1.1138322445656001</v>
      </c>
      <c r="M59" s="168">
        <f t="shared" si="34"/>
        <v>1.2739840980104002</v>
      </c>
      <c r="N59" s="168">
        <f t="shared" si="34"/>
        <v>0.14311511130000004</v>
      </c>
      <c r="O59" s="168">
        <f t="shared" si="34"/>
        <v>4.1548244600799998E-2</v>
      </c>
      <c r="P59" s="168">
        <f t="shared" si="34"/>
        <v>0.161090111392</v>
      </c>
      <c r="Q59" s="168">
        <f t="shared" si="34"/>
        <v>0.6268346805589583</v>
      </c>
      <c r="R59" s="168">
        <f t="shared" si="34"/>
        <v>0.62683474503964653</v>
      </c>
      <c r="S59" s="168">
        <f t="shared" si="34"/>
        <v>0.38578527053442191</v>
      </c>
      <c r="T59" s="168">
        <f t="shared" si="34"/>
        <v>0.38581760188757136</v>
      </c>
      <c r="U59" s="168">
        <f t="shared" si="34"/>
        <v>0.38585063830128202</v>
      </c>
    </row>
    <row r="60" spans="1:21" x14ac:dyDescent="0.2">
      <c r="A60" s="144">
        <v>1860</v>
      </c>
      <c r="B60" s="170">
        <v>0.08</v>
      </c>
      <c r="C60" s="171">
        <f>D60/$D$53</f>
        <v>8.3219999999999988E-2</v>
      </c>
      <c r="D60" s="168">
        <f>D$53*8.322%</f>
        <v>3.8436770994666143E-2</v>
      </c>
      <c r="E60" s="168">
        <f>E$53*8.322%</f>
        <v>0.33539388146094412</v>
      </c>
      <c r="F60" s="168">
        <f>F$53*8.322%</f>
        <v>0.25000371200819521</v>
      </c>
      <c r="G60" s="168">
        <f>G$53*8.322%</f>
        <v>0.10234975650889798</v>
      </c>
      <c r="H60" s="168">
        <f>H$53*8.322%</f>
        <v>1.5826225850658044</v>
      </c>
      <c r="I60" s="168">
        <f t="shared" si="32"/>
        <v>1.1958124212223999</v>
      </c>
      <c r="J60" s="168">
        <f t="shared" ref="J60:Q61" si="35">J$53*$B60</f>
        <v>1.1474796092239998</v>
      </c>
      <c r="K60" s="168">
        <f t="shared" si="35"/>
        <v>0.20360392052480003</v>
      </c>
      <c r="L60" s="168">
        <f t="shared" si="35"/>
        <v>0.31823778416159998</v>
      </c>
      <c r="M60" s="168">
        <f t="shared" si="35"/>
        <v>0.36399545657440002</v>
      </c>
      <c r="N60" s="168">
        <f t="shared" si="35"/>
        <v>4.0890031800000004E-2</v>
      </c>
      <c r="O60" s="168">
        <f t="shared" si="35"/>
        <v>1.1870927028799999E-2</v>
      </c>
      <c r="P60" s="168">
        <f t="shared" si="35"/>
        <v>4.6025746111999999E-2</v>
      </c>
      <c r="Q60" s="168">
        <f t="shared" si="35"/>
        <v>0.1790956230168452</v>
      </c>
      <c r="R60" s="168">
        <f t="shared" ref="R60:U61" si="36">R$53*$B60</f>
        <v>0.17909564143989901</v>
      </c>
      <c r="S60" s="168">
        <f t="shared" si="36"/>
        <v>0.11022436300983483</v>
      </c>
      <c r="T60" s="168">
        <f t="shared" si="36"/>
        <v>0.1102336005393061</v>
      </c>
      <c r="U60" s="168">
        <f t="shared" si="36"/>
        <v>0.110243039514652</v>
      </c>
    </row>
    <row r="61" spans="1:21" x14ac:dyDescent="0.2">
      <c r="A61" s="144">
        <v>1980</v>
      </c>
      <c r="B61" s="170">
        <v>0.28000000000000003</v>
      </c>
      <c r="C61" s="171">
        <f>D61/$D$53</f>
        <v>0.43640000000000001</v>
      </c>
      <c r="D61" s="168">
        <f>D$53*43.64%</f>
        <v>0.20155980367786958</v>
      </c>
      <c r="E61" s="168">
        <f>E$53*43.64%</f>
        <v>1.758782622801683</v>
      </c>
      <c r="F61" s="168">
        <f>F$53*43.64%</f>
        <v>1.3110024023116607</v>
      </c>
      <c r="G61" s="168">
        <f>G$53*43.64%</f>
        <v>0.53671513747276001</v>
      </c>
      <c r="H61" s="168">
        <f>H$53*43.64%</f>
        <v>8.2991648176245754</v>
      </c>
      <c r="I61" s="168">
        <f t="shared" si="32"/>
        <v>4.1853434742784001</v>
      </c>
      <c r="J61" s="168">
        <f t="shared" si="35"/>
        <v>4.0161786322839994</v>
      </c>
      <c r="K61" s="168">
        <f t="shared" si="35"/>
        <v>0.71261372183680016</v>
      </c>
      <c r="L61" s="168">
        <f t="shared" si="35"/>
        <v>1.1138322445656001</v>
      </c>
      <c r="M61" s="168">
        <f t="shared" si="35"/>
        <v>1.2739840980104002</v>
      </c>
      <c r="N61" s="168">
        <f t="shared" si="35"/>
        <v>0.14311511130000004</v>
      </c>
      <c r="O61" s="168">
        <f t="shared" si="35"/>
        <v>4.1548244600799998E-2</v>
      </c>
      <c r="P61" s="168">
        <f t="shared" si="35"/>
        <v>0.161090111392</v>
      </c>
      <c r="Q61" s="168">
        <f>Q$53*$B61</f>
        <v>0.6268346805589583</v>
      </c>
      <c r="R61" s="168">
        <f t="shared" si="36"/>
        <v>0.62683474503964653</v>
      </c>
      <c r="S61" s="168">
        <f t="shared" si="36"/>
        <v>0.38578527053442191</v>
      </c>
      <c r="T61" s="168">
        <f t="shared" si="36"/>
        <v>0.38581760188757136</v>
      </c>
      <c r="U61" s="168">
        <f t="shared" si="36"/>
        <v>0.38585063830128202</v>
      </c>
    </row>
    <row r="81" spans="1:21" x14ac:dyDescent="0.2">
      <c r="A81" s="124" t="s">
        <v>41</v>
      </c>
    </row>
    <row r="82" spans="1:21" x14ac:dyDescent="0.2">
      <c r="A82" s="119" t="s">
        <v>61</v>
      </c>
      <c r="B82" s="119" t="s">
        <v>62</v>
      </c>
      <c r="C82" s="119">
        <v>2009</v>
      </c>
      <c r="D82" s="119">
        <v>2010</v>
      </c>
      <c r="E82" s="119">
        <v>2011</v>
      </c>
      <c r="F82" s="119">
        <v>2012</v>
      </c>
      <c r="G82" s="119">
        <v>2013</v>
      </c>
      <c r="H82" s="119">
        <v>2014</v>
      </c>
      <c r="I82" s="119">
        <v>2015</v>
      </c>
      <c r="J82" s="119">
        <v>2016</v>
      </c>
      <c r="K82" s="119">
        <v>2017</v>
      </c>
      <c r="L82" s="119">
        <v>2018</v>
      </c>
      <c r="M82" s="119">
        <v>2019</v>
      </c>
      <c r="N82" s="119">
        <v>2020</v>
      </c>
      <c r="O82" s="119">
        <v>2021</v>
      </c>
      <c r="P82" s="119">
        <v>2022</v>
      </c>
      <c r="Q82" s="119">
        <v>2023</v>
      </c>
      <c r="R82" s="119">
        <v>2024</v>
      </c>
      <c r="S82" s="119">
        <v>2025</v>
      </c>
      <c r="T82" s="119">
        <v>2026</v>
      </c>
      <c r="U82" s="119">
        <v>2027</v>
      </c>
    </row>
    <row r="83" spans="1:21" x14ac:dyDescent="0.2">
      <c r="A83" s="115" t="s">
        <v>63</v>
      </c>
      <c r="B83" s="120">
        <v>1.9255382663267564E-2</v>
      </c>
      <c r="D83" s="123">
        <v>0</v>
      </c>
      <c r="E83" s="123">
        <v>0</v>
      </c>
      <c r="F83" s="123">
        <v>0</v>
      </c>
      <c r="G83" s="123">
        <v>0</v>
      </c>
      <c r="H83" s="123">
        <v>0</v>
      </c>
      <c r="I83" s="123">
        <v>0</v>
      </c>
      <c r="J83" s="123">
        <v>0</v>
      </c>
      <c r="K83" s="123">
        <v>0</v>
      </c>
      <c r="L83" s="123">
        <v>0</v>
      </c>
      <c r="M83" s="123">
        <v>0</v>
      </c>
      <c r="N83" s="123">
        <v>0</v>
      </c>
      <c r="O83" s="123">
        <v>0</v>
      </c>
      <c r="P83" s="123">
        <v>0</v>
      </c>
      <c r="Q83" s="123">
        <v>0</v>
      </c>
      <c r="R83" s="123">
        <v>0</v>
      </c>
      <c r="S83" s="123">
        <v>0</v>
      </c>
      <c r="T83" s="123">
        <v>0</v>
      </c>
      <c r="U83" s="123">
        <v>0</v>
      </c>
    </row>
    <row r="84" spans="1:21" x14ac:dyDescent="0.2">
      <c r="A84" s="115" t="s">
        <v>64</v>
      </c>
      <c r="B84" s="120">
        <v>1.9141689520762527E-2</v>
      </c>
      <c r="D84" s="123">
        <f t="shared" ref="D84:D89" si="37">D55</f>
        <v>2.7665976719304281E-2</v>
      </c>
      <c r="E84" s="123">
        <f t="shared" ref="E84:U84" si="38">E55</f>
        <v>0.24140943883093677</v>
      </c>
      <c r="F84" s="123">
        <f t="shared" si="38"/>
        <v>0.17994739665093601</v>
      </c>
      <c r="G84" s="123">
        <f t="shared" si="38"/>
        <v>7.3669195083909997E-2</v>
      </c>
      <c r="H84" s="123">
        <f t="shared" si="38"/>
        <v>1.1391383422908159</v>
      </c>
      <c r="I84" s="123">
        <f t="shared" si="38"/>
        <v>0</v>
      </c>
      <c r="J84" s="123">
        <f t="shared" si="38"/>
        <v>0</v>
      </c>
      <c r="K84" s="123">
        <f t="shared" si="38"/>
        <v>0</v>
      </c>
      <c r="L84" s="123">
        <f t="shared" si="38"/>
        <v>0</v>
      </c>
      <c r="M84" s="123">
        <f t="shared" si="38"/>
        <v>0</v>
      </c>
      <c r="N84" s="123">
        <f t="shared" si="38"/>
        <v>0</v>
      </c>
      <c r="O84" s="123">
        <f t="shared" si="38"/>
        <v>0</v>
      </c>
      <c r="P84" s="123">
        <f t="shared" si="38"/>
        <v>0</v>
      </c>
      <c r="Q84" s="123">
        <f t="shared" si="38"/>
        <v>0</v>
      </c>
      <c r="R84" s="123">
        <f t="shared" si="38"/>
        <v>0</v>
      </c>
      <c r="S84" s="123">
        <f t="shared" si="38"/>
        <v>0</v>
      </c>
      <c r="T84" s="123">
        <f t="shared" si="38"/>
        <v>0</v>
      </c>
      <c r="U84" s="123">
        <f t="shared" si="38"/>
        <v>0</v>
      </c>
    </row>
    <row r="85" spans="1:21" x14ac:dyDescent="0.2">
      <c r="A85" s="115" t="s">
        <v>65</v>
      </c>
      <c r="B85" s="120">
        <v>2.0550788825142691E-2</v>
      </c>
      <c r="D85" s="123">
        <f t="shared" si="37"/>
        <v>0</v>
      </c>
      <c r="E85" s="123">
        <f t="shared" ref="E85:U85" si="39">E56</f>
        <v>0</v>
      </c>
      <c r="F85" s="123">
        <f t="shared" si="39"/>
        <v>0</v>
      </c>
      <c r="G85" s="123">
        <f t="shared" si="39"/>
        <v>0</v>
      </c>
      <c r="H85" s="123">
        <f t="shared" si="39"/>
        <v>0</v>
      </c>
      <c r="I85" s="123">
        <f t="shared" si="39"/>
        <v>3.1390076057087999</v>
      </c>
      <c r="J85" s="123">
        <f t="shared" si="39"/>
        <v>3.0121339742129996</v>
      </c>
      <c r="K85" s="123">
        <f t="shared" si="39"/>
        <v>0.53446029137759998</v>
      </c>
      <c r="L85" s="123">
        <f t="shared" si="39"/>
        <v>0.8353741834242</v>
      </c>
      <c r="M85" s="123">
        <f t="shared" si="39"/>
        <v>0.95548807350779996</v>
      </c>
      <c r="N85" s="123">
        <f t="shared" si="39"/>
        <v>0.10733633347500002</v>
      </c>
      <c r="O85" s="123">
        <f t="shared" si="39"/>
        <v>3.1161183450599993E-2</v>
      </c>
      <c r="P85" s="123">
        <f t="shared" si="39"/>
        <v>0.12081758354399999</v>
      </c>
      <c r="Q85" s="123">
        <f t="shared" si="39"/>
        <v>0.47012601041921864</v>
      </c>
      <c r="R85" s="123">
        <f t="shared" si="39"/>
        <v>0.47012605877973485</v>
      </c>
      <c r="S85" s="123">
        <f t="shared" si="39"/>
        <v>0.2893389529008164</v>
      </c>
      <c r="T85" s="123">
        <f t="shared" si="39"/>
        <v>0.28936320141567851</v>
      </c>
      <c r="U85" s="123">
        <f t="shared" si="39"/>
        <v>0.2893879787259615</v>
      </c>
    </row>
    <row r="86" spans="1:21" x14ac:dyDescent="0.2">
      <c r="A86" s="115" t="s">
        <v>66</v>
      </c>
      <c r="B86" s="120">
        <v>1.7056673789621109E-2</v>
      </c>
      <c r="D86" s="123">
        <f t="shared" si="37"/>
        <v>2.8996160574923584E-2</v>
      </c>
      <c r="E86" s="123">
        <f t="shared" ref="E86:U86" si="40">E57</f>
        <v>0.25301643689158948</v>
      </c>
      <c r="F86" s="123">
        <f t="shared" si="40"/>
        <v>0.1885992915149543</v>
      </c>
      <c r="G86" s="123">
        <f t="shared" si="40"/>
        <v>7.7211219822501995E-2</v>
      </c>
      <c r="H86" s="123">
        <f t="shared" si="40"/>
        <v>1.1939082659268352</v>
      </c>
      <c r="I86" s="123">
        <f t="shared" si="40"/>
        <v>1.3452889738751999</v>
      </c>
      <c r="J86" s="123">
        <f t="shared" si="40"/>
        <v>1.2909145603769998</v>
      </c>
      <c r="K86" s="123">
        <f t="shared" si="40"/>
        <v>0.22905441059040002</v>
      </c>
      <c r="L86" s="123">
        <f t="shared" si="40"/>
        <v>0.35801750718179998</v>
      </c>
      <c r="M86" s="123">
        <f t="shared" si="40"/>
        <v>0.40949488864619998</v>
      </c>
      <c r="N86" s="123">
        <f t="shared" si="40"/>
        <v>4.6001285775000005E-2</v>
      </c>
      <c r="O86" s="123">
        <f t="shared" si="40"/>
        <v>1.3354792907399998E-2</v>
      </c>
      <c r="P86" s="123">
        <f t="shared" si="40"/>
        <v>5.1778964375999992E-2</v>
      </c>
      <c r="Q86" s="123">
        <f t="shared" si="40"/>
        <v>0.20148257589395085</v>
      </c>
      <c r="R86" s="123">
        <f t="shared" si="40"/>
        <v>0.20148259661988638</v>
      </c>
      <c r="S86" s="123">
        <f t="shared" si="40"/>
        <v>0.12400240838606418</v>
      </c>
      <c r="T86" s="123">
        <f t="shared" si="40"/>
        <v>0.12401280060671935</v>
      </c>
      <c r="U86" s="123">
        <f t="shared" si="40"/>
        <v>0.12402341945398349</v>
      </c>
    </row>
    <row r="87" spans="1:21" x14ac:dyDescent="0.2">
      <c r="A87" s="115" t="s">
        <v>67</v>
      </c>
      <c r="B87" s="120">
        <v>1.591957830516846E-2</v>
      </c>
      <c r="D87" s="123">
        <f t="shared" si="37"/>
        <v>1.7149210610814158E-2</v>
      </c>
      <c r="E87" s="123">
        <f t="shared" ref="E87:U87" si="41">E58</f>
        <v>0.14964161041390123</v>
      </c>
      <c r="F87" s="123">
        <f t="shared" si="41"/>
        <v>0.11154335288229139</v>
      </c>
      <c r="G87" s="123">
        <f t="shared" si="41"/>
        <v>4.5665061994417E-2</v>
      </c>
      <c r="H87" s="123">
        <f t="shared" si="41"/>
        <v>0.70611363354353918</v>
      </c>
      <c r="I87" s="123">
        <f t="shared" si="41"/>
        <v>0.89685931591680002</v>
      </c>
      <c r="J87" s="123">
        <f t="shared" si="41"/>
        <v>0.86060970691799987</v>
      </c>
      <c r="K87" s="123">
        <f t="shared" si="41"/>
        <v>0.1527029403936</v>
      </c>
      <c r="L87" s="123">
        <f t="shared" si="41"/>
        <v>0.23867833812119998</v>
      </c>
      <c r="M87" s="123">
        <f t="shared" si="41"/>
        <v>0.27299659243079999</v>
      </c>
      <c r="N87" s="123">
        <f t="shared" si="41"/>
        <v>3.0667523850000003E-2</v>
      </c>
      <c r="O87" s="123">
        <f t="shared" si="41"/>
        <v>8.9031952715999986E-3</v>
      </c>
      <c r="P87" s="123">
        <f t="shared" si="41"/>
        <v>3.4519309583999999E-2</v>
      </c>
      <c r="Q87" s="123">
        <f t="shared" si="41"/>
        <v>0.13432171726263389</v>
      </c>
      <c r="R87" s="123">
        <f t="shared" si="41"/>
        <v>0.13432173107992426</v>
      </c>
      <c r="S87" s="123">
        <f t="shared" si="41"/>
        <v>8.2668272257376121E-2</v>
      </c>
      <c r="T87" s="123">
        <f t="shared" si="41"/>
        <v>8.2675200404479565E-2</v>
      </c>
      <c r="U87" s="123">
        <f t="shared" si="41"/>
        <v>8.2682279635988995E-2</v>
      </c>
    </row>
    <row r="88" spans="1:21" x14ac:dyDescent="0.2">
      <c r="A88" s="115" t="s">
        <v>68</v>
      </c>
      <c r="B88" s="120">
        <v>2.2617541631269489E-2</v>
      </c>
      <c r="D88" s="123">
        <f t="shared" si="37"/>
        <v>0.14804299695890819</v>
      </c>
      <c r="E88" s="123">
        <f t="shared" ref="E88:U88" si="42">E59</f>
        <v>1.2918024612434083</v>
      </c>
      <c r="F88" s="123">
        <f t="shared" si="42"/>
        <v>0.96291384054298024</v>
      </c>
      <c r="G88" s="123">
        <f t="shared" si="42"/>
        <v>0.39421013522947695</v>
      </c>
      <c r="H88" s="123">
        <f t="shared" si="42"/>
        <v>6.0956262580045939</v>
      </c>
      <c r="I88" s="123">
        <f t="shared" si="42"/>
        <v>4.1853434742784001</v>
      </c>
      <c r="J88" s="123">
        <f t="shared" si="42"/>
        <v>4.0161786322839994</v>
      </c>
      <c r="K88" s="123">
        <f t="shared" si="42"/>
        <v>0.71261372183680016</v>
      </c>
      <c r="L88" s="123">
        <f t="shared" si="42"/>
        <v>1.1138322445656001</v>
      </c>
      <c r="M88" s="123">
        <f t="shared" si="42"/>
        <v>1.2739840980104002</v>
      </c>
      <c r="N88" s="123">
        <f t="shared" si="42"/>
        <v>0.14311511130000004</v>
      </c>
      <c r="O88" s="123">
        <f t="shared" si="42"/>
        <v>4.1548244600799998E-2</v>
      </c>
      <c r="P88" s="123">
        <f t="shared" si="42"/>
        <v>0.161090111392</v>
      </c>
      <c r="Q88" s="123">
        <f t="shared" si="42"/>
        <v>0.6268346805589583</v>
      </c>
      <c r="R88" s="123">
        <f t="shared" si="42"/>
        <v>0.62683474503964653</v>
      </c>
      <c r="S88" s="123">
        <f t="shared" si="42"/>
        <v>0.38578527053442191</v>
      </c>
      <c r="T88" s="123">
        <f t="shared" si="42"/>
        <v>0.38581760188757136</v>
      </c>
      <c r="U88" s="123">
        <f t="shared" si="42"/>
        <v>0.38585063830128202</v>
      </c>
    </row>
    <row r="89" spans="1:21" x14ac:dyDescent="0.2">
      <c r="A89" s="115" t="s">
        <v>69</v>
      </c>
      <c r="B89" s="120">
        <v>5.3753021873700992E-2</v>
      </c>
      <c r="D89" s="123">
        <f t="shared" si="37"/>
        <v>3.8436770994666143E-2</v>
      </c>
      <c r="E89" s="123">
        <f t="shared" ref="E89:U89" si="43">E60</f>
        <v>0.33539388146094412</v>
      </c>
      <c r="F89" s="123">
        <f t="shared" si="43"/>
        <v>0.25000371200819521</v>
      </c>
      <c r="G89" s="123">
        <f t="shared" si="43"/>
        <v>0.10234975650889798</v>
      </c>
      <c r="H89" s="123">
        <f t="shared" si="43"/>
        <v>1.5826225850658044</v>
      </c>
      <c r="I89" s="123">
        <f t="shared" si="43"/>
        <v>1.1958124212223999</v>
      </c>
      <c r="J89" s="123">
        <f t="shared" si="43"/>
        <v>1.1474796092239998</v>
      </c>
      <c r="K89" s="123">
        <f t="shared" si="43"/>
        <v>0.20360392052480003</v>
      </c>
      <c r="L89" s="123">
        <f t="shared" si="43"/>
        <v>0.31823778416159998</v>
      </c>
      <c r="M89" s="123">
        <f t="shared" si="43"/>
        <v>0.36399545657440002</v>
      </c>
      <c r="N89" s="123">
        <f t="shared" si="43"/>
        <v>4.0890031800000004E-2</v>
      </c>
      <c r="O89" s="123">
        <f t="shared" si="43"/>
        <v>1.1870927028799999E-2</v>
      </c>
      <c r="P89" s="123">
        <f t="shared" si="43"/>
        <v>4.6025746111999999E-2</v>
      </c>
      <c r="Q89" s="123">
        <f t="shared" si="43"/>
        <v>0.1790956230168452</v>
      </c>
      <c r="R89" s="123">
        <f t="shared" si="43"/>
        <v>0.17909564143989901</v>
      </c>
      <c r="S89" s="123">
        <f t="shared" si="43"/>
        <v>0.11022436300983483</v>
      </c>
      <c r="T89" s="123">
        <f t="shared" si="43"/>
        <v>0.1102336005393061</v>
      </c>
      <c r="U89" s="123">
        <f t="shared" si="43"/>
        <v>0.110243039514652</v>
      </c>
    </row>
    <row r="90" spans="1:21" x14ac:dyDescent="0.2">
      <c r="A90" s="115" t="s">
        <v>70</v>
      </c>
      <c r="B90" s="120">
        <v>7.9531717592186441E-2</v>
      </c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</row>
    <row r="91" spans="1:21" x14ac:dyDescent="0.2">
      <c r="A91" s="115" t="s">
        <v>71</v>
      </c>
      <c r="B91" s="120">
        <v>0.16666666666666663</v>
      </c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</row>
    <row r="92" spans="1:21" x14ac:dyDescent="0.2">
      <c r="A92" s="115" t="s">
        <v>72</v>
      </c>
      <c r="B92" s="120">
        <v>0.12801360026371572</v>
      </c>
      <c r="D92" s="123">
        <v>0</v>
      </c>
      <c r="E92" s="123">
        <v>0</v>
      </c>
      <c r="F92" s="123">
        <v>0</v>
      </c>
      <c r="G92" s="123">
        <v>0</v>
      </c>
      <c r="H92" s="123">
        <v>0</v>
      </c>
      <c r="I92" s="123">
        <v>0</v>
      </c>
      <c r="J92" s="123">
        <v>0</v>
      </c>
      <c r="K92" s="123">
        <v>0</v>
      </c>
      <c r="L92" s="123">
        <v>0</v>
      </c>
      <c r="M92" s="123">
        <v>0</v>
      </c>
      <c r="N92" s="123">
        <v>0</v>
      </c>
      <c r="O92" s="123">
        <v>0</v>
      </c>
      <c r="P92" s="123">
        <v>0</v>
      </c>
      <c r="Q92" s="123">
        <v>0</v>
      </c>
      <c r="R92" s="123">
        <v>0</v>
      </c>
      <c r="S92" s="123">
        <v>0</v>
      </c>
      <c r="T92" s="123">
        <v>0</v>
      </c>
      <c r="U92" s="123">
        <v>0</v>
      </c>
    </row>
    <row r="93" spans="1:21" x14ac:dyDescent="0.2">
      <c r="A93" s="115" t="s">
        <v>73</v>
      </c>
      <c r="B93" s="120">
        <v>0.2</v>
      </c>
      <c r="D93" s="123">
        <v>0</v>
      </c>
      <c r="E93" s="123">
        <v>0</v>
      </c>
      <c r="F93" s="123">
        <v>0</v>
      </c>
      <c r="G93" s="123">
        <v>0</v>
      </c>
      <c r="H93" s="123">
        <v>0</v>
      </c>
      <c r="I93" s="123">
        <v>0</v>
      </c>
      <c r="J93" s="123">
        <v>0</v>
      </c>
      <c r="K93" s="123">
        <v>0</v>
      </c>
      <c r="L93" s="123">
        <v>0</v>
      </c>
      <c r="M93" s="123">
        <v>0</v>
      </c>
      <c r="N93" s="123">
        <v>0</v>
      </c>
      <c r="O93" s="123">
        <v>0</v>
      </c>
      <c r="P93" s="123">
        <v>0</v>
      </c>
      <c r="Q93" s="123">
        <v>0</v>
      </c>
      <c r="R93" s="123">
        <v>0</v>
      </c>
      <c r="S93" s="123">
        <v>0</v>
      </c>
      <c r="T93" s="123">
        <v>0</v>
      </c>
      <c r="U93" s="123">
        <v>0</v>
      </c>
    </row>
    <row r="94" spans="1:21" x14ac:dyDescent="0.2">
      <c r="A94" s="115" t="s">
        <v>74</v>
      </c>
      <c r="B94" s="120">
        <v>0</v>
      </c>
      <c r="D94" s="123">
        <v>0</v>
      </c>
      <c r="E94" s="123">
        <v>0</v>
      </c>
      <c r="F94" s="123">
        <v>0</v>
      </c>
      <c r="G94" s="123">
        <v>0</v>
      </c>
      <c r="H94" s="123">
        <v>0</v>
      </c>
      <c r="I94" s="123">
        <v>0</v>
      </c>
      <c r="J94" s="123">
        <v>0</v>
      </c>
      <c r="K94" s="123">
        <v>0</v>
      </c>
      <c r="L94" s="123">
        <v>0</v>
      </c>
      <c r="M94" s="123">
        <v>0</v>
      </c>
      <c r="N94" s="123">
        <v>0</v>
      </c>
      <c r="O94" s="123">
        <v>0</v>
      </c>
      <c r="P94" s="123">
        <v>0</v>
      </c>
      <c r="Q94" s="123">
        <v>0</v>
      </c>
      <c r="R94" s="123">
        <v>0</v>
      </c>
      <c r="S94" s="123">
        <v>0</v>
      </c>
      <c r="T94" s="123">
        <v>0</v>
      </c>
      <c r="U94" s="123">
        <v>0</v>
      </c>
    </row>
    <row r="95" spans="1:21" x14ac:dyDescent="0.2">
      <c r="A95" s="115" t="s">
        <v>75</v>
      </c>
      <c r="B95" s="120">
        <v>0</v>
      </c>
      <c r="D95" s="123">
        <v>0</v>
      </c>
      <c r="E95" s="123">
        <v>0</v>
      </c>
      <c r="F95" s="123">
        <v>0</v>
      </c>
      <c r="G95" s="123">
        <v>0</v>
      </c>
      <c r="H95" s="123">
        <v>0</v>
      </c>
      <c r="I95" s="123">
        <v>0</v>
      </c>
      <c r="J95" s="123">
        <v>0</v>
      </c>
      <c r="K95" s="123">
        <v>0</v>
      </c>
      <c r="L95" s="123">
        <v>0</v>
      </c>
      <c r="M95" s="123">
        <v>0</v>
      </c>
      <c r="N95" s="123">
        <v>0</v>
      </c>
      <c r="O95" s="123">
        <v>0</v>
      </c>
      <c r="P95" s="123">
        <v>0</v>
      </c>
      <c r="Q95" s="123">
        <v>0</v>
      </c>
      <c r="R95" s="123">
        <v>0</v>
      </c>
      <c r="S95" s="123">
        <v>0</v>
      </c>
      <c r="T95" s="123">
        <v>0</v>
      </c>
      <c r="U95" s="123">
        <v>0</v>
      </c>
    </row>
    <row r="96" spans="1:21" x14ac:dyDescent="0.2">
      <c r="A96" s="115" t="s">
        <v>76</v>
      </c>
      <c r="B96" s="120">
        <v>0.10051005061856569</v>
      </c>
      <c r="D96" s="123">
        <f>D61</f>
        <v>0.20155980367786958</v>
      </c>
      <c r="E96" s="123">
        <f t="shared" ref="E96:U96" si="44">E61</f>
        <v>1.758782622801683</v>
      </c>
      <c r="F96" s="123">
        <f t="shared" si="44"/>
        <v>1.3110024023116607</v>
      </c>
      <c r="G96" s="123">
        <f t="shared" si="44"/>
        <v>0.53671513747276001</v>
      </c>
      <c r="H96" s="123">
        <f t="shared" si="44"/>
        <v>8.2991648176245754</v>
      </c>
      <c r="I96" s="123">
        <f t="shared" si="44"/>
        <v>4.1853434742784001</v>
      </c>
      <c r="J96" s="123">
        <f t="shared" si="44"/>
        <v>4.0161786322839994</v>
      </c>
      <c r="K96" s="123">
        <f t="shared" si="44"/>
        <v>0.71261372183680016</v>
      </c>
      <c r="L96" s="123">
        <f t="shared" si="44"/>
        <v>1.1138322445656001</v>
      </c>
      <c r="M96" s="123">
        <f t="shared" si="44"/>
        <v>1.2739840980104002</v>
      </c>
      <c r="N96" s="123">
        <f t="shared" si="44"/>
        <v>0.14311511130000004</v>
      </c>
      <c r="O96" s="123">
        <f t="shared" si="44"/>
        <v>4.1548244600799998E-2</v>
      </c>
      <c r="P96" s="123">
        <f t="shared" si="44"/>
        <v>0.161090111392</v>
      </c>
      <c r="Q96" s="123">
        <f t="shared" si="44"/>
        <v>0.6268346805589583</v>
      </c>
      <c r="R96" s="123">
        <f t="shared" si="44"/>
        <v>0.62683474503964653</v>
      </c>
      <c r="S96" s="123">
        <f t="shared" si="44"/>
        <v>0.38578527053442191</v>
      </c>
      <c r="T96" s="123">
        <f t="shared" si="44"/>
        <v>0.38581760188757136</v>
      </c>
      <c r="U96" s="123">
        <f t="shared" si="44"/>
        <v>0.38585063830128202</v>
      </c>
    </row>
    <row r="97" spans="1:21" x14ac:dyDescent="0.2">
      <c r="A97" s="119" t="s">
        <v>77</v>
      </c>
      <c r="B97" s="119"/>
      <c r="C97" s="119">
        <v>0</v>
      </c>
      <c r="D97" s="129">
        <f>SUM(D83:D96)</f>
        <v>0.46185091953648594</v>
      </c>
      <c r="E97" s="129">
        <f t="shared" ref="E97:U97" si="45">SUM(E83:E96)</f>
        <v>4.0300464516424626</v>
      </c>
      <c r="F97" s="129">
        <f t="shared" si="45"/>
        <v>3.0040099959110176</v>
      </c>
      <c r="G97" s="129">
        <f t="shared" si="45"/>
        <v>1.229820506111964</v>
      </c>
      <c r="H97" s="129">
        <f t="shared" si="45"/>
        <v>19.016573902456166</v>
      </c>
      <c r="I97" s="129">
        <f t="shared" si="45"/>
        <v>14.947655265280002</v>
      </c>
      <c r="J97" s="129">
        <f t="shared" si="45"/>
        <v>14.343495115299998</v>
      </c>
      <c r="K97" s="129">
        <f t="shared" si="45"/>
        <v>2.5450490065600007</v>
      </c>
      <c r="L97" s="129">
        <f t="shared" si="45"/>
        <v>3.9779723020200004</v>
      </c>
      <c r="M97" s="129">
        <f t="shared" si="45"/>
        <v>4.5499432071800001</v>
      </c>
      <c r="N97" s="129">
        <f t="shared" si="45"/>
        <v>0.51112539750000008</v>
      </c>
      <c r="O97" s="129">
        <f t="shared" si="45"/>
        <v>0.14838658785999997</v>
      </c>
      <c r="P97" s="129">
        <f t="shared" si="45"/>
        <v>0.57532182639999996</v>
      </c>
      <c r="Q97" s="129">
        <f t="shared" si="45"/>
        <v>2.2386952877105655</v>
      </c>
      <c r="R97" s="129">
        <f t="shared" si="45"/>
        <v>2.2386955179987376</v>
      </c>
      <c r="S97" s="129">
        <f t="shared" si="45"/>
        <v>1.3778045376229353</v>
      </c>
      <c r="T97" s="129">
        <f t="shared" si="45"/>
        <v>1.3779200067413262</v>
      </c>
      <c r="U97" s="129">
        <f t="shared" si="45"/>
        <v>1.37803799393315</v>
      </c>
    </row>
    <row r="98" spans="1:21" x14ac:dyDescent="0.2"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</row>
    <row r="99" spans="1:21" x14ac:dyDescent="0.2"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</row>
    <row r="100" spans="1:21" x14ac:dyDescent="0.2">
      <c r="A100" s="124" t="s">
        <v>78</v>
      </c>
      <c r="D100" s="123"/>
      <c r="E100" s="123"/>
      <c r="F100" s="123"/>
      <c r="G100" s="123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</row>
    <row r="101" spans="1:21" x14ac:dyDescent="0.2">
      <c r="A101" s="119" t="s">
        <v>79</v>
      </c>
      <c r="D101" s="119">
        <v>2010</v>
      </c>
      <c r="E101" s="119">
        <v>2011</v>
      </c>
      <c r="F101" s="119">
        <v>2012</v>
      </c>
      <c r="G101" s="119">
        <v>2013</v>
      </c>
      <c r="H101" s="119">
        <v>2014</v>
      </c>
      <c r="I101" s="119">
        <v>2015</v>
      </c>
      <c r="J101" s="119">
        <v>2016</v>
      </c>
      <c r="K101" s="119">
        <v>2017</v>
      </c>
      <c r="L101" s="119">
        <v>2018</v>
      </c>
      <c r="M101" s="119">
        <v>2019</v>
      </c>
      <c r="N101" s="119">
        <v>2020</v>
      </c>
      <c r="O101" s="119">
        <v>2021</v>
      </c>
      <c r="P101" s="119">
        <v>2022</v>
      </c>
      <c r="Q101" s="119">
        <v>2023</v>
      </c>
      <c r="R101" s="119">
        <v>2024</v>
      </c>
      <c r="S101" s="119">
        <v>2025</v>
      </c>
      <c r="T101" s="119">
        <v>2026</v>
      </c>
      <c r="U101" s="119">
        <v>2027</v>
      </c>
    </row>
    <row r="102" spans="1:21" x14ac:dyDescent="0.2">
      <c r="A102" s="115" t="s">
        <v>63</v>
      </c>
      <c r="D102" s="123">
        <f>+D83/2*1.82%+SUM($C83:C83)*1.82%</f>
        <v>0</v>
      </c>
      <c r="E102" s="123">
        <f>+E83/2*1.82%+SUM($C83:D83)*1.82%</f>
        <v>0</v>
      </c>
      <c r="F102" s="123">
        <f>+F83/2*1.82%+SUM($C83:E83)*1.82%</f>
        <v>0</v>
      </c>
      <c r="G102" s="123">
        <f>+G83/2*1.82%+SUM($C83:F83)*1.82%</f>
        <v>0</v>
      </c>
      <c r="H102" s="123">
        <f>+H83/2*1.82%+SUM($C83:G83)*1.82%</f>
        <v>0</v>
      </c>
      <c r="I102" s="123">
        <f>+I83/2*1.82%+SUM($C83:H83)*1.82%</f>
        <v>0</v>
      </c>
      <c r="J102" s="123">
        <f>+J83/2*1.82%+SUM($C83:I83)*1.82%</f>
        <v>0</v>
      </c>
      <c r="K102" s="123">
        <f>+K83/2*1.82%+SUM($C83:J83)*1.82%</f>
        <v>0</v>
      </c>
      <c r="L102" s="123">
        <f>+L83/2*1.82%+SUM($C83:K83)*1.82%</f>
        <v>0</v>
      </c>
      <c r="M102" s="123">
        <f>+M83/2*1.82%+SUM($C83:L83)*1.82%</f>
        <v>0</v>
      </c>
      <c r="N102" s="123">
        <f>+N83/2*1.82%+SUM($C83:M83)*1.82%</f>
        <v>0</v>
      </c>
      <c r="O102" s="123">
        <f>+O83/2*1.82%+SUM($C83:N83)*1.82%</f>
        <v>0</v>
      </c>
      <c r="P102" s="123">
        <f>+P83/2*1.82%+SUM($C83:O83)*1.82%</f>
        <v>0</v>
      </c>
      <c r="Q102" s="123">
        <f>+Q83/2*$B83+SUM($C83:P83)*$B83</f>
        <v>0</v>
      </c>
      <c r="R102" s="123">
        <f>+R83/2*$B83+SUM($C83:Q83)*$B83</f>
        <v>0</v>
      </c>
      <c r="S102" s="123">
        <f>+S83/2*$B83+SUM($C83:R83)*$B83</f>
        <v>0</v>
      </c>
      <c r="T102" s="123">
        <f>+T83/2*$B83+SUM($C83:S83)*$B83</f>
        <v>0</v>
      </c>
      <c r="U102" s="123">
        <f>+U83/2*$B83+SUM($C83:T83)*$B83</f>
        <v>0</v>
      </c>
    </row>
    <row r="103" spans="1:21" x14ac:dyDescent="0.2">
      <c r="A103" s="115" t="s">
        <v>64</v>
      </c>
      <c r="C103" s="122"/>
      <c r="D103" s="123">
        <f>+D84/2*1.98%+SUM($C84:C84)*1.98%</f>
        <v>2.7389316952111236E-4</v>
      </c>
      <c r="E103" s="123">
        <f>+E84/2*1.98%+SUM($C84:D84)*1.98%</f>
        <v>2.9377397834684984E-3</v>
      </c>
      <c r="F103" s="123">
        <f>+F84/2*1.98%+SUM($C84:E84)*1.98%</f>
        <v>7.1091724547390385E-3</v>
      </c>
      <c r="G103" s="123">
        <f>+G84/2*1.98%+SUM($C84:F84)*1.98%</f>
        <v>9.6199767129140131E-3</v>
      </c>
      <c r="H103" s="123">
        <f>+H84/2*1.98%+SUM($C84:G84)*1.98%</f>
        <v>2.1626771332923796E-2</v>
      </c>
      <c r="I103" s="123">
        <f>+I84/2*1.98%+SUM($C84:H84)*1.98%</f>
        <v>3.2904240921602879E-2</v>
      </c>
      <c r="J103" s="123">
        <f>+J84/2*2.23%+SUM($C84:I84)*2.23%</f>
        <v>3.705881679554264E-2</v>
      </c>
      <c r="K103" s="123">
        <f>+K84/2*2.23%+SUM($C84:J84)*2.23%</f>
        <v>3.705881679554264E-2</v>
      </c>
      <c r="L103" s="123">
        <f>+L84/2*2.23%+SUM($C84:K84)*2.23%</f>
        <v>3.705881679554264E-2</v>
      </c>
      <c r="M103" s="123">
        <f>+M84/2*2.23%+SUM($C84:L84)*2.23%</f>
        <v>3.705881679554264E-2</v>
      </c>
      <c r="N103" s="123">
        <f>+N84/2*2.23%+SUM($C84:M84)*2.23%</f>
        <v>3.705881679554264E-2</v>
      </c>
      <c r="O103" s="123">
        <f>+O84/2*2.23%+SUM($C84:N84)*2.23%</f>
        <v>3.705881679554264E-2</v>
      </c>
      <c r="P103" s="123">
        <f>+P84/2*2.23%+SUM($C84:O84)*2.23%</f>
        <v>3.705881679554264E-2</v>
      </c>
      <c r="Q103" s="123">
        <f>+Q84/2*$B84+SUM($C84:P84)*$B84</f>
        <v>3.181024058776219E-2</v>
      </c>
      <c r="R103" s="123">
        <f>+R84/2*$B84+SUM($C84:Q84)*$B84</f>
        <v>3.181024058776219E-2</v>
      </c>
      <c r="S103" s="123">
        <f>+S84/2*$B84+SUM($C84:R84)*$B84</f>
        <v>3.181024058776219E-2</v>
      </c>
      <c r="T103" s="123">
        <f>+T84/2*$B84+SUM($C84:S84)*$B84</f>
        <v>3.181024058776219E-2</v>
      </c>
      <c r="U103" s="123">
        <f>+U84/2*$B84+SUM($C84:T84)*$B84</f>
        <v>3.181024058776219E-2</v>
      </c>
    </row>
    <row r="104" spans="1:21" x14ac:dyDescent="0.2">
      <c r="A104" s="115" t="s">
        <v>65</v>
      </c>
      <c r="D104" s="123">
        <f>+D85/2*1.97%+SUM($C85:C85)*1.97%</f>
        <v>0</v>
      </c>
      <c r="E104" s="123">
        <f>+E85/2*1.97%+SUM($C85:D85)*1.97%</f>
        <v>0</v>
      </c>
      <c r="F104" s="123">
        <f>+F85/2*1.97%+SUM($C85:E85)*1.97%</f>
        <v>0</v>
      </c>
      <c r="G104" s="123">
        <f>+G85/2*1.97%+SUM($C85:F85)*1.97%</f>
        <v>0</v>
      </c>
      <c r="H104" s="123">
        <f>+H85/2*1.97%+SUM($C85:G85)*1.97%</f>
        <v>0</v>
      </c>
      <c r="I104" s="123">
        <f>+I85/2*1.97%+SUM($C85:H85)*1.97%</f>
        <v>3.0919224916231676E-2</v>
      </c>
      <c r="J104" s="123">
        <f>+J85/2*2.7%+SUM($C85:I85)*2.7%</f>
        <v>0.1254170140060131</v>
      </c>
      <c r="K104" s="123">
        <f>+K85/2*2.7%+SUM($C85:J85)*2.7%</f>
        <v>0.17329603659148621</v>
      </c>
      <c r="L104" s="123">
        <f>+L85/2*2.7%+SUM($C85:K85)*2.7%</f>
        <v>0.19178880200131049</v>
      </c>
      <c r="M104" s="123">
        <f>+M85/2*2.7%+SUM($C85:L85)*2.7%</f>
        <v>0.21596544246989252</v>
      </c>
      <c r="N104" s="123">
        <f>+N85/2*2.7%+SUM($C85:M85)*2.7%</f>
        <v>0.2303135719641603</v>
      </c>
      <c r="O104" s="123">
        <f>+O85/2*2.7%+SUM($C85:N85)*2.7%</f>
        <v>0.2321832884426559</v>
      </c>
      <c r="P104" s="123">
        <f>+P85/2*2.7%+SUM($C85:O85)*2.7%</f>
        <v>0.23423500179708301</v>
      </c>
      <c r="Q104" s="123">
        <f>+Q85/2*$B85+SUM($C85:P85)*$B85</f>
        <v>0.1843578843327682</v>
      </c>
      <c r="R104" s="123">
        <f>+R85/2*$B85+SUM($C85:Q85)*$B85</f>
        <v>0.19401934519102376</v>
      </c>
      <c r="S104" s="123">
        <f>+S85/2*$B85+SUM($C85:R85)*$B85</f>
        <v>0.20182314772858956</v>
      </c>
      <c r="T104" s="123">
        <f>+T85/2*$B85+SUM($C85:S85)*$B85</f>
        <v>0.20776954061159625</v>
      </c>
      <c r="U104" s="123">
        <f>+U85/2*$B85+SUM($C85:T85)*$B85</f>
        <v>0.21371643725429273</v>
      </c>
    </row>
    <row r="105" spans="1:21" x14ac:dyDescent="0.2">
      <c r="A105" s="115" t="s">
        <v>66</v>
      </c>
      <c r="D105" s="123">
        <f>+D86/2*1.83%+SUM($C86:C86)*1.83%</f>
        <v>2.653148692605508E-4</v>
      </c>
      <c r="E105" s="123">
        <f>+E86/2*1.83%+SUM($C86:D86)*1.83%</f>
        <v>2.8457301360791457E-3</v>
      </c>
      <c r="F105" s="123">
        <f>+F86/2*1.83%+SUM($C86:E86)*1.83%</f>
        <v>6.8865140509990208E-3</v>
      </c>
      <c r="G105" s="123">
        <f>+G86/2*1.83%+SUM($C86:F86)*1.83%</f>
        <v>9.3186802297367463E-3</v>
      </c>
      <c r="H105" s="123">
        <f>+H86/2*1.83%+SUM($C86:G86)*1.83%</f>
        <v>2.0949423524343182E-2</v>
      </c>
      <c r="I105" s="123">
        <f>+I86/2*1.83%+SUM($C86:H86)*1.83%</f>
        <v>4.4183078268531802E-2</v>
      </c>
      <c r="J105" s="123">
        <f>+J86/2*1.7%+SUM($C86:I86)*1.7%</f>
        <v>6.3452119689506578E-2</v>
      </c>
      <c r="K105" s="123">
        <f>+K86/2*1.7%+SUM($C86:J86)*1.7%</f>
        <v>7.637185594272948E-2</v>
      </c>
      <c r="L105" s="123">
        <f>+L86/2*1.7%+SUM($C86:K86)*1.7%</f>
        <v>8.1361967243793173E-2</v>
      </c>
      <c r="M105" s="123">
        <f>+M86/2*1.7%+SUM($C86:L86)*1.7%</f>
        <v>8.7885822608331179E-2</v>
      </c>
      <c r="N105" s="123">
        <f>+N86/2*1.7%+SUM($C86:M86)*1.7%</f>
        <v>9.1757540090911374E-2</v>
      </c>
      <c r="O105" s="123">
        <f>+O86/2*1.7%+SUM($C86:N86)*1.7%</f>
        <v>9.2262066759711769E-2</v>
      </c>
      <c r="P105" s="123">
        <f>+P86/2*1.7%+SUM($C86:O86)*1.7%</f>
        <v>9.2815703696620663E-2</v>
      </c>
      <c r="Q105" s="123">
        <f>+Q86/2*$B86+SUM($C86:P86)*$B86</f>
        <v>9.5285028003061281E-2</v>
      </c>
      <c r="R105" s="123">
        <f>+R86/2*$B86+SUM($C86:Q86)*$B86</f>
        <v>9.8721650751134746E-2</v>
      </c>
      <c r="S105" s="123">
        <f>+S86/2*$B86+SUM($C86:R86)*$B86</f>
        <v>0.10149749652803459</v>
      </c>
      <c r="T105" s="123">
        <f>+T86/2*$B86+SUM($C86:S86)*$B86</f>
        <v>0.10361265378536191</v>
      </c>
      <c r="U105" s="123">
        <f>+U86/2*$B86+SUM($C86:T86)*$B86</f>
        <v>0.10572799023215493</v>
      </c>
    </row>
    <row r="106" spans="1:21" x14ac:dyDescent="0.2">
      <c r="A106" s="115" t="s">
        <v>67</v>
      </c>
      <c r="D106" s="123">
        <f>+D87/2*2.14%+SUM($C87:C87)*2.14%</f>
        <v>1.834965535357115E-4</v>
      </c>
      <c r="E106" s="123">
        <f>+E87/2*2.14%+SUM($C87:D87)*2.14%</f>
        <v>1.9681583385001661E-3</v>
      </c>
      <c r="F106" s="123">
        <f>+F87/2*2.14%+SUM($C87:E87)*2.14%</f>
        <v>4.7628374457694272E-3</v>
      </c>
      <c r="G106" s="123">
        <f>+G87/2*2.14%+SUM($C87:F87)*2.14%</f>
        <v>6.4449674849502078E-3</v>
      </c>
      <c r="H106" s="123">
        <f>+H87/2*2.14%+SUM($C87:G87)*2.14%</f>
        <v>1.448899952720634E-2</v>
      </c>
      <c r="I106" s="123">
        <f>+I87/2*2.14%+SUM($C87:H87)*2.14%</f>
        <v>3.1640810086431978E-2</v>
      </c>
      <c r="J106" s="123">
        <f>+J87/2*1.69%+SUM($C87:I87)*1.69%</f>
        <v>3.9837981956070884E-2</v>
      </c>
      <c r="K106" s="123">
        <f>+K87/2*1.69%+SUM($C87:J87)*1.69%</f>
        <v>4.8400473825853906E-2</v>
      </c>
      <c r="L106" s="123">
        <f>+L87/2*1.69%+SUM($C87:K87)*1.69%</f>
        <v>5.1707645629303967E-2</v>
      </c>
      <c r="M106" s="123">
        <f>+M87/2*1.69%+SUM($C87:L87)*1.69%</f>
        <v>5.6031298792468369E-2</v>
      </c>
      <c r="N106" s="123">
        <f>+N87/2*1.69%+SUM($C87:M87)*1.69%</f>
        <v>5.8597260575041131E-2</v>
      </c>
      <c r="O106" s="123">
        <f>+O87/2*1.69%+SUM($C87:N87)*1.69%</f>
        <v>5.8931633151618652E-2</v>
      </c>
      <c r="P106" s="123">
        <f>+P87/2*1.69%+SUM($C87:O87)*1.69%</f>
        <v>5.9298553317648467E-2</v>
      </c>
      <c r="Q106" s="123">
        <f>+Q87/2*$B87+SUM($C87:P87)*$B87</f>
        <v>5.7202398318591523E-2</v>
      </c>
      <c r="R106" s="123">
        <f>+R87/2*$B87+SUM($C87:Q87)*$B87</f>
        <v>5.9340743524621438E-2</v>
      </c>
      <c r="S106" s="123">
        <f>+S87/2*$B87+SUM($C87:R87)*$B87</f>
        <v>6.1067938199404898E-2</v>
      </c>
      <c r="T106" s="123">
        <f>+T87/2*$B87+SUM($C87:S87)*$B87</f>
        <v>6.2384037379549347E-2</v>
      </c>
      <c r="U106" s="123">
        <f>+U87/2*$B87+SUM($C87:T87)*$B87</f>
        <v>6.370024805547414E-2</v>
      </c>
    </row>
    <row r="107" spans="1:21" x14ac:dyDescent="0.2">
      <c r="A107" s="115" t="s">
        <v>68</v>
      </c>
      <c r="D107" s="123">
        <f>+D88/2*2.06%+SUM($C88:C88)*2.06%</f>
        <v>1.5248428686767542E-3</v>
      </c>
      <c r="E107" s="123">
        <f>+E88/2*2.06%+SUM($C88:D88)*2.06%</f>
        <v>1.6355251088160615E-2</v>
      </c>
      <c r="F107" s="123">
        <f>+F88/2*2.06%+SUM($C88:E88)*2.06%</f>
        <v>3.9578828996560414E-2</v>
      </c>
      <c r="G107" s="123">
        <f>+G88/2*2.06%+SUM($C88:F88)*2.06%</f>
        <v>5.3557205947016726E-2</v>
      </c>
      <c r="H107" s="123">
        <f>+H88/2*2.06%+SUM($C88:G88)*2.06%</f>
        <v>0.12040252079732766</v>
      </c>
      <c r="I107" s="123">
        <f>+I88/2*2.06%+SUM($C88:H88)*2.06%</f>
        <v>0.22629650903984252</v>
      </c>
      <c r="J107" s="123">
        <f>+J88/2*2.31%+SUM($C88:I88)*2.31%</f>
        <v>0.3484872579434346</v>
      </c>
      <c r="K107" s="123">
        <f>+K88/2*2.31%+SUM($C88:J88)*2.31%</f>
        <v>0.40310480963352985</v>
      </c>
      <c r="L107" s="123">
        <f>+L88/2*2.31%+SUM($C88:K88)*2.31%</f>
        <v>0.42420026054547755</v>
      </c>
      <c r="M107" s="123">
        <f>+M88/2*2.31%+SUM($C88:L88)*2.31%</f>
        <v>0.45177953930223036</v>
      </c>
      <c r="N107" s="123">
        <f>+N88/2*2.31%+SUM($C88:M88)*2.31%</f>
        <v>0.46814703516976547</v>
      </c>
      <c r="O107" s="123">
        <f>+O88/2*2.31%+SUM($C88:N88)*2.31%</f>
        <v>0.47027989693041961</v>
      </c>
      <c r="P107" s="123">
        <f>+P88/2*2.31%+SUM($C88:O88)*2.31%</f>
        <v>0.47262036994213646</v>
      </c>
      <c r="Q107" s="123">
        <f>+Q88/2*$B88+SUM($C88:P88)*$B88</f>
        <v>0.47165985019742268</v>
      </c>
      <c r="R107" s="123">
        <f>+R88/2*$B88+SUM($C88:Q88)*$B88</f>
        <v>0.48583731041008577</v>
      </c>
      <c r="S107" s="123">
        <f>+S88/2*$B88+SUM($C88:R88)*$B88</f>
        <v>0.49728879808953741</v>
      </c>
      <c r="T107" s="123">
        <f>+T88/2*$B88+SUM($C88:S88)*$B88</f>
        <v>0.50601467813444323</v>
      </c>
      <c r="U107" s="123">
        <f>+U88/2*$B88+SUM($C88:T88)*$B88</f>
        <v>0.5147412974084431</v>
      </c>
    </row>
    <row r="108" spans="1:21" x14ac:dyDescent="0.2">
      <c r="A108" s="115" t="s">
        <v>69</v>
      </c>
      <c r="D108" s="123">
        <f>+D89/2*20%+SUM($C89:C89)*20%</f>
        <v>3.8436770994666144E-3</v>
      </c>
      <c r="E108" s="123">
        <f>+E89/2*20%+SUM($C89:D89)*20%</f>
        <v>4.1226742345027642E-2</v>
      </c>
      <c r="F108" s="123">
        <f>+F89/2*20%+SUM($C89:E89)*20%</f>
        <v>9.9766501691941581E-2</v>
      </c>
      <c r="G108" s="123">
        <f>+G89/2*20%+SUM($C89:F89)*20%</f>
        <v>0.13500184854365091</v>
      </c>
      <c r="H108" s="123">
        <f>+H89/2*20%+SUM($C89:G89)*20%</f>
        <v>0.30349908270112114</v>
      </c>
      <c r="I108" s="123">
        <f>+I89/2*20%+SUM($C89:H89)*20%</f>
        <v>0.5813425833299416</v>
      </c>
      <c r="J108" s="123">
        <f>+J89/2*4.89%+SUM($C89:I89)*4.89%</f>
        <v>0.19943175176858516</v>
      </c>
      <c r="K108" s="123">
        <f>+K89/2*4.89%+SUM($C89:J89)*4.89%</f>
        <v>0.23246574407094334</v>
      </c>
      <c r="L108" s="123">
        <f>+L89/2*4.89%+SUM($C89:K89)*4.89%</f>
        <v>0.24522477375052579</v>
      </c>
      <c r="M108" s="123">
        <f>+M89/2*4.89%+SUM($C89:L89)*4.89%</f>
        <v>0.26190537648652101</v>
      </c>
      <c r="N108" s="123">
        <f>+N89/2*4.89%+SUM($C89:M89)*4.89%</f>
        <v>0.27180482667727507</v>
      </c>
      <c r="O108" s="123">
        <f>+O89/2*4.89%+SUM($C89:N89)*4.89%</f>
        <v>0.27309483212063923</v>
      </c>
      <c r="P108" s="123">
        <f>+P89/2*6.63%+SUM($C89:O89)*6.63%</f>
        <v>0.37218895507450261</v>
      </c>
      <c r="Q108" s="123">
        <f>+Q89/2*$B89+SUM($C89:P89)*$B89</f>
        <v>0.30780433882894692</v>
      </c>
      <c r="R108" s="123">
        <f>+R89/2*$B89+SUM($C89:Q89)*$B89</f>
        <v>0.31743127026560292</v>
      </c>
      <c r="S108" s="123">
        <f>+S89/2*$B89+SUM($C89:R89)*$B89</f>
        <v>0.3252071825294458</v>
      </c>
      <c r="T108" s="123">
        <f>+T89/2*$B89+SUM($C89:S89)*$B89</f>
        <v>0.33113232339789012</v>
      </c>
      <c r="U108" s="123">
        <f>+U89/2*$B89+SUM($C89:T89)*$B89</f>
        <v>0.3370579662256204</v>
      </c>
    </row>
    <row r="109" spans="1:21" x14ac:dyDescent="0.2">
      <c r="A109" s="115" t="s">
        <v>72</v>
      </c>
      <c r="D109" s="123">
        <f>+D92/2*$B92+SUM($C92:C92)*$B92</f>
        <v>0</v>
      </c>
      <c r="E109" s="123">
        <f>+E92/2*$B92+SUM($C92:D92)*$B92</f>
        <v>0</v>
      </c>
      <c r="F109" s="123">
        <f>+F92/2*$B92+SUM($C92:E92)*$B92</f>
        <v>0</v>
      </c>
      <c r="G109" s="123">
        <f>+G92/2*$B92+SUM($C92:F92)*$B92</f>
        <v>0</v>
      </c>
      <c r="H109" s="123">
        <f>+H92/2*$B92+SUM($C92:G92)*$B92</f>
        <v>0</v>
      </c>
      <c r="I109" s="123">
        <f>+I92/2*$B92+SUM($C92:H92)*$B92</f>
        <v>0</v>
      </c>
      <c r="J109" s="123">
        <f>+J92/2*$B92+SUM($C92:I92)*$B92</f>
        <v>0</v>
      </c>
      <c r="K109" s="123">
        <f>+K92/2*$B92+SUM($C92:J92)*$B92</f>
        <v>0</v>
      </c>
      <c r="L109" s="123">
        <f>+L92/2*$B92+SUM($C92:K92)*$B92</f>
        <v>0</v>
      </c>
      <c r="M109" s="123">
        <f>+M92/2*$B92+SUM($C92:L92)*$B92</f>
        <v>0</v>
      </c>
      <c r="N109" s="123">
        <f>+N92/2*$B92+SUM($C92:M92)*$B92</f>
        <v>0</v>
      </c>
      <c r="O109" s="123">
        <f>+O92/2*$B92+SUM($C92:N92)*$B92</f>
        <v>0</v>
      </c>
      <c r="P109" s="123">
        <f>+P92/2*$B92+SUM($C92:O92)*$B92</f>
        <v>0</v>
      </c>
      <c r="Q109" s="123">
        <f>+Q92/2*$B92+SUM($C92:P92)*$B92</f>
        <v>0</v>
      </c>
      <c r="R109" s="123">
        <f>+R92/2*$B92+SUM($C92:Q92)*$B92</f>
        <v>0</v>
      </c>
      <c r="S109" s="123">
        <f>+S92/2*$B92+SUM($C92:R92)*$B92</f>
        <v>0</v>
      </c>
      <c r="T109" s="123">
        <f>+T92/2*$B92+SUM($C92:S92)*$B92</f>
        <v>0</v>
      </c>
      <c r="U109" s="123">
        <f>+U92/2*$B92+SUM($C92:T92)*$B92</f>
        <v>0</v>
      </c>
    </row>
    <row r="110" spans="1:21" x14ac:dyDescent="0.2">
      <c r="A110" s="115" t="s">
        <v>73</v>
      </c>
      <c r="D110" s="123">
        <f>+D93/2*$B93+SUM($C93:C93)*$B93</f>
        <v>0</v>
      </c>
      <c r="E110" s="123">
        <f>+E93/2*$B93+SUM($C93:D93)*$B93</f>
        <v>0</v>
      </c>
      <c r="F110" s="123">
        <f>+F93/2*$B93+SUM($C93:E93)*$B93</f>
        <v>0</v>
      </c>
      <c r="G110" s="123">
        <f>+G93/2*$B93+SUM($C93:F93)*$B93</f>
        <v>0</v>
      </c>
      <c r="H110" s="123">
        <f>+H93/2*$B93+SUM($C93:G93)*$B93</f>
        <v>0</v>
      </c>
      <c r="I110" s="123">
        <f>+I93/2*$B93+SUM($C93:H93)*$B93</f>
        <v>0</v>
      </c>
      <c r="J110" s="123">
        <f>+J93/2*$B93+SUM($C93:I93)*$B93</f>
        <v>0</v>
      </c>
      <c r="K110" s="123">
        <f>+K93/2*$B93+SUM($C93:J93)*$B93</f>
        <v>0</v>
      </c>
      <c r="L110" s="123">
        <f>+L93/2*$B93+SUM($C93:K93)*$B93</f>
        <v>0</v>
      </c>
      <c r="M110" s="123">
        <f>+M93/2*$B93+SUM($C93:L93)*$B93</f>
        <v>0</v>
      </c>
      <c r="N110" s="123">
        <f>+N93/2*$B93+SUM($C93:M93)*$B93</f>
        <v>0</v>
      </c>
      <c r="O110" s="123">
        <f>+O93/2*$B93+SUM($C93:N93)*$B93</f>
        <v>0</v>
      </c>
      <c r="P110" s="123">
        <f>+P93/2*$B93+SUM($C93:O93)*$B93</f>
        <v>0</v>
      </c>
      <c r="Q110" s="123">
        <f>+Q93/2*$B93+SUM($C93:P93)*$B93</f>
        <v>0</v>
      </c>
      <c r="R110" s="123">
        <f>+R93/2*$B93+SUM($C93:Q93)*$B93</f>
        <v>0</v>
      </c>
      <c r="S110" s="123">
        <f>+S93/2*$B93+SUM($C93:R93)*$B93</f>
        <v>0</v>
      </c>
      <c r="T110" s="123">
        <f>+T93/2*$B93+SUM($C93:S93)*$B93</f>
        <v>0</v>
      </c>
      <c r="U110" s="123">
        <f>+U93/2*$B93+SUM($C93:T93)*$B93</f>
        <v>0</v>
      </c>
    </row>
    <row r="111" spans="1:21" x14ac:dyDescent="0.2">
      <c r="A111" s="115" t="s">
        <v>74</v>
      </c>
      <c r="D111" s="123">
        <f>+D94/2*$B94+SUM($C94:C94)*$B94</f>
        <v>0</v>
      </c>
      <c r="E111" s="123">
        <f>+E94/2*$B94+SUM($C94:D94)*$B94</f>
        <v>0</v>
      </c>
      <c r="F111" s="123">
        <f>+F94/2*$B94+SUM($C94:E94)*$B94</f>
        <v>0</v>
      </c>
      <c r="G111" s="123">
        <f>+G94/2*$B94+SUM($C94:F94)*$B94</f>
        <v>0</v>
      </c>
      <c r="H111" s="123">
        <f>+H94/2*$B94+SUM($C94:G94)*$B94</f>
        <v>0</v>
      </c>
      <c r="I111" s="123">
        <f>+I94/2*$B94+SUM($C94:H94)*$B94</f>
        <v>0</v>
      </c>
      <c r="J111" s="123">
        <f>+J94/2*$B94+SUM($C94:I94)*$B94</f>
        <v>0</v>
      </c>
      <c r="K111" s="123">
        <f>+K94/2*$B94+SUM($C94:J94)*$B94</f>
        <v>0</v>
      </c>
      <c r="L111" s="123">
        <f>+L94/2*$B94+SUM($C94:K94)*$B94</f>
        <v>0</v>
      </c>
      <c r="M111" s="123">
        <f>+M94/2*$B94+SUM($C94:L94)*$B94</f>
        <v>0</v>
      </c>
      <c r="N111" s="123">
        <f>+N94/2*$B94+SUM($C94:M94)*$B94</f>
        <v>0</v>
      </c>
      <c r="O111" s="123">
        <f>+O94/2*$B94+SUM($C94:N94)*$B94</f>
        <v>0</v>
      </c>
      <c r="P111" s="123">
        <f>+P94/2*$B94+SUM($C94:O94)*$B94</f>
        <v>0</v>
      </c>
      <c r="Q111" s="123">
        <f>+Q94/2*$B94+SUM($C94:P94)*$B94</f>
        <v>0</v>
      </c>
      <c r="R111" s="123">
        <f>+R94/2*$B94+SUM($C94:Q94)*$B94</f>
        <v>0</v>
      </c>
      <c r="S111" s="123">
        <f>+S94/2*$B94+SUM($C94:R94)*$B94</f>
        <v>0</v>
      </c>
      <c r="T111" s="123">
        <f>+T94/2*$B94+SUM($C94:S94)*$B94</f>
        <v>0</v>
      </c>
      <c r="U111" s="123">
        <f>+U94/2*$B94+SUM($C94:T94)*$B94</f>
        <v>0</v>
      </c>
    </row>
    <row r="112" spans="1:21" x14ac:dyDescent="0.2">
      <c r="A112" s="115" t="s">
        <v>75</v>
      </c>
      <c r="D112" s="123">
        <f>+D95/2*$B95+SUM($C95:C95)*$B95</f>
        <v>0</v>
      </c>
      <c r="E112" s="123">
        <f>+E95/2*$B95+SUM($C95:D95)*$B95</f>
        <v>0</v>
      </c>
      <c r="F112" s="123">
        <f>+F95/2*$B95+SUM($C95:E95)*$B95</f>
        <v>0</v>
      </c>
      <c r="G112" s="123">
        <f>+G95/2*$B95+SUM($C95:F95)*$B95</f>
        <v>0</v>
      </c>
      <c r="H112" s="123">
        <f>+H95/2*$B95+SUM($C95:G95)*$B95</f>
        <v>0</v>
      </c>
      <c r="I112" s="123">
        <f>+I95/2*$B95+SUM($C95:H95)*$B95</f>
        <v>0</v>
      </c>
      <c r="J112" s="123">
        <f>+J95/2*$B95+SUM($C95:I95)*$B95</f>
        <v>0</v>
      </c>
      <c r="K112" s="123">
        <f>+K95/2*$B95+SUM($C95:J95)*$B95</f>
        <v>0</v>
      </c>
      <c r="L112" s="123">
        <f>+L95/2*$B95+SUM($C95:K95)*$B95</f>
        <v>0</v>
      </c>
      <c r="M112" s="123">
        <f>+M95/2*$B95+SUM($C95:L95)*$B95</f>
        <v>0</v>
      </c>
      <c r="N112" s="123">
        <f>+N95/2*$B95+SUM($C95:M95)*$B95</f>
        <v>0</v>
      </c>
      <c r="O112" s="123">
        <f>+O95/2*$B95+SUM($C95:N95)*$B95</f>
        <v>0</v>
      </c>
      <c r="P112" s="123">
        <f>+P95/2*$B95+SUM($C95:O95)*$B95</f>
        <v>0</v>
      </c>
      <c r="Q112" s="123">
        <f>+Q95/2*$B95+SUM($C95:P95)*$B95</f>
        <v>0</v>
      </c>
      <c r="R112" s="123">
        <f>+R95/2*$B95+SUM($C95:Q95)*$B95</f>
        <v>0</v>
      </c>
      <c r="S112" s="123">
        <f>+S95/2*$B95+SUM($C95:R95)*$B95</f>
        <v>0</v>
      </c>
      <c r="T112" s="123">
        <f>+T95/2*$B95+SUM($C95:S95)*$B95</f>
        <v>0</v>
      </c>
      <c r="U112" s="123">
        <f>+U95/2*$B95+SUM($C95:T95)*$B95</f>
        <v>0</v>
      </c>
    </row>
    <row r="113" spans="1:21" x14ac:dyDescent="0.2">
      <c r="A113" s="115" t="s">
        <v>76</v>
      </c>
      <c r="D113" s="123">
        <f>+D96/2*7.64130857195224%+SUM($C96:C96)*7.64130857195224%</f>
        <v>7.7009032780235766E-3</v>
      </c>
      <c r="E113" s="123">
        <f>+E96/2*7.64130857195224%+SUM($C96:D96)*7.64130857195224%</f>
        <v>8.2598810215122859E-2</v>
      </c>
      <c r="F113" s="123">
        <f>+F96/2*7.64130857195224%+SUM($C96:E96)*7.64130857195224%</f>
        <v>0.19988468334736892</v>
      </c>
      <c r="G113" s="123">
        <f>+G96/2*7.64130857195224%+SUM($C96:F96)*7.64130857195224%</f>
        <v>0.2704795827238749</v>
      </c>
      <c r="H113" s="123">
        <f>+H96/2*7.64130857195224%+SUM($C96:G96)*7.64130857195224%</f>
        <v>0.60806800893200608</v>
      </c>
      <c r="I113" s="123">
        <f>+I96/2*6.6%+SUM($C96:H96)*6.6%</f>
        <v>0.93719317038783145</v>
      </c>
      <c r="J113" s="123">
        <f>+J96/2*12.8533680641686%+SUM($C96:I96)*12.8533680641686%</f>
        <v>2.3522508761890788</v>
      </c>
      <c r="K113" s="123">
        <f>+K96/2*12.8686685758524%+SUM($C96:J96)*12.8686685758524%</f>
        <v>2.6593172782854744</v>
      </c>
      <c r="L113" s="123">
        <f>+L96/2*12.87%+SUM($C96:K96)*12.87%</f>
        <v>2.7771242157392289</v>
      </c>
      <c r="M113" s="123">
        <f>+M96/2*13.54%+SUM($C96:L96)*13.54%</f>
        <v>3.0833538362532469</v>
      </c>
      <c r="N113" s="123">
        <f>+N96/2*13.64%+SUM($C96:M96)*13.64%</f>
        <v>3.2027721872340749</v>
      </c>
      <c r="O113" s="123">
        <f>+O96/2*11.82%+SUM($C96:N96)*11.82%</f>
        <v>2.7863364234764618</v>
      </c>
      <c r="P113" s="123">
        <f>+P96/2*11.82%+SUM($C96:O96)*11.82%</f>
        <v>2.7983123503156362</v>
      </c>
      <c r="Q113" s="123">
        <f>+Q96/2*$B96+SUM($C96:P96)*$B96</f>
        <v>2.4191108519076869</v>
      </c>
      <c r="R113" s="123">
        <f>+R96/2*$B96+SUM($C96:Q96)*$B96</f>
        <v>2.482114040620619</v>
      </c>
      <c r="S113" s="123">
        <f>+S96/2*$B96+SUM($C96:R96)*$B96</f>
        <v>2.5330032851319801</v>
      </c>
      <c r="T113" s="123">
        <f>+T96/2*$B96+SUM($C96:S96)*$B96</f>
        <v>2.571780207014263</v>
      </c>
      <c r="U113" s="123">
        <f>+U96/2*$B96+SUM($C96:T96)*$B96</f>
        <v>2.6105604139553233</v>
      </c>
    </row>
    <row r="114" spans="1:21" x14ac:dyDescent="0.2">
      <c r="A114" s="121" t="s">
        <v>77</v>
      </c>
      <c r="B114" s="121"/>
      <c r="C114" s="121">
        <v>0</v>
      </c>
      <c r="D114" s="129">
        <f>SUM(D102:D113)</f>
        <v>1.379212783848432E-2</v>
      </c>
      <c r="E114" s="129">
        <f t="shared" ref="E114:U114" si="46">SUM(E102:E113)</f>
        <v>0.14793243190635894</v>
      </c>
      <c r="F114" s="129">
        <f t="shared" si="46"/>
        <v>0.3579885379873784</v>
      </c>
      <c r="G114" s="129">
        <f t="shared" si="46"/>
        <v>0.48442226164214353</v>
      </c>
      <c r="H114" s="129">
        <f t="shared" si="46"/>
        <v>1.0890348068149283</v>
      </c>
      <c r="I114" s="129">
        <f t="shared" si="46"/>
        <v>1.8844796169504139</v>
      </c>
      <c r="J114" s="129">
        <f t="shared" si="46"/>
        <v>3.165935818348232</v>
      </c>
      <c r="K114" s="129">
        <f t="shared" si="46"/>
        <v>3.6300150151455597</v>
      </c>
      <c r="L114" s="129">
        <f t="shared" si="46"/>
        <v>3.8084664817051825</v>
      </c>
      <c r="M114" s="129">
        <f t="shared" si="46"/>
        <v>4.1939801327082336</v>
      </c>
      <c r="N114" s="129">
        <f t="shared" si="46"/>
        <v>4.3604512385067711</v>
      </c>
      <c r="O114" s="129">
        <f t="shared" si="46"/>
        <v>3.9501469576770498</v>
      </c>
      <c r="P114" s="129">
        <f t="shared" si="46"/>
        <v>4.0665297509391696</v>
      </c>
      <c r="Q114" s="129">
        <f t="shared" si="46"/>
        <v>3.5672305921762399</v>
      </c>
      <c r="R114" s="129">
        <f t="shared" si="46"/>
        <v>3.6692746013508497</v>
      </c>
      <c r="S114" s="129">
        <f t="shared" si="46"/>
        <v>3.7516980887947549</v>
      </c>
      <c r="T114" s="129">
        <f t="shared" si="46"/>
        <v>3.8145036809108661</v>
      </c>
      <c r="U114" s="129">
        <f t="shared" si="46"/>
        <v>3.8773145937190705</v>
      </c>
    </row>
    <row r="115" spans="1:21" x14ac:dyDescent="0.2">
      <c r="D115" s="138"/>
      <c r="E115" s="138"/>
      <c r="F115" s="138"/>
      <c r="G115" s="138"/>
      <c r="H115" s="138"/>
      <c r="I115" s="138"/>
      <c r="J115" s="138"/>
      <c r="K115" s="138"/>
      <c r="L115" s="138"/>
      <c r="M115" s="138"/>
      <c r="N115" s="138"/>
      <c r="O115" s="138"/>
      <c r="P115" s="138"/>
      <c r="Q115" s="138"/>
      <c r="R115" s="138"/>
      <c r="S115" s="138"/>
      <c r="T115" s="138"/>
      <c r="U115" s="138"/>
    </row>
    <row r="116" spans="1:21" x14ac:dyDescent="0.2">
      <c r="D116" s="138"/>
      <c r="E116" s="138"/>
      <c r="F116" s="138"/>
      <c r="G116" s="138"/>
      <c r="H116" s="138"/>
      <c r="I116" s="138"/>
      <c r="J116" s="138"/>
      <c r="K116" s="138"/>
      <c r="L116" s="138"/>
      <c r="M116" s="138"/>
      <c r="N116" s="138"/>
      <c r="O116" s="138"/>
      <c r="P116" s="138"/>
      <c r="Q116" s="138"/>
      <c r="R116" s="138"/>
      <c r="S116" s="138"/>
      <c r="T116" s="138"/>
      <c r="U116" s="138"/>
    </row>
    <row r="117" spans="1:21" x14ac:dyDescent="0.2">
      <c r="D117" s="58"/>
      <c r="E117" s="138"/>
      <c r="F117" s="138"/>
      <c r="G117" s="138"/>
      <c r="H117" s="138"/>
      <c r="I117" s="138"/>
      <c r="J117" s="138"/>
      <c r="K117" s="138"/>
      <c r="L117" s="138"/>
      <c r="M117" s="138"/>
      <c r="N117" s="138"/>
      <c r="O117" s="138"/>
      <c r="P117" s="138"/>
      <c r="Q117" s="138"/>
      <c r="R117" s="138"/>
      <c r="S117" s="138"/>
      <c r="T117" s="138"/>
      <c r="U117" s="138"/>
    </row>
    <row r="118" spans="1:21" x14ac:dyDescent="0.2"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</row>
    <row r="119" spans="1:21" x14ac:dyDescent="0.2"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27"/>
  <sheetViews>
    <sheetView showGridLines="0" zoomScaleNormal="100" workbookViewId="0">
      <pane ySplit="1" topLeftCell="A2" activePane="bottomLeft" state="frozen"/>
      <selection pane="bottomLeft" activeCell="K31" sqref="K31"/>
    </sheetView>
  </sheetViews>
  <sheetFormatPr defaultColWidth="9.109375" defaultRowHeight="12.75" x14ac:dyDescent="0.2"/>
  <cols>
    <col min="1" max="1" width="13.77734375" style="115" customWidth="1"/>
    <col min="2" max="16384" width="9.109375" style="115"/>
  </cols>
  <sheetData>
    <row r="1" spans="1:21" x14ac:dyDescent="0.2">
      <c r="A1" s="119"/>
      <c r="B1" s="119" t="s">
        <v>57</v>
      </c>
      <c r="C1" s="119">
        <v>2009</v>
      </c>
      <c r="D1" s="119">
        <v>2010</v>
      </c>
      <c r="E1" s="119">
        <v>2011</v>
      </c>
      <c r="F1" s="119">
        <v>2012</v>
      </c>
      <c r="G1" s="119">
        <v>2013</v>
      </c>
      <c r="H1" s="119">
        <v>2014</v>
      </c>
      <c r="I1" s="119">
        <v>2015</v>
      </c>
      <c r="J1" s="119">
        <v>2016</v>
      </c>
      <c r="K1" s="119">
        <v>2017</v>
      </c>
      <c r="L1" s="119">
        <v>2018</v>
      </c>
      <c r="M1" s="119">
        <v>2019</v>
      </c>
      <c r="N1" s="119">
        <v>2020</v>
      </c>
      <c r="O1" s="119">
        <v>2021</v>
      </c>
      <c r="P1" s="119">
        <v>2022</v>
      </c>
      <c r="Q1" s="119">
        <v>2023</v>
      </c>
      <c r="R1" s="119">
        <v>2024</v>
      </c>
      <c r="S1" s="119">
        <v>2025</v>
      </c>
      <c r="T1" s="119">
        <v>2026</v>
      </c>
      <c r="U1" s="119">
        <v>2027</v>
      </c>
    </row>
    <row r="2" spans="1:21" x14ac:dyDescent="0.2">
      <c r="A2" s="123" t="s">
        <v>80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</row>
    <row r="3" spans="1:21" x14ac:dyDescent="0.2">
      <c r="A3" s="123" t="s">
        <v>81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</row>
    <row r="4" spans="1:21" x14ac:dyDescent="0.2">
      <c r="A4" s="123" t="s">
        <v>82</v>
      </c>
      <c r="B4" s="123"/>
      <c r="C4" s="132"/>
      <c r="D4" s="132">
        <v>0</v>
      </c>
      <c r="E4" s="132">
        <f>D9</f>
        <v>0.44337688275502651</v>
      </c>
      <c r="F4" s="132">
        <f>E9</f>
        <v>4.2767513257113885</v>
      </c>
      <c r="G4" s="132">
        <f t="shared" ref="G4:U4" si="0">F9</f>
        <v>6.818460815729054</v>
      </c>
      <c r="H4" s="132">
        <f t="shared" si="0"/>
        <v>7.4536116363382146</v>
      </c>
      <c r="I4" s="132">
        <f t="shared" si="0"/>
        <v>25.113233651789077</v>
      </c>
      <c r="J4" s="132">
        <f t="shared" si="0"/>
        <v>37.453924014314751</v>
      </c>
      <c r="K4" s="132">
        <f t="shared" si="0"/>
        <v>48.227365403857576</v>
      </c>
      <c r="L4" s="132">
        <f t="shared" si="0"/>
        <v>46.812423217846572</v>
      </c>
      <c r="M4" s="132">
        <f t="shared" si="0"/>
        <v>46.886282770358044</v>
      </c>
      <c r="N4" s="132">
        <f t="shared" si="0"/>
        <v>47.503325627622203</v>
      </c>
      <c r="O4" s="132">
        <f t="shared" si="0"/>
        <v>44.193739959012433</v>
      </c>
      <c r="P4" s="132">
        <f t="shared" si="0"/>
        <v>40.80069188663704</v>
      </c>
      <c r="Q4" s="132">
        <f t="shared" si="0"/>
        <v>38.088945489050076</v>
      </c>
      <c r="R4" s="132">
        <f t="shared" si="0"/>
        <v>37.190977326128213</v>
      </c>
      <c r="S4" s="132">
        <f t="shared" si="0"/>
        <v>36.36484683731674</v>
      </c>
      <c r="T4" s="132">
        <f t="shared" si="0"/>
        <v>34.77835144644942</v>
      </c>
      <c r="U4" s="132">
        <f t="shared" si="0"/>
        <v>33.318886537205138</v>
      </c>
    </row>
    <row r="5" spans="1:21" x14ac:dyDescent="0.2">
      <c r="A5" s="123" t="s">
        <v>41</v>
      </c>
      <c r="B5" s="123"/>
      <c r="C5" s="132"/>
      <c r="D5" s="132">
        <f>'2 - Fixed Asset Cont.'!$D$97</f>
        <v>0.46185091953648594</v>
      </c>
      <c r="E5" s="132">
        <f>'2 - Fixed Asset Cont.'!$E$97</f>
        <v>4.0300464516424626</v>
      </c>
      <c r="F5" s="132">
        <f>'2 - Fixed Asset Cont.'!$F$97</f>
        <v>3.0040099959110176</v>
      </c>
      <c r="G5" s="132">
        <f>'2 - Fixed Asset Cont.'!$G$97</f>
        <v>1.229820506111964</v>
      </c>
      <c r="H5" s="132">
        <f>'2 - Fixed Asset Cont.'!$H$97</f>
        <v>19.016573902456166</v>
      </c>
      <c r="I5" s="132">
        <f>'2 - Fixed Asset Cont.'!$I$97</f>
        <v>14.947655265280002</v>
      </c>
      <c r="J5" s="132">
        <f>'2 - Fixed Asset Cont.'!$J$97</f>
        <v>14.343495115299998</v>
      </c>
      <c r="K5" s="132">
        <f>'2 - Fixed Asset Cont.'!$K$97</f>
        <v>2.5450490065600007</v>
      </c>
      <c r="L5" s="132">
        <f>'2 - Fixed Asset Cont.'!$L$97</f>
        <v>3.9779723020200004</v>
      </c>
      <c r="M5" s="132">
        <f>'2 - Fixed Asset Cont.'!$M$97</f>
        <v>4.5499432071800001</v>
      </c>
      <c r="N5" s="132">
        <f>'2 - Fixed Asset Cont.'!$N$97</f>
        <v>0.51112539750000008</v>
      </c>
      <c r="O5" s="132">
        <f>'2 - Fixed Asset Cont.'!$O$97</f>
        <v>0.14838658785999997</v>
      </c>
      <c r="P5" s="132">
        <f>'2 - Fixed Asset Cont.'!$P$97</f>
        <v>0.57532182639999996</v>
      </c>
      <c r="Q5" s="132">
        <f>'2 - Fixed Asset Cont.'!$Q$97</f>
        <v>2.2386952877105655</v>
      </c>
      <c r="R5" s="132">
        <f>'2 - Fixed Asset Cont.'!$R$97</f>
        <v>2.2386955179987376</v>
      </c>
      <c r="S5" s="132">
        <f>'2 - Fixed Asset Cont.'!$S$97</f>
        <v>1.3778045376229353</v>
      </c>
      <c r="T5" s="132">
        <f>'2 - Fixed Asset Cont.'!$T$97</f>
        <v>1.3779200067413262</v>
      </c>
      <c r="U5" s="132">
        <f>'2 - Fixed Asset Cont.'!$U$97</f>
        <v>1.37803799393315</v>
      </c>
    </row>
    <row r="6" spans="1:21" x14ac:dyDescent="0.2">
      <c r="A6" s="123" t="s">
        <v>83</v>
      </c>
      <c r="B6" s="123"/>
      <c r="C6" s="132"/>
      <c r="D6" s="132">
        <f>-D5/2</f>
        <v>-0.23092545976824297</v>
      </c>
      <c r="E6" s="132">
        <f t="shared" ref="E6:U6" si="1">-E5/2</f>
        <v>-2.0150232258212313</v>
      </c>
      <c r="F6" s="132">
        <f t="shared" si="1"/>
        <v>-1.5020049979555088</v>
      </c>
      <c r="G6" s="132">
        <f t="shared" si="1"/>
        <v>-0.61491025305598201</v>
      </c>
      <c r="H6" s="132">
        <f t="shared" si="1"/>
        <v>-9.508286951228083</v>
      </c>
      <c r="I6" s="132">
        <f t="shared" si="1"/>
        <v>-7.4738276326400008</v>
      </c>
      <c r="J6" s="132">
        <f t="shared" si="1"/>
        <v>-7.1717475576499989</v>
      </c>
      <c r="K6" s="132">
        <f t="shared" si="1"/>
        <v>-1.2725245032800003</v>
      </c>
      <c r="L6" s="132">
        <f t="shared" si="1"/>
        <v>-1.9889861510100002</v>
      </c>
      <c r="M6" s="132">
        <f t="shared" si="1"/>
        <v>-2.2749716035900001</v>
      </c>
      <c r="N6" s="132">
        <f t="shared" si="1"/>
        <v>-0.25556269875000004</v>
      </c>
      <c r="O6" s="132">
        <f t="shared" si="1"/>
        <v>-7.4193293929999987E-2</v>
      </c>
      <c r="P6" s="132">
        <f t="shared" si="1"/>
        <v>-0.28766091319999998</v>
      </c>
      <c r="Q6" s="132">
        <f t="shared" si="1"/>
        <v>-1.1193476438552827</v>
      </c>
      <c r="R6" s="132">
        <f t="shared" si="1"/>
        <v>-1.1193477589993688</v>
      </c>
      <c r="S6" s="132">
        <f t="shared" si="1"/>
        <v>-0.68890226881146766</v>
      </c>
      <c r="T6" s="132">
        <f t="shared" si="1"/>
        <v>-0.6889600033706631</v>
      </c>
      <c r="U6" s="132">
        <f t="shared" si="1"/>
        <v>-0.68901899696657498</v>
      </c>
    </row>
    <row r="7" spans="1:21" x14ac:dyDescent="0.2">
      <c r="A7" s="123" t="s">
        <v>84</v>
      </c>
      <c r="B7" s="123"/>
      <c r="C7" s="132"/>
      <c r="D7" s="132">
        <f>SUM(D4:D6)</f>
        <v>0.23092545976824297</v>
      </c>
      <c r="E7" s="132">
        <f t="shared" ref="E7:U7" si="2">SUM(E4:E6)</f>
        <v>2.4584001085762575</v>
      </c>
      <c r="F7" s="132">
        <f t="shared" si="2"/>
        <v>5.7787563236668973</v>
      </c>
      <c r="G7" s="132">
        <f t="shared" si="2"/>
        <v>7.4333710687850356</v>
      </c>
      <c r="H7" s="132">
        <f t="shared" si="2"/>
        <v>16.961898587566299</v>
      </c>
      <c r="I7" s="132">
        <f t="shared" si="2"/>
        <v>32.587061284429076</v>
      </c>
      <c r="J7" s="132">
        <f t="shared" si="2"/>
        <v>44.625671571964752</v>
      </c>
      <c r="K7" s="132">
        <f t="shared" si="2"/>
        <v>49.499889907137572</v>
      </c>
      <c r="L7" s="132">
        <f t="shared" si="2"/>
        <v>48.801409368856568</v>
      </c>
      <c r="M7" s="132">
        <f t="shared" si="2"/>
        <v>49.16125437394804</v>
      </c>
      <c r="N7" s="132">
        <f t="shared" si="2"/>
        <v>47.758888326372208</v>
      </c>
      <c r="O7" s="132">
        <f t="shared" si="2"/>
        <v>44.267933252942434</v>
      </c>
      <c r="P7" s="132">
        <f t="shared" si="2"/>
        <v>41.08835279983704</v>
      </c>
      <c r="Q7" s="132">
        <f t="shared" si="2"/>
        <v>39.208293132905354</v>
      </c>
      <c r="R7" s="132">
        <f t="shared" si="2"/>
        <v>38.31032508512758</v>
      </c>
      <c r="S7" s="132">
        <f t="shared" si="2"/>
        <v>37.053749106128208</v>
      </c>
      <c r="T7" s="132">
        <f t="shared" si="2"/>
        <v>35.467311449820087</v>
      </c>
      <c r="U7" s="132">
        <f t="shared" si="2"/>
        <v>34.007905534171712</v>
      </c>
    </row>
    <row r="8" spans="1:21" x14ac:dyDescent="0.2">
      <c r="A8" s="123" t="s">
        <v>85</v>
      </c>
      <c r="B8" s="123"/>
      <c r="C8" s="132"/>
      <c r="D8" s="132">
        <f>-D7*0.08</f>
        <v>-1.8474036781459438E-2</v>
      </c>
      <c r="E8" s="132">
        <f t="shared" ref="E8:U8" si="3">-E7*0.08</f>
        <v>-0.1966720086861006</v>
      </c>
      <c r="F8" s="132">
        <f t="shared" si="3"/>
        <v>-0.46230050589335181</v>
      </c>
      <c r="G8" s="132">
        <f t="shared" si="3"/>
        <v>-0.59466968550280286</v>
      </c>
      <c r="H8" s="132">
        <f t="shared" si="3"/>
        <v>-1.3569518870053039</v>
      </c>
      <c r="I8" s="132">
        <f t="shared" si="3"/>
        <v>-2.606964902754326</v>
      </c>
      <c r="J8" s="132">
        <f t="shared" si="3"/>
        <v>-3.5700537257571803</v>
      </c>
      <c r="K8" s="132">
        <f t="shared" si="3"/>
        <v>-3.9599911925710058</v>
      </c>
      <c r="L8" s="132">
        <f t="shared" si="3"/>
        <v>-3.9041127495085255</v>
      </c>
      <c r="M8" s="132">
        <f t="shared" si="3"/>
        <v>-3.9329003499158435</v>
      </c>
      <c r="N8" s="132">
        <f t="shared" si="3"/>
        <v>-3.8207110661097765</v>
      </c>
      <c r="O8" s="132">
        <f t="shared" si="3"/>
        <v>-3.541434660235395</v>
      </c>
      <c r="P8" s="132">
        <f t="shared" si="3"/>
        <v>-3.2870682239869633</v>
      </c>
      <c r="Q8" s="132">
        <f t="shared" si="3"/>
        <v>-3.1366634506324282</v>
      </c>
      <c r="R8" s="132">
        <f t="shared" si="3"/>
        <v>-3.0648260068102067</v>
      </c>
      <c r="S8" s="132">
        <f t="shared" si="3"/>
        <v>-2.9642999284902567</v>
      </c>
      <c r="T8" s="132">
        <f t="shared" si="3"/>
        <v>-2.837384915985607</v>
      </c>
      <c r="U8" s="132">
        <f t="shared" si="3"/>
        <v>-2.7206324427337369</v>
      </c>
    </row>
    <row r="9" spans="1:21" x14ac:dyDescent="0.2">
      <c r="A9" s="123" t="s">
        <v>86</v>
      </c>
      <c r="B9" s="123"/>
      <c r="C9" s="132"/>
      <c r="D9" s="132">
        <f t="shared" ref="D9" si="4">D4+D5+D8</f>
        <v>0.44337688275502651</v>
      </c>
      <c r="E9" s="132">
        <f t="shared" ref="E9" si="5">E4+E5+E8</f>
        <v>4.2767513257113885</v>
      </c>
      <c r="F9" s="132">
        <f t="shared" ref="F9" si="6">F4+F5+F8</f>
        <v>6.818460815729054</v>
      </c>
      <c r="G9" s="132">
        <f t="shared" ref="G9" si="7">G4+G5+G8</f>
        <v>7.4536116363382146</v>
      </c>
      <c r="H9" s="132">
        <f t="shared" ref="H9" si="8">H4+H5+H8</f>
        <v>25.113233651789077</v>
      </c>
      <c r="I9" s="132">
        <f t="shared" ref="I9" si="9">I4+I5+I8</f>
        <v>37.453924014314751</v>
      </c>
      <c r="J9" s="132">
        <f t="shared" ref="J9" si="10">J4+J5+J8</f>
        <v>48.227365403857576</v>
      </c>
      <c r="K9" s="132">
        <f t="shared" ref="K9" si="11">K4+K5+K8</f>
        <v>46.812423217846572</v>
      </c>
      <c r="L9" s="132">
        <f t="shared" ref="L9" si="12">L4+L5+L8</f>
        <v>46.886282770358044</v>
      </c>
      <c r="M9" s="132">
        <f t="shared" ref="M9" si="13">M4+M5+M8</f>
        <v>47.503325627622203</v>
      </c>
      <c r="N9" s="132">
        <f t="shared" ref="N9" si="14">N4+N5+N8</f>
        <v>44.193739959012433</v>
      </c>
      <c r="O9" s="132">
        <f t="shared" ref="O9" si="15">O4+O5+O8</f>
        <v>40.80069188663704</v>
      </c>
      <c r="P9" s="132">
        <f t="shared" ref="P9" si="16">P4+P5+P8</f>
        <v>38.088945489050076</v>
      </c>
      <c r="Q9" s="132">
        <f t="shared" ref="Q9" si="17">Q4+Q5+Q8</f>
        <v>37.190977326128213</v>
      </c>
      <c r="R9" s="132">
        <f t="shared" ref="R9" si="18">R4+R5+R8</f>
        <v>36.36484683731674</v>
      </c>
      <c r="S9" s="132">
        <f t="shared" ref="S9" si="19">S4+S5+S8</f>
        <v>34.77835144644942</v>
      </c>
      <c r="T9" s="132">
        <f t="shared" ref="T9" si="20">T4+T5+T8</f>
        <v>33.318886537205138</v>
      </c>
      <c r="U9" s="132">
        <f t="shared" ref="U9" si="21">U4+U5+U8</f>
        <v>31.976292088404549</v>
      </c>
    </row>
    <row r="10" spans="1:21" x14ac:dyDescent="0.2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</row>
    <row r="11" spans="1:21" x14ac:dyDescent="0.2">
      <c r="A11" s="123" t="s">
        <v>87</v>
      </c>
      <c r="B11" s="123"/>
      <c r="C11" s="123"/>
      <c r="D11" s="125">
        <v>0.31</v>
      </c>
      <c r="E11" s="125">
        <v>0.28249999999999997</v>
      </c>
      <c r="F11" s="125">
        <v>0.26250000000000001</v>
      </c>
      <c r="G11" s="125">
        <v>0.26500000000000001</v>
      </c>
      <c r="H11" s="125">
        <v>0.26500000000000001</v>
      </c>
      <c r="I11" s="125">
        <v>0.26500000000000001</v>
      </c>
      <c r="J11" s="125">
        <v>0.26500000000000001</v>
      </c>
      <c r="K11" s="125">
        <v>0.26500000000000001</v>
      </c>
      <c r="L11" s="125">
        <v>0.26500000000000001</v>
      </c>
      <c r="M11" s="125">
        <v>0.26500000000000001</v>
      </c>
      <c r="N11" s="125">
        <v>0.26500000000000001</v>
      </c>
      <c r="O11" s="125">
        <v>0.26500000000000001</v>
      </c>
      <c r="P11" s="125">
        <v>0.26500000000000001</v>
      </c>
      <c r="Q11" s="125">
        <v>0.26500000000000001</v>
      </c>
      <c r="R11" s="125">
        <v>0.26500000000000001</v>
      </c>
      <c r="S11" s="125">
        <v>0.26500000000000001</v>
      </c>
      <c r="T11" s="125">
        <v>0.26500000000000001</v>
      </c>
      <c r="U11" s="125">
        <v>0.26500000000000001</v>
      </c>
    </row>
    <row r="12" spans="1:21" x14ac:dyDescent="0.2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</row>
    <row r="13" spans="1:21" x14ac:dyDescent="0.2">
      <c r="A13" s="123" t="s">
        <v>88</v>
      </c>
      <c r="B13" s="123"/>
      <c r="C13" s="123"/>
      <c r="D13" s="123">
        <f>'4 - Revenue Requirement '!$D$21</f>
        <v>8.8267581964506202E-3</v>
      </c>
      <c r="E13" s="123">
        <f>'4 - Revenue Requirement '!$F$21</f>
        <v>0.11154192606002222</v>
      </c>
      <c r="F13" s="123">
        <f>'4 - Revenue Requirement '!$H$21</f>
        <v>0.23698065012272759</v>
      </c>
      <c r="G13" s="123">
        <f>'4 - Revenue Requirement '!$J$21</f>
        <v>0.26878855882825181</v>
      </c>
      <c r="H13" s="123">
        <f>'4 - Revenue Requirement '!$L$21</f>
        <v>0.62841071696973327</v>
      </c>
      <c r="I13" s="123">
        <f>'4 - Revenue Requirement '!$N$21</f>
        <v>1.209403579213095</v>
      </c>
      <c r="J13" s="123">
        <f>'4 - Revenue Requirement '!$P$21</f>
        <v>1.6343159620926029</v>
      </c>
      <c r="K13" s="123">
        <f>'4 - Revenue Requirement '!$R$21</f>
        <v>1.7375940487440908</v>
      </c>
      <c r="L13" s="123">
        <f>'4 - Revenue Requirement '!$T$21</f>
        <v>1.7645036008886996</v>
      </c>
      <c r="M13" s="123">
        <f>'4 - Revenue Requirement '!$V$21</f>
        <v>1.7755901573208608</v>
      </c>
      <c r="N13" s="123">
        <f>'4 - Revenue Requirement '!$X$21</f>
        <v>1.7112627803061302</v>
      </c>
      <c r="O13" s="123">
        <f>'4 - Revenue Requirement '!$Z$21</f>
        <v>1.5745444131670041</v>
      </c>
      <c r="P13" s="123">
        <f>'4 - Revenue Requirement '!$AB$21</f>
        <v>1.4418454179313178</v>
      </c>
      <c r="Q13" s="123">
        <f>'4 - Revenue Requirement '!$AD$21</f>
        <v>1.40803141199184</v>
      </c>
      <c r="R13" s="123">
        <f>'4 - Revenue Requirement '!$AF$21</f>
        <v>1.3564828423831168</v>
      </c>
      <c r="S13" s="123">
        <f>'4 - Revenue Requirement '!$AH$21</f>
        <v>1.2855462120953403</v>
      </c>
      <c r="T13" s="123">
        <f>'4 - Revenue Requirement '!$AJ$21</f>
        <v>1.1956086313509859</v>
      </c>
      <c r="U13" s="123">
        <f>'4 - Revenue Requirement '!$AL$21</f>
        <v>1.1033276019712686</v>
      </c>
    </row>
    <row r="14" spans="1:21" x14ac:dyDescent="0.2">
      <c r="A14" s="123" t="s">
        <v>89</v>
      </c>
      <c r="B14" s="123"/>
      <c r="C14" s="123"/>
      <c r="D14" s="123">
        <f>+D13/(1-D11)-D13</f>
        <v>3.9656449868111492E-3</v>
      </c>
      <c r="E14" s="123">
        <f>+E13/(1-E11)-E13</f>
        <v>4.3917204337221294E-2</v>
      </c>
      <c r="F14" s="123">
        <f>+F13/(1-F11)-F13</f>
        <v>8.4349044958936942E-2</v>
      </c>
      <c r="G14" s="123">
        <f>+G13/(1-G11)-G13</f>
        <v>9.6910160665968359E-2</v>
      </c>
      <c r="H14" s="123">
        <f t="shared" ref="H14:U14" si="22">+H13/(1-H11)-H13</f>
        <v>0.22656985033602628</v>
      </c>
      <c r="I14" s="123">
        <f t="shared" si="22"/>
        <v>0.43604346733533372</v>
      </c>
      <c r="J14" s="123">
        <f t="shared" si="22"/>
        <v>0.58924317000617643</v>
      </c>
      <c r="K14" s="123">
        <f t="shared" si="22"/>
        <v>0.62647948696215505</v>
      </c>
      <c r="L14" s="123">
        <f t="shared" si="22"/>
        <v>0.63618157038844281</v>
      </c>
      <c r="M14" s="123">
        <f t="shared" si="22"/>
        <v>0.6401787642041199</v>
      </c>
      <c r="N14" s="123">
        <f t="shared" si="22"/>
        <v>0.61698590038248224</v>
      </c>
      <c r="O14" s="123">
        <f t="shared" si="22"/>
        <v>0.56769288365885195</v>
      </c>
      <c r="P14" s="123">
        <f t="shared" si="22"/>
        <v>0.51984902823374046</v>
      </c>
      <c r="Q14" s="123">
        <f t="shared" si="22"/>
        <v>0.50765758391542537</v>
      </c>
      <c r="R14" s="123">
        <f t="shared" si="22"/>
        <v>0.48907204521296044</v>
      </c>
      <c r="S14" s="123">
        <f t="shared" si="22"/>
        <v>0.46349625334049693</v>
      </c>
      <c r="T14" s="123">
        <f t="shared" si="22"/>
        <v>0.43106977865035545</v>
      </c>
      <c r="U14" s="123">
        <f t="shared" si="22"/>
        <v>0.39779838710528725</v>
      </c>
    </row>
    <row r="15" spans="1:21" x14ac:dyDescent="0.2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</row>
    <row r="16" spans="1:21" x14ac:dyDescent="0.2">
      <c r="A16" s="123" t="s">
        <v>90</v>
      </c>
      <c r="B16" s="123"/>
      <c r="C16" s="123"/>
      <c r="D16" s="123">
        <f>'2 - Fixed Asset Cont.'!D$114+D8</f>
        <v>-4.6819089429751184E-3</v>
      </c>
      <c r="E16" s="123">
        <f>'2 - Fixed Asset Cont.'!E$114+E8</f>
        <v>-4.8739576779741667E-2</v>
      </c>
      <c r="F16" s="123">
        <f>'2 - Fixed Asset Cont.'!F$114+F8</f>
        <v>-0.10431196790597341</v>
      </c>
      <c r="G16" s="123">
        <f>'2 - Fixed Asset Cont.'!G$114+G8</f>
        <v>-0.11024742386065933</v>
      </c>
      <c r="H16" s="123">
        <f>'2 - Fixed Asset Cont.'!H$114+H8</f>
        <v>-0.26791708019037563</v>
      </c>
      <c r="I16" s="123">
        <f>'2 - Fixed Asset Cont.'!I$114+I8</f>
        <v>-0.72248528580391214</v>
      </c>
      <c r="J16" s="123">
        <f>'2 - Fixed Asset Cont.'!J$114+J8</f>
        <v>-0.40411790740894826</v>
      </c>
      <c r="K16" s="123">
        <f>'2 - Fixed Asset Cont.'!K$114+K8</f>
        <v>-0.32997617742544616</v>
      </c>
      <c r="L16" s="123">
        <f>'2 - Fixed Asset Cont.'!L$114+L8</f>
        <v>-9.5646267803342955E-2</v>
      </c>
      <c r="M16" s="123">
        <f>'2 - Fixed Asset Cont.'!M$114+M8</f>
        <v>0.26107978279239008</v>
      </c>
      <c r="N16" s="123">
        <f>'2 - Fixed Asset Cont.'!N$114+N8</f>
        <v>0.53974017239699457</v>
      </c>
      <c r="O16" s="123">
        <f>'2 - Fixed Asset Cont.'!O$114+O8</f>
        <v>0.40871229744165483</v>
      </c>
      <c r="P16" s="123">
        <f>'2 - Fixed Asset Cont.'!P$114+P8</f>
        <v>0.77946152695220627</v>
      </c>
      <c r="Q16" s="123">
        <f>'2 - Fixed Asset Cont.'!Q$114+Q8</f>
        <v>0.4305671415438117</v>
      </c>
      <c r="R16" s="123">
        <f>'2 - Fixed Asset Cont.'!R$114+R8</f>
        <v>0.60444859454064304</v>
      </c>
      <c r="S16" s="123">
        <f>'2 - Fixed Asset Cont.'!S$114+S8</f>
        <v>0.78739816030449816</v>
      </c>
      <c r="T16" s="123">
        <f>'2 - Fixed Asset Cont.'!T$114+T8</f>
        <v>0.97711876492525906</v>
      </c>
      <c r="U16" s="123">
        <f>'2 - Fixed Asset Cont.'!U$114+U8</f>
        <v>1.1566821509853336</v>
      </c>
    </row>
    <row r="17" spans="1:21" x14ac:dyDescent="0.2">
      <c r="A17" s="123" t="s">
        <v>89</v>
      </c>
      <c r="B17" s="123"/>
      <c r="C17" s="123"/>
      <c r="D17" s="123">
        <f>+D16/(1-D11)-D16</f>
        <v>-2.1034663366989665E-3</v>
      </c>
      <c r="E17" s="123">
        <f t="shared" ref="E17:U17" si="23">+E16/(1-E11)-E16</f>
        <v>-1.9190146955089929E-2</v>
      </c>
      <c r="F17" s="123">
        <f t="shared" si="23"/>
        <v>-3.7127988576702381E-2</v>
      </c>
      <c r="G17" s="123">
        <f t="shared" si="23"/>
        <v>-3.9749071187856783E-2</v>
      </c>
      <c r="H17" s="123">
        <f t="shared" si="23"/>
        <v>-9.6595954082244306E-2</v>
      </c>
      <c r="I17" s="123">
        <f t="shared" si="23"/>
        <v>-0.2604878921605942</v>
      </c>
      <c r="J17" s="123">
        <f t="shared" si="23"/>
        <v>-0.14570237478009695</v>
      </c>
      <c r="K17" s="123">
        <f t="shared" si="23"/>
        <v>-0.11897100274522887</v>
      </c>
      <c r="L17" s="123">
        <f t="shared" si="23"/>
        <v>-3.4484708799844749E-2</v>
      </c>
      <c r="M17" s="123">
        <f t="shared" si="23"/>
        <v>9.4130806040793713E-2</v>
      </c>
      <c r="N17" s="123">
        <f t="shared" si="23"/>
        <v>0.19460019821116137</v>
      </c>
      <c r="O17" s="123">
        <f t="shared" si="23"/>
        <v>0.14735885554018846</v>
      </c>
      <c r="P17" s="123">
        <f t="shared" si="23"/>
        <v>0.28103034645215597</v>
      </c>
      <c r="Q17" s="123">
        <f t="shared" si="23"/>
        <v>0.15523849320967364</v>
      </c>
      <c r="R17" s="123">
        <f t="shared" si="23"/>
        <v>0.21793044565070807</v>
      </c>
      <c r="S17" s="123">
        <f t="shared" si="23"/>
        <v>0.28389185371522729</v>
      </c>
      <c r="T17" s="123">
        <f t="shared" si="23"/>
        <v>0.35229452068733824</v>
      </c>
      <c r="U17" s="123">
        <f t="shared" si="23"/>
        <v>0.41703506123961009</v>
      </c>
    </row>
    <row r="18" spans="1:21" x14ac:dyDescent="0.2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</row>
    <row r="19" spans="1:21" x14ac:dyDescent="0.2">
      <c r="A19" s="129" t="s">
        <v>91</v>
      </c>
      <c r="B19" s="123"/>
      <c r="C19" s="123"/>
      <c r="D19" s="131">
        <f>D14+D17</f>
        <v>1.8621786501121828E-3</v>
      </c>
      <c r="E19" s="131">
        <f t="shared" ref="E19:U19" si="24">E14+E17</f>
        <v>2.4727057382131365E-2</v>
      </c>
      <c r="F19" s="131">
        <f t="shared" si="24"/>
        <v>4.7221056382234561E-2</v>
      </c>
      <c r="G19" s="131">
        <f t="shared" si="24"/>
        <v>5.7161089478111576E-2</v>
      </c>
      <c r="H19" s="131">
        <f t="shared" si="24"/>
        <v>0.12997389625378197</v>
      </c>
      <c r="I19" s="131">
        <f t="shared" si="24"/>
        <v>0.17555557517473952</v>
      </c>
      <c r="J19" s="131">
        <f t="shared" si="24"/>
        <v>0.44354079522607948</v>
      </c>
      <c r="K19" s="131">
        <f t="shared" si="24"/>
        <v>0.50750848421692618</v>
      </c>
      <c r="L19" s="131">
        <f t="shared" si="24"/>
        <v>0.60169686158859803</v>
      </c>
      <c r="M19" s="131">
        <f t="shared" si="24"/>
        <v>0.73430957024491361</v>
      </c>
      <c r="N19" s="131">
        <f t="shared" si="24"/>
        <v>0.81158609859364361</v>
      </c>
      <c r="O19" s="131">
        <f t="shared" si="24"/>
        <v>0.71505173919904041</v>
      </c>
      <c r="P19" s="131">
        <f t="shared" si="24"/>
        <v>0.80087937468589643</v>
      </c>
      <c r="Q19" s="131">
        <f t="shared" si="24"/>
        <v>0.66289607712509901</v>
      </c>
      <c r="R19" s="131">
        <f t="shared" si="24"/>
        <v>0.70700249086366851</v>
      </c>
      <c r="S19" s="131">
        <f t="shared" si="24"/>
        <v>0.74738810705572423</v>
      </c>
      <c r="T19" s="131">
        <f t="shared" si="24"/>
        <v>0.78336429933769369</v>
      </c>
      <c r="U19" s="131">
        <f t="shared" si="24"/>
        <v>0.81483344834489735</v>
      </c>
    </row>
    <row r="22" spans="1:21" x14ac:dyDescent="0.2">
      <c r="D22" s="87"/>
    </row>
    <row r="27" spans="1:21" x14ac:dyDescent="0.2">
      <c r="D27" s="126"/>
    </row>
  </sheetData>
  <printOptions horizontalCentered="1"/>
  <pageMargins left="0.2" right="0.2" top="1.25" bottom="0.25" header="0.3" footer="0.3"/>
  <pageSetup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EF137-7F17-466E-9987-BBDB3447822D}">
  <sheetPr>
    <pageSetUpPr fitToPage="1"/>
  </sheetPr>
  <dimension ref="A1:AP39"/>
  <sheetViews>
    <sheetView showGridLines="0" zoomScaleNormal="100" zoomScaleSheetLayoutView="70" workbookViewId="0">
      <pane xSplit="2" ySplit="8" topLeftCell="C11" activePane="bottomRight" state="frozen"/>
      <selection pane="topRight" activeCell="E1" sqref="E1"/>
      <selection pane="bottomLeft" activeCell="A7" sqref="A7"/>
      <selection pane="bottomRight" activeCell="AL30" sqref="AF30:AL30"/>
    </sheetView>
  </sheetViews>
  <sheetFormatPr defaultColWidth="8.77734375" defaultRowHeight="14.25" x14ac:dyDescent="0.2"/>
  <cols>
    <col min="1" max="1" width="3" style="89" customWidth="1"/>
    <col min="2" max="2" width="103.109375" style="89" customWidth="1"/>
    <col min="3" max="3" width="9.109375" style="89" customWidth="1"/>
    <col min="4" max="4" width="11.21875" style="89" customWidth="1"/>
    <col min="5" max="5" width="9.5546875" style="89" bestFit="1" customWidth="1"/>
    <col min="6" max="6" width="11.44140625" style="89" customWidth="1"/>
    <col min="7" max="7" width="9.5546875" style="89" bestFit="1" customWidth="1"/>
    <col min="8" max="8" width="9.5546875" style="112" customWidth="1"/>
    <col min="9" max="9" width="9.5546875" style="89" bestFit="1" customWidth="1"/>
    <col min="10" max="10" width="11.109375" style="89" bestFit="1" customWidth="1"/>
    <col min="11" max="11" width="9.5546875" style="89" bestFit="1" customWidth="1"/>
    <col min="12" max="12" width="11.109375" style="89" bestFit="1" customWidth="1"/>
    <col min="13" max="13" width="9.5546875" style="89" bestFit="1" customWidth="1"/>
    <col min="14" max="14" width="11.6640625" style="89" customWidth="1"/>
    <col min="15" max="15" width="9.5546875" style="89" bestFit="1" customWidth="1"/>
    <col min="16" max="16" width="11.109375" style="89" bestFit="1" customWidth="1"/>
    <col min="17" max="17" width="9.5546875" style="89" bestFit="1" customWidth="1"/>
    <col min="18" max="18" width="11.109375" style="89" bestFit="1" customWidth="1"/>
    <col min="19" max="19" width="8.6640625" style="89" customWidth="1"/>
    <col min="20" max="20" width="10.77734375" style="89" customWidth="1"/>
    <col min="21" max="21" width="8.77734375" style="89" customWidth="1"/>
    <col min="22" max="22" width="10.77734375" style="89" customWidth="1"/>
    <col min="23" max="23" width="8.6640625" style="89" customWidth="1"/>
    <col min="24" max="24" width="10.77734375" style="89" customWidth="1"/>
    <col min="25" max="25" width="9.21875" style="89" customWidth="1"/>
    <col min="26" max="26" width="13" style="89" customWidth="1"/>
    <col min="27" max="27" width="9.5546875" style="89" bestFit="1" customWidth="1"/>
    <col min="28" max="28" width="11.109375" style="89" bestFit="1" customWidth="1"/>
    <col min="29" max="29" width="9.33203125" style="89" customWidth="1"/>
    <col min="30" max="30" width="12.21875" style="89" customWidth="1"/>
    <col min="31" max="31" width="9.5546875" style="89" bestFit="1" customWidth="1"/>
    <col min="32" max="32" width="11.5546875" style="89" customWidth="1"/>
    <col min="33" max="33" width="8.6640625" style="89" customWidth="1"/>
    <col min="34" max="34" width="12.5546875" style="89" customWidth="1"/>
    <col min="35" max="35" width="9.109375" style="89" customWidth="1"/>
    <col min="36" max="36" width="12.109375" style="89" customWidth="1"/>
    <col min="37" max="37" width="9.5546875" style="89" bestFit="1" customWidth="1"/>
    <col min="38" max="38" width="13.33203125" style="89" customWidth="1"/>
    <col min="39" max="41" width="8.77734375" style="89"/>
    <col min="42" max="42" width="11.88671875" style="89" customWidth="1"/>
    <col min="43" max="43" width="15.44140625" style="89" customWidth="1"/>
    <col min="44" max="16384" width="8.77734375" style="89"/>
  </cols>
  <sheetData>
    <row r="1" spans="1:38" ht="15" x14ac:dyDescent="0.2">
      <c r="A1" s="82"/>
      <c r="B1" s="82"/>
      <c r="C1" s="82"/>
      <c r="D1" s="82"/>
      <c r="E1" s="82"/>
      <c r="F1" s="82"/>
      <c r="G1" s="82"/>
      <c r="H1" s="88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</row>
    <row r="2" spans="1:38" ht="15.75" x14ac:dyDescent="0.25">
      <c r="A2" s="82"/>
      <c r="B2" s="4" t="s">
        <v>0</v>
      </c>
      <c r="C2" s="4"/>
      <c r="D2" s="4"/>
      <c r="E2" s="4"/>
      <c r="F2" s="4"/>
      <c r="G2" s="4"/>
      <c r="H2" s="90"/>
      <c r="I2" s="4"/>
      <c r="J2" s="4"/>
      <c r="K2" s="4"/>
      <c r="L2" s="4"/>
      <c r="M2" s="4"/>
      <c r="N2" s="4"/>
      <c r="O2" s="4"/>
      <c r="P2" s="4"/>
      <c r="Q2" s="4"/>
      <c r="R2" s="4"/>
      <c r="S2" s="82"/>
      <c r="T2" s="82"/>
      <c r="U2" s="82"/>
      <c r="V2" s="82"/>
      <c r="W2" s="82"/>
      <c r="X2" s="82"/>
      <c r="Y2" s="82"/>
    </row>
    <row r="3" spans="1:38" ht="15.75" x14ac:dyDescent="0.25">
      <c r="A3" s="82"/>
      <c r="B3" s="4" t="s">
        <v>92</v>
      </c>
      <c r="C3" s="4"/>
      <c r="D3" s="4"/>
      <c r="E3" s="4"/>
      <c r="F3" s="4"/>
      <c r="G3" s="4"/>
      <c r="H3" s="90"/>
      <c r="I3" s="4"/>
      <c r="J3" s="4"/>
      <c r="K3" s="4"/>
      <c r="L3" s="4"/>
      <c r="M3" s="4"/>
      <c r="N3" s="4"/>
      <c r="O3" s="4"/>
      <c r="P3" s="4"/>
      <c r="Q3" s="4"/>
      <c r="R3" s="4"/>
      <c r="S3" s="82"/>
      <c r="T3" s="82"/>
      <c r="U3" s="82"/>
      <c r="V3" s="82"/>
      <c r="W3" s="82"/>
      <c r="X3" s="82"/>
      <c r="Y3" s="82"/>
    </row>
    <row r="4" spans="1:38" ht="15.75" x14ac:dyDescent="0.25">
      <c r="A4" s="82"/>
      <c r="B4" s="4" t="s">
        <v>2</v>
      </c>
      <c r="C4" s="4"/>
      <c r="D4" s="4"/>
      <c r="E4" s="4"/>
      <c r="F4" s="4"/>
      <c r="G4" s="4"/>
      <c r="H4" s="90"/>
      <c r="I4" s="4"/>
      <c r="J4" s="4"/>
      <c r="K4" s="4"/>
      <c r="L4" s="4"/>
      <c r="M4" s="4"/>
      <c r="N4" s="4"/>
      <c r="O4" s="4"/>
      <c r="P4" s="4"/>
      <c r="Q4" s="4"/>
      <c r="R4" s="4"/>
      <c r="S4" s="82"/>
      <c r="T4" s="82"/>
      <c r="U4" s="82"/>
      <c r="V4" s="82"/>
      <c r="W4" s="82"/>
      <c r="X4" s="82"/>
      <c r="Y4" s="82"/>
    </row>
    <row r="5" spans="1:38" ht="15.75" x14ac:dyDescent="0.25">
      <c r="A5" s="82"/>
      <c r="B5" s="4"/>
      <c r="C5" s="4"/>
      <c r="D5" s="4"/>
      <c r="E5" s="4"/>
      <c r="F5" s="4"/>
      <c r="G5" s="4"/>
      <c r="H5" s="90"/>
      <c r="I5" s="4"/>
      <c r="J5" s="4"/>
      <c r="K5" s="4"/>
      <c r="L5" s="4"/>
      <c r="M5" s="4"/>
      <c r="N5" s="4"/>
      <c r="O5" s="4"/>
      <c r="P5" s="4"/>
      <c r="Q5" s="4"/>
      <c r="R5" s="4"/>
      <c r="S5" s="82"/>
      <c r="T5" s="82"/>
      <c r="U5" s="82"/>
      <c r="V5" s="82"/>
      <c r="W5" s="82"/>
      <c r="X5" s="82"/>
      <c r="Y5" s="82"/>
    </row>
    <row r="6" spans="1:38" ht="15" x14ac:dyDescent="0.2">
      <c r="A6" s="82"/>
      <c r="B6" s="82"/>
      <c r="C6" s="82"/>
      <c r="D6" s="82"/>
      <c r="E6" s="82"/>
      <c r="F6" s="82"/>
      <c r="G6" s="82"/>
      <c r="H6" s="88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</row>
    <row r="7" spans="1:38" ht="15.75" thickBot="1" x14ac:dyDescent="0.25">
      <c r="A7" s="82"/>
      <c r="B7" s="82"/>
      <c r="C7" s="82"/>
      <c r="D7" s="82"/>
      <c r="E7" s="82"/>
      <c r="F7" s="82"/>
      <c r="G7" s="82"/>
      <c r="H7" s="88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</row>
    <row r="8" spans="1:38" s="92" customFormat="1" ht="27.75" customHeight="1" thickBot="1" x14ac:dyDescent="0.25">
      <c r="A8" s="91"/>
      <c r="B8" s="91"/>
      <c r="C8" s="183">
        <v>2010</v>
      </c>
      <c r="D8" s="184"/>
      <c r="E8" s="183">
        <v>2011</v>
      </c>
      <c r="F8" s="184"/>
      <c r="G8" s="183">
        <v>2012</v>
      </c>
      <c r="H8" s="184"/>
      <c r="I8" s="183">
        <v>2013</v>
      </c>
      <c r="J8" s="184"/>
      <c r="K8" s="183">
        <v>2014</v>
      </c>
      <c r="L8" s="184"/>
      <c r="M8" s="183">
        <v>2015</v>
      </c>
      <c r="N8" s="184"/>
      <c r="O8" s="183">
        <v>2016</v>
      </c>
      <c r="P8" s="184"/>
      <c r="Q8" s="183">
        <v>2017</v>
      </c>
      <c r="R8" s="184"/>
      <c r="S8" s="186">
        <v>2018</v>
      </c>
      <c r="T8" s="184"/>
      <c r="U8" s="183">
        <v>2019</v>
      </c>
      <c r="V8" s="184"/>
      <c r="W8" s="183">
        <v>2020</v>
      </c>
      <c r="X8" s="184"/>
      <c r="Y8" s="181">
        <v>2021</v>
      </c>
      <c r="Z8" s="182"/>
      <c r="AA8" s="181">
        <v>2022</v>
      </c>
      <c r="AB8" s="182"/>
      <c r="AC8" s="181">
        <v>2023</v>
      </c>
      <c r="AD8" s="185"/>
      <c r="AE8" s="181">
        <v>2024</v>
      </c>
      <c r="AF8" s="185"/>
      <c r="AG8" s="181">
        <v>2025</v>
      </c>
      <c r="AH8" s="185"/>
      <c r="AI8" s="181">
        <v>2026</v>
      </c>
      <c r="AJ8" s="185"/>
      <c r="AK8" s="181">
        <v>2027</v>
      </c>
      <c r="AL8" s="182"/>
    </row>
    <row r="9" spans="1:38" ht="15" x14ac:dyDescent="0.2">
      <c r="A9" s="82"/>
      <c r="B9" s="82" t="s">
        <v>93</v>
      </c>
      <c r="C9" s="82"/>
      <c r="D9" s="93">
        <f>'2 - Fixed Asset Cont.'!$D$17</f>
        <v>0.22402939584900047</v>
      </c>
      <c r="E9" s="94"/>
      <c r="F9" s="93">
        <f>'2 - Fixed Asset Cont.'!$E$17</f>
        <v>2.389115801566053</v>
      </c>
      <c r="G9" s="94"/>
      <c r="H9" s="151">
        <f>'2 - Fixed Asset Cont.'!$F$15</f>
        <v>5.6531835403959239</v>
      </c>
      <c r="I9" s="94"/>
      <c r="J9" s="93">
        <f>'2 - Fixed Asset Cont.'!$G$15</f>
        <v>7.3488933915926538</v>
      </c>
      <c r="K9" s="94"/>
      <c r="L9" s="93">
        <f>'2 - Fixed Asset Cont.'!$H$15</f>
        <v>16.685362061648185</v>
      </c>
      <c r="M9" s="94"/>
      <c r="N9" s="93">
        <f>'2 - Fixed Asset Cont.'!$I$15</f>
        <v>32.180719433633598</v>
      </c>
      <c r="O9" s="94"/>
      <c r="P9" s="93">
        <f>'2 - Fixed Asset Cont.'!$J$15</f>
        <v>44.301086906274271</v>
      </c>
      <c r="Q9" s="94"/>
      <c r="R9" s="93">
        <f>'2 - Fixed Asset Cont.'!$K$15</f>
        <v>49.34738355045738</v>
      </c>
      <c r="S9" s="95"/>
      <c r="T9" s="93">
        <f>'2 - Fixed Asset Cont.'!$L$15</f>
        <v>48.889653456322009</v>
      </c>
      <c r="U9" s="95"/>
      <c r="V9" s="93">
        <f>'2 - Fixed Asset Cont.'!$M$15</f>
        <v>49.152387903715294</v>
      </c>
      <c r="W9" s="95"/>
      <c r="X9" s="93">
        <f>'2 - Fixed Asset Cont.'!$N$15</f>
        <v>47.405706520447787</v>
      </c>
      <c r="Y9" s="93"/>
      <c r="Z9" s="93">
        <f>'2 - Fixed Asset Cont.'!$O$15</f>
        <v>43.580163415035877</v>
      </c>
      <c r="AA9" s="96"/>
      <c r="AB9" s="96">
        <f>'2 - Fixed Asset Cont.'!$P$15</f>
        <v>39.933679267857769</v>
      </c>
      <c r="AC9" s="96"/>
      <c r="AD9" s="96">
        <f>'2 - Fixed Asset Cont.'!$Q$15</f>
        <v>37.523807653355348</v>
      </c>
      <c r="AE9" s="96"/>
      <c r="AF9" s="96">
        <f>'2 - Fixed Asset Cont.'!$R$15</f>
        <v>36.144250459446461</v>
      </c>
      <c r="AG9" s="96"/>
      <c r="AH9" s="96">
        <f>'2 - Fixed Asset Cont.'!$S$15</f>
        <v>34.242014142184495</v>
      </c>
      <c r="AI9" s="96"/>
      <c r="AJ9" s="96">
        <f>'2 - Fixed Asset Cont.'!$T$15</f>
        <v>31.836775529513812</v>
      </c>
      <c r="AK9" s="96"/>
      <c r="AL9" s="96">
        <f>'2 - Fixed Asset Cont.'!$U$15</f>
        <v>29.368845392536077</v>
      </c>
    </row>
    <row r="10" spans="1:38" ht="15" x14ac:dyDescent="0.2">
      <c r="A10" s="82"/>
      <c r="B10" s="82" t="s">
        <v>54</v>
      </c>
      <c r="C10" s="82"/>
      <c r="D10" s="94"/>
      <c r="E10" s="95">
        <f>'1 - Renewable Gen Invst Summary'!C26+'1 - Renewable Gen Invst Summary'!C32</f>
        <v>4.3416536268799995</v>
      </c>
      <c r="F10" s="94"/>
      <c r="G10" s="95">
        <f>'1 - Renewable Gen Invst Summary'!D26+'1 - Renewable Gen Invst Summary'!D32</f>
        <v>4.1870026287547866</v>
      </c>
      <c r="H10" s="151"/>
      <c r="I10" s="95">
        <f>'1 - Renewable Gen Invst Summary'!E26+'1 - Renewable Gen Invst Summary'!E32</f>
        <v>1.9777110480662603</v>
      </c>
      <c r="J10" s="94"/>
      <c r="K10" s="95">
        <f>'1 - Renewable Gen Invst Summary'!F26+'1 - Renewable Gen Invst Summary'!F32</f>
        <v>1.3091366419662236</v>
      </c>
      <c r="L10" s="94"/>
      <c r="M10" s="95">
        <f>'1 - Renewable Gen Invst Summary'!G26+'1 - Renewable Gen Invst Summary'!G32</f>
        <v>2.1101839999999998</v>
      </c>
      <c r="N10" s="94"/>
      <c r="O10" s="95">
        <f>'1 - Renewable Gen Invst Summary'!H26+'1 - Renewable Gen Invst Summary'!H32</f>
        <v>2.3105334595165363</v>
      </c>
      <c r="P10" s="94"/>
      <c r="Q10" s="95">
        <f>'1 - Renewable Gen Invst Summary'!$I$26+'1 - Renewable Gen Invst Summary'!I32</f>
        <v>2.3966210267061068</v>
      </c>
      <c r="R10" s="94"/>
      <c r="S10" s="95">
        <f>'1 - Renewable Gen Invst Summary'!J26+'1 - Renewable Gen Invst Summary'!J32</f>
        <v>1.614195008351925</v>
      </c>
      <c r="T10" s="94"/>
      <c r="U10" s="95">
        <f>'1 - Renewable Gen Invst Summary'!K26+'1 - Renewable Gen Invst Summary'!K32</f>
        <v>2.180050034333548</v>
      </c>
      <c r="V10" s="94"/>
      <c r="W10" s="95">
        <f>'1 - Renewable Gen Invst Summary'!L26+'1 - Renewable Gen Invst Summary'!L32</f>
        <v>1.6642053169823894</v>
      </c>
      <c r="X10" s="94"/>
      <c r="Y10" s="95">
        <f>'1 - Renewable Gen Invst Summary'!M26+'1 - Renewable Gen Invst Summary'!M32</f>
        <v>2.02850149948984</v>
      </c>
      <c r="Z10" s="96"/>
      <c r="AA10" s="95">
        <f>'1 - Renewable Gen Invst Summary'!N26+'1 - Renewable Gen Invst Summary'!N32</f>
        <v>1.9181458620799998</v>
      </c>
      <c r="AB10" s="96"/>
      <c r="AC10" s="95">
        <f>'1 - Renewable Gen Invst Summary'!O26+'1 - Renewable Gen Invst Summary'!O32</f>
        <v>1.3439104906239998</v>
      </c>
      <c r="AD10" s="96"/>
      <c r="AE10" s="95">
        <f>'1 - Renewable Gen Invst Summary'!P26+'1 - Renewable Gen Invst Summary'!P32</f>
        <v>1.3875875790413486</v>
      </c>
      <c r="AF10" s="96"/>
      <c r="AG10" s="95">
        <f>'1 - Renewable Gen Invst Summary'!Q26+'1 - Renewable Gen Invst Summary'!Q32</f>
        <v>1.5087503594733338</v>
      </c>
      <c r="AH10" s="96"/>
      <c r="AI10" s="96">
        <f>'1 - Renewable Gen Invst Summary'!R26+'1 - Renewable Gen Invst Summary'!R32</f>
        <v>1.5577778251981944</v>
      </c>
      <c r="AJ10" s="96"/>
      <c r="AK10" s="96">
        <f>'1 - Renewable Gen Invst Summary'!S26+'1 - Renewable Gen Invst Summary'!S32</f>
        <v>1.6083982833830839</v>
      </c>
      <c r="AL10" s="96"/>
    </row>
    <row r="11" spans="1:38" ht="15" x14ac:dyDescent="0.2">
      <c r="A11" s="82"/>
      <c r="B11" s="82" t="s">
        <v>94</v>
      </c>
      <c r="C11" s="136">
        <v>0.11715626258061443</v>
      </c>
      <c r="D11" s="97"/>
      <c r="E11" s="135">
        <v>0.11460610407981904</v>
      </c>
      <c r="F11" s="97">
        <f>E10*E11</f>
        <v>0.49758000744073305</v>
      </c>
      <c r="G11" s="134">
        <v>0.11460610407981904</v>
      </c>
      <c r="H11" s="98">
        <f>G10*G11</f>
        <v>0.479856059053547</v>
      </c>
      <c r="I11" s="134">
        <v>8.8982804471731458E-2</v>
      </c>
      <c r="J11" s="97">
        <f>I10*I11</f>
        <v>0.17598227549166315</v>
      </c>
      <c r="K11" s="134">
        <v>7.5708076003970795E-2</v>
      </c>
      <c r="L11" s="97">
        <f>K10*K11</f>
        <v>9.9112216389561955E-2</v>
      </c>
      <c r="M11" s="134">
        <v>7.4057363231460172E-2</v>
      </c>
      <c r="N11" s="97">
        <f>M10*M11</f>
        <v>0.15627466297321554</v>
      </c>
      <c r="O11" s="134">
        <v>6.838162194320932E-2</v>
      </c>
      <c r="P11" s="97">
        <f>O10*O11</f>
        <v>0.15799802551579531</v>
      </c>
      <c r="Q11" s="134">
        <v>7.7168625635264637E-2</v>
      </c>
      <c r="R11" s="97">
        <f>Q10*Q11</f>
        <v>0.18494395079948714</v>
      </c>
      <c r="S11" s="134">
        <v>7.7026292740134811E-2</v>
      </c>
      <c r="T11" s="97">
        <f>S10*S11</f>
        <v>0.12433545725297973</v>
      </c>
      <c r="U11" s="134">
        <v>7.7778449156050394E-2</v>
      </c>
      <c r="V11" s="97">
        <f>U10*U11</f>
        <v>0.16956091075305779</v>
      </c>
      <c r="W11" s="134">
        <v>7.7737229269662075E-2</v>
      </c>
      <c r="X11" s="97">
        <f>W10*W11</f>
        <v>0.12937071027805067</v>
      </c>
      <c r="Y11" s="134">
        <v>7.7486457465380035E-2</v>
      </c>
      <c r="Z11" s="97">
        <f>Y10*Y11</f>
        <v>0.1571813951586791</v>
      </c>
      <c r="AA11" s="134">
        <v>6.13E-2</v>
      </c>
      <c r="AB11" s="97">
        <f>AA10*AA11</f>
        <v>0.11758234134550399</v>
      </c>
      <c r="AC11" s="134">
        <v>6.2406648043844291E-2</v>
      </c>
      <c r="AD11" s="97">
        <f>AC10*AC11</f>
        <v>8.3868948990802064E-2</v>
      </c>
      <c r="AE11" s="137">
        <v>6.2406648043844291E-2</v>
      </c>
      <c r="AF11" s="97">
        <f>AE10*AE11</f>
        <v>8.6594689675243405E-2</v>
      </c>
      <c r="AG11" s="137">
        <v>6.2406648043844291E-2</v>
      </c>
      <c r="AH11" s="97">
        <f>AG10*AG11</f>
        <v>9.4156052669675902E-2</v>
      </c>
      <c r="AI11" s="137">
        <v>6.2406648043844291E-2</v>
      </c>
      <c r="AJ11" s="97">
        <f>AI10*AI11</f>
        <v>9.7215692467648912E-2</v>
      </c>
      <c r="AK11" s="137">
        <v>6.2406648043844291E-2</v>
      </c>
      <c r="AL11" s="97">
        <f>AK10*AK11</f>
        <v>0.10037474558541144</v>
      </c>
    </row>
    <row r="12" spans="1:38" ht="15" x14ac:dyDescent="0.2">
      <c r="A12" s="82"/>
      <c r="B12" s="82" t="s">
        <v>95</v>
      </c>
      <c r="C12" s="82"/>
      <c r="D12" s="94">
        <f>SUM(D9:D11)</f>
        <v>0.22402939584900047</v>
      </c>
      <c r="E12" s="94"/>
      <c r="F12" s="94">
        <f>SUM(F9:F11)</f>
        <v>2.886695809006786</v>
      </c>
      <c r="G12" s="94"/>
      <c r="H12" s="93">
        <f>SUM(H9:H11)</f>
        <v>6.1330395994494706</v>
      </c>
      <c r="I12" s="94"/>
      <c r="J12" s="94">
        <f>SUM(J9:J11)</f>
        <v>7.5248756670843173</v>
      </c>
      <c r="K12" s="94"/>
      <c r="L12" s="94">
        <f>SUM(L9:L11)</f>
        <v>16.784474278037745</v>
      </c>
      <c r="M12" s="94"/>
      <c r="N12" s="94">
        <f>SUM(N9:N11)</f>
        <v>32.336994096606816</v>
      </c>
      <c r="O12" s="94"/>
      <c r="P12" s="94">
        <f>SUM(P9:P11)</f>
        <v>44.459084931790066</v>
      </c>
      <c r="Q12" s="94"/>
      <c r="R12" s="94">
        <f>SUM(R9:R11)</f>
        <v>49.532327501256866</v>
      </c>
      <c r="S12" s="94"/>
      <c r="T12" s="94">
        <f>SUM(T9:T11)</f>
        <v>49.013988913574991</v>
      </c>
      <c r="U12" s="94"/>
      <c r="V12" s="94">
        <f>SUM(V9:V11)</f>
        <v>49.32194881446835</v>
      </c>
      <c r="W12" s="94"/>
      <c r="X12" s="94">
        <f>SUM(X9:X11)</f>
        <v>47.53507723072584</v>
      </c>
      <c r="Y12" s="94"/>
      <c r="Z12" s="94">
        <f>SUM(Z9:Z11)</f>
        <v>43.737344810194557</v>
      </c>
      <c r="AA12" s="96"/>
      <c r="AB12" s="94">
        <f>SUM(AB9:AB11)</f>
        <v>40.051261609203273</v>
      </c>
      <c r="AC12" s="94"/>
      <c r="AD12" s="96">
        <f>SUM(AD9:AD11)</f>
        <v>37.607676602346153</v>
      </c>
      <c r="AE12" s="96"/>
      <c r="AF12" s="96">
        <f>SUM(AF9:AF11)</f>
        <v>36.230845149121706</v>
      </c>
      <c r="AG12" s="96"/>
      <c r="AH12" s="96">
        <f>SUM(AH9:AH11)</f>
        <v>34.336170194854169</v>
      </c>
      <c r="AI12" s="96"/>
      <c r="AJ12" s="96">
        <f>SUM(AJ9:AJ11)</f>
        <v>31.933991221981461</v>
      </c>
      <c r="AK12" s="96"/>
      <c r="AL12" s="96">
        <f>SUM(AL9:AL11)</f>
        <v>29.469220138121489</v>
      </c>
    </row>
    <row r="13" spans="1:38" ht="15" x14ac:dyDescent="0.2">
      <c r="A13" s="82"/>
      <c r="B13" s="82"/>
      <c r="C13" s="82"/>
      <c r="D13" s="94"/>
      <c r="E13" s="94"/>
      <c r="F13" s="94"/>
      <c r="G13" s="94"/>
      <c r="H13" s="93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</row>
    <row r="14" spans="1:38" ht="15" x14ac:dyDescent="0.2">
      <c r="A14" s="82"/>
      <c r="B14" s="82"/>
      <c r="C14" s="82"/>
      <c r="D14" s="94"/>
      <c r="E14" s="94"/>
      <c r="F14" s="94"/>
      <c r="G14" s="94"/>
      <c r="H14" s="93"/>
      <c r="I14" s="94"/>
      <c r="J14" s="94"/>
      <c r="K14" s="94"/>
      <c r="L14" s="94"/>
      <c r="M14" s="94"/>
      <c r="N14" s="128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</row>
    <row r="15" spans="1:38" ht="15" x14ac:dyDescent="0.2">
      <c r="A15" s="82"/>
      <c r="B15" s="82" t="s">
        <v>96</v>
      </c>
      <c r="C15" s="99">
        <v>0.04</v>
      </c>
      <c r="D15" s="94"/>
      <c r="E15" s="133">
        <v>0.04</v>
      </c>
      <c r="F15" s="100"/>
      <c r="G15" s="133">
        <v>0.04</v>
      </c>
      <c r="H15" s="93"/>
      <c r="I15" s="133">
        <v>0.04</v>
      </c>
      <c r="J15" s="94"/>
      <c r="K15" s="133">
        <v>0.04</v>
      </c>
      <c r="L15" s="94"/>
      <c r="M15" s="133">
        <v>0.04</v>
      </c>
      <c r="N15" s="128"/>
      <c r="O15" s="133">
        <v>0.04</v>
      </c>
      <c r="P15" s="94"/>
      <c r="Q15" s="133">
        <v>0.04</v>
      </c>
      <c r="R15" s="94"/>
      <c r="S15" s="133">
        <v>0.04</v>
      </c>
      <c r="T15" s="94"/>
      <c r="U15" s="133">
        <v>0.04</v>
      </c>
      <c r="V15" s="94"/>
      <c r="W15" s="133">
        <v>0.04</v>
      </c>
      <c r="X15" s="94"/>
      <c r="Y15" s="133">
        <v>0.04</v>
      </c>
      <c r="Z15" s="96"/>
      <c r="AA15" s="133">
        <v>0.04</v>
      </c>
      <c r="AB15" s="96"/>
      <c r="AC15" s="133">
        <v>0.04</v>
      </c>
      <c r="AD15" s="96"/>
      <c r="AE15" s="133">
        <v>0.04</v>
      </c>
      <c r="AF15" s="96"/>
      <c r="AG15" s="133">
        <v>0.04</v>
      </c>
      <c r="AH15" s="96"/>
      <c r="AI15" s="133">
        <v>0.04</v>
      </c>
      <c r="AJ15" s="96"/>
      <c r="AK15" s="133">
        <v>0.04</v>
      </c>
      <c r="AL15" s="96"/>
    </row>
    <row r="16" spans="1:38" ht="15" x14ac:dyDescent="0.2">
      <c r="A16" s="82"/>
      <c r="B16" s="82" t="s">
        <v>97</v>
      </c>
      <c r="C16" s="99">
        <v>0.56000000000000005</v>
      </c>
      <c r="D16" s="100"/>
      <c r="E16" s="133">
        <v>0.56000000000000005</v>
      </c>
      <c r="F16" s="100"/>
      <c r="G16" s="133">
        <v>0.56000000000000005</v>
      </c>
      <c r="H16" s="93"/>
      <c r="I16" s="133">
        <v>0.56000000000000005</v>
      </c>
      <c r="J16" s="94"/>
      <c r="K16" s="133">
        <v>0.56000000000000005</v>
      </c>
      <c r="L16" s="100"/>
      <c r="M16" s="133">
        <v>0.56000000000000005</v>
      </c>
      <c r="N16" s="128"/>
      <c r="O16" s="133">
        <v>0.56000000000000005</v>
      </c>
      <c r="P16" s="94"/>
      <c r="Q16" s="133">
        <v>0.56000000000000005</v>
      </c>
      <c r="R16" s="94"/>
      <c r="S16" s="133">
        <v>0.56000000000000005</v>
      </c>
      <c r="T16" s="94"/>
      <c r="U16" s="133">
        <v>0.56000000000000005</v>
      </c>
      <c r="V16" s="94"/>
      <c r="W16" s="133">
        <v>0.56000000000000005</v>
      </c>
      <c r="X16" s="94"/>
      <c r="Y16" s="133">
        <v>0.56000000000000005</v>
      </c>
      <c r="Z16" s="96"/>
      <c r="AA16" s="133">
        <v>0.56000000000000005</v>
      </c>
      <c r="AB16" s="96"/>
      <c r="AC16" s="133">
        <v>0.56000000000000005</v>
      </c>
      <c r="AD16" s="96"/>
      <c r="AE16" s="133">
        <v>0.56000000000000005</v>
      </c>
      <c r="AF16" s="96"/>
      <c r="AG16" s="133">
        <v>0.56000000000000005</v>
      </c>
      <c r="AH16" s="96"/>
      <c r="AI16" s="133">
        <v>0.56000000000000005</v>
      </c>
      <c r="AJ16" s="96"/>
      <c r="AK16" s="133">
        <v>0.56000000000000005</v>
      </c>
      <c r="AL16" s="96"/>
    </row>
    <row r="17" spans="1:42" ht="15" x14ac:dyDescent="0.2">
      <c r="A17" s="82"/>
      <c r="B17" s="82" t="s">
        <v>98</v>
      </c>
      <c r="C17" s="99">
        <v>0.4</v>
      </c>
      <c r="D17" s="100"/>
      <c r="E17" s="133">
        <v>0.4</v>
      </c>
      <c r="F17" s="100"/>
      <c r="G17" s="133">
        <v>0.4</v>
      </c>
      <c r="H17" s="93"/>
      <c r="I17" s="133">
        <v>0.4</v>
      </c>
      <c r="J17" s="94"/>
      <c r="K17" s="133">
        <v>0.4</v>
      </c>
      <c r="L17" s="100"/>
      <c r="M17" s="133">
        <v>0.4</v>
      </c>
      <c r="N17" s="128"/>
      <c r="O17" s="133">
        <v>0.4</v>
      </c>
      <c r="P17" s="100"/>
      <c r="Q17" s="133">
        <v>0.4</v>
      </c>
      <c r="R17" s="94"/>
      <c r="S17" s="133">
        <v>0.4</v>
      </c>
      <c r="T17" s="94"/>
      <c r="U17" s="133">
        <v>0.4</v>
      </c>
      <c r="V17" s="94"/>
      <c r="W17" s="133">
        <v>0.4</v>
      </c>
      <c r="X17" s="94"/>
      <c r="Y17" s="133">
        <v>0.4</v>
      </c>
      <c r="Z17" s="96"/>
      <c r="AA17" s="133">
        <v>0.4</v>
      </c>
      <c r="AB17" s="96"/>
      <c r="AC17" s="133">
        <v>0.4</v>
      </c>
      <c r="AD17" s="96"/>
      <c r="AE17" s="133">
        <v>0.4</v>
      </c>
      <c r="AF17" s="96"/>
      <c r="AG17" s="133">
        <v>0.4</v>
      </c>
      <c r="AH17" s="96"/>
      <c r="AI17" s="133">
        <v>0.4</v>
      </c>
      <c r="AJ17" s="96"/>
      <c r="AK17" s="133">
        <v>0.4</v>
      </c>
      <c r="AL17" s="96"/>
    </row>
    <row r="18" spans="1:42" ht="15" x14ac:dyDescent="0.2">
      <c r="A18" s="82"/>
      <c r="B18" s="82" t="s">
        <v>99</v>
      </c>
      <c r="C18" s="82"/>
      <c r="D18" s="100">
        <v>3.1469424359208467E-4</v>
      </c>
      <c r="E18" s="94"/>
      <c r="F18" s="100"/>
      <c r="G18" s="94"/>
      <c r="H18" s="93"/>
      <c r="I18" s="94"/>
      <c r="J18" s="94"/>
      <c r="K18" s="94"/>
      <c r="L18" s="100"/>
      <c r="M18" s="94"/>
      <c r="N18" s="128"/>
      <c r="O18" s="94"/>
      <c r="P18" s="100"/>
      <c r="Q18" s="94"/>
      <c r="R18" s="94"/>
      <c r="S18" s="101"/>
      <c r="T18" s="93"/>
      <c r="U18" s="101"/>
      <c r="V18" s="93"/>
      <c r="W18" s="101"/>
      <c r="X18" s="93"/>
      <c r="Y18" s="93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</row>
    <row r="19" spans="1:42" ht="15" x14ac:dyDescent="0.2">
      <c r="A19" s="82"/>
      <c r="B19" s="82" t="s">
        <v>100</v>
      </c>
      <c r="C19" s="133">
        <v>2.07E-2</v>
      </c>
      <c r="D19" s="100">
        <f>$D$12*C15*C19</f>
        <v>1.854963397629724E-4</v>
      </c>
      <c r="E19" s="133">
        <v>2.4299999999999999E-2</v>
      </c>
      <c r="F19" s="100">
        <f>$F$12*E15*E19</f>
        <v>2.8058683263545961E-3</v>
      </c>
      <c r="G19" s="133">
        <v>2.4299999999999999E-2</v>
      </c>
      <c r="H19" s="93">
        <f>$H$12*G15*G19</f>
        <v>5.9613144906648851E-3</v>
      </c>
      <c r="I19" s="133">
        <v>2.0799999999999999E-2</v>
      </c>
      <c r="J19" s="94">
        <f>$J$12*I15*I19</f>
        <v>6.2606965550141514E-3</v>
      </c>
      <c r="K19" s="133">
        <v>2.0799999999999999E-2</v>
      </c>
      <c r="L19" s="100">
        <f>$L$12*K15*K19</f>
        <v>1.3964682599327403E-2</v>
      </c>
      <c r="M19" s="133">
        <v>2.27411E-2</v>
      </c>
      <c r="N19" s="94">
        <f>$N$12*M15*M19</f>
        <v>2.941515265801381E-2</v>
      </c>
      <c r="O19" s="133">
        <v>1.6535747619047619E-2</v>
      </c>
      <c r="P19" s="100">
        <f>$P$12*O15*O19</f>
        <v>2.9406568312235339E-2</v>
      </c>
      <c r="Q19" s="133">
        <v>1.7592890476190476E-2</v>
      </c>
      <c r="R19" s="94">
        <f>$R$12*Q15*Q19</f>
        <v>3.4856672510416381E-2</v>
      </c>
      <c r="S19" s="133">
        <v>2.29E-2</v>
      </c>
      <c r="T19" s="94">
        <f>$T$12*S15*S19</f>
        <v>4.4896813844834689E-2</v>
      </c>
      <c r="U19" s="133">
        <v>2.29E-2</v>
      </c>
      <c r="V19" s="94">
        <f>$V$12*U15*U19</f>
        <v>4.5178905114053008E-2</v>
      </c>
      <c r="W19" s="133">
        <v>2.29E-2</v>
      </c>
      <c r="X19" s="94">
        <f>$X$12*W15*W19</f>
        <v>4.354213074334487E-2</v>
      </c>
      <c r="Y19" s="133">
        <v>2.29E-2</v>
      </c>
      <c r="Z19" s="94">
        <f>$Z$12*Y15*Y19</f>
        <v>4.006340784613821E-2</v>
      </c>
      <c r="AA19" s="133">
        <v>2.29E-2</v>
      </c>
      <c r="AB19" s="94">
        <f>$AB$12*AA15*AA19</f>
        <v>3.6686955634030204E-2</v>
      </c>
      <c r="AC19" s="133">
        <v>4.793E-2</v>
      </c>
      <c r="AD19" s="94">
        <f>$AD$12*AC15*AC19</f>
        <v>7.2101437582018049E-2</v>
      </c>
      <c r="AE19" s="133">
        <v>4.793E-2</v>
      </c>
      <c r="AF19" s="94">
        <f>$AF$12*AE15*AE19</f>
        <v>6.9461776319896126E-2</v>
      </c>
      <c r="AG19" s="133">
        <v>4.793E-2</v>
      </c>
      <c r="AH19" s="94">
        <f>$AH$12*AG15*AG19</f>
        <v>6.5829305497574417E-2</v>
      </c>
      <c r="AI19" s="133">
        <v>4.793E-2</v>
      </c>
      <c r="AJ19" s="94">
        <f>$AJ$12*AI15*AI19</f>
        <v>6.1223847970782862E-2</v>
      </c>
      <c r="AK19" s="133">
        <v>4.793E-2</v>
      </c>
      <c r="AL19" s="94">
        <f>$AL$12*AK15*AK19</f>
        <v>5.6498388848806515E-2</v>
      </c>
    </row>
    <row r="20" spans="1:42" ht="15" x14ac:dyDescent="0.2">
      <c r="A20" s="82"/>
      <c r="B20" s="82" t="s">
        <v>101</v>
      </c>
      <c r="C20" s="133">
        <v>5.6733247692772937E-2</v>
      </c>
      <c r="D20" s="100">
        <f>$D$12*C16*C20</f>
        <v>7.1175525148916285E-3</v>
      </c>
      <c r="E20" s="133">
        <v>5.6043163287542455E-2</v>
      </c>
      <c r="F20" s="100">
        <f>$F$12*E16*E20</f>
        <v>9.0596556167953812E-2</v>
      </c>
      <c r="G20" s="133">
        <v>5.6043163287542455E-2</v>
      </c>
      <c r="H20" s="93">
        <f>$H$12*G16*G20</f>
        <v>0.19248036624370998</v>
      </c>
      <c r="I20" s="133">
        <v>5.0299999999999997E-2</v>
      </c>
      <c r="J20" s="94">
        <f>$J$12*I16*I20</f>
        <v>0.21196069779043109</v>
      </c>
      <c r="K20" s="133">
        <v>4.87E-2</v>
      </c>
      <c r="L20" s="100">
        <f>$L$12*K16*K20</f>
        <v>0.45774618251064542</v>
      </c>
      <c r="M20" s="133">
        <v>4.9097285575755177E-2</v>
      </c>
      <c r="N20" s="94">
        <f>$N$12*M16*M20</f>
        <v>0.88908883494066404</v>
      </c>
      <c r="O20" s="133">
        <v>4.7761714378376917E-2</v>
      </c>
      <c r="P20" s="100">
        <f>$P$12*O16*O20</f>
        <v>1.1891275849802487</v>
      </c>
      <c r="Q20" s="133">
        <v>4.4421389282556498E-2</v>
      </c>
      <c r="R20" s="94">
        <f>$R$12*Q16*Q20</f>
        <v>1.2321650891224698</v>
      </c>
      <c r="S20" s="133">
        <v>4.4723029633028433E-2</v>
      </c>
      <c r="T20" s="94">
        <f>$T$12*S16*S20</f>
        <v>1.2275502840242554</v>
      </c>
      <c r="U20" s="133">
        <v>4.4723029633028433E-2</v>
      </c>
      <c r="V20" s="94">
        <f t="shared" ref="V20:V21" si="0">$V$12*U16*U20</f>
        <v>1.2352631078973806</v>
      </c>
      <c r="W20" s="133">
        <v>4.4723029633028433E-2</v>
      </c>
      <c r="X20" s="94">
        <f t="shared" ref="X20:X21" si="1">$X$12*W16*W20</f>
        <v>1.1905110938549064</v>
      </c>
      <c r="Y20" s="133">
        <v>4.4723029633028433E-2</v>
      </c>
      <c r="Z20" s="94">
        <f>$Z$12*Y16*Y20</f>
        <v>1.0953972780891357</v>
      </c>
      <c r="AA20" s="133">
        <v>4.4723029633028433E-2</v>
      </c>
      <c r="AB20" s="100">
        <f>$AB$12*AA16*AA20</f>
        <v>1.0030797054816005</v>
      </c>
      <c r="AC20" s="133">
        <v>4.1678870319741601E-2</v>
      </c>
      <c r="AD20" s="94">
        <f>$AD$12*AC16*AC20</f>
        <v>0.87776946663614097</v>
      </c>
      <c r="AE20" s="133">
        <v>4.1678870319741601E-2</v>
      </c>
      <c r="AF20" s="94">
        <f>$AF$12*AE16*AE20</f>
        <v>0.8456339900651344</v>
      </c>
      <c r="AG20" s="133">
        <v>4.1678870319741601E-2</v>
      </c>
      <c r="AH20" s="94">
        <f>$AH$12*AG16*AG20</f>
        <v>0.80141195950362609</v>
      </c>
      <c r="AI20" s="133">
        <v>4.1678870319741601E-2</v>
      </c>
      <c r="AJ20" s="94">
        <f>$AJ$12*AI16*AI20</f>
        <v>0.7453447002023299</v>
      </c>
      <c r="AK20" s="133">
        <v>4.1678870319741601E-2</v>
      </c>
      <c r="AL20" s="94">
        <f>$AL$12*AK16*AK20</f>
        <v>0.68781653055398262</v>
      </c>
    </row>
    <row r="21" spans="1:42" ht="15" x14ac:dyDescent="0.2">
      <c r="A21" s="82"/>
      <c r="B21" s="82" t="s">
        <v>102</v>
      </c>
      <c r="C21" s="133">
        <v>9.8500000000000004E-2</v>
      </c>
      <c r="D21" s="100">
        <f>$D$12*C17*C21</f>
        <v>8.8267581964506202E-3</v>
      </c>
      <c r="E21" s="133">
        <v>9.6600000000000005E-2</v>
      </c>
      <c r="F21" s="100">
        <f>$F$12*E17*E21</f>
        <v>0.11154192606002222</v>
      </c>
      <c r="G21" s="133">
        <v>9.6600000000000005E-2</v>
      </c>
      <c r="H21" s="93">
        <f>$H$12*G17*G21</f>
        <v>0.23698065012272759</v>
      </c>
      <c r="I21" s="133">
        <v>8.9300000000000004E-2</v>
      </c>
      <c r="J21" s="94">
        <f>$J$12*I17*I21</f>
        <v>0.26878855882825181</v>
      </c>
      <c r="K21" s="133">
        <v>9.3600000000000003E-2</v>
      </c>
      <c r="L21" s="100">
        <f>$L$12*K17*K21</f>
        <v>0.62841071696973327</v>
      </c>
      <c r="M21" s="133">
        <v>9.35E-2</v>
      </c>
      <c r="N21" s="94">
        <f>$N$12*M17*M21</f>
        <v>1.209403579213095</v>
      </c>
      <c r="O21" s="133">
        <v>9.1899999999999996E-2</v>
      </c>
      <c r="P21" s="100">
        <f>$P$12*O17*O21</f>
        <v>1.6343159620926029</v>
      </c>
      <c r="Q21" s="133">
        <v>8.77E-2</v>
      </c>
      <c r="R21" s="94">
        <f>$R$12*Q17*Q21</f>
        <v>1.7375940487440908</v>
      </c>
      <c r="S21" s="133">
        <v>0.09</v>
      </c>
      <c r="T21" s="94">
        <f>$T$12*S17*S21</f>
        <v>1.7645036008886996</v>
      </c>
      <c r="U21" s="133">
        <v>0.09</v>
      </c>
      <c r="V21" s="94">
        <f t="shared" si="0"/>
        <v>1.7755901573208608</v>
      </c>
      <c r="W21" s="133">
        <v>0.09</v>
      </c>
      <c r="X21" s="94">
        <f t="shared" si="1"/>
        <v>1.7112627803061302</v>
      </c>
      <c r="Y21" s="133">
        <v>0.09</v>
      </c>
      <c r="Z21" s="94">
        <f>$Z$12*Y17*Y21</f>
        <v>1.5745444131670041</v>
      </c>
      <c r="AA21" s="133">
        <v>0.09</v>
      </c>
      <c r="AB21" s="94">
        <f>$AB$12*AA17*AA21</f>
        <v>1.4418454179313178</v>
      </c>
      <c r="AC21" s="133">
        <v>9.3600000000000003E-2</v>
      </c>
      <c r="AD21" s="94">
        <f>$AD$12*AC17*AC21</f>
        <v>1.40803141199184</v>
      </c>
      <c r="AE21" s="133">
        <v>9.3600000000000003E-2</v>
      </c>
      <c r="AF21" s="94">
        <f>$AF$12*AE17*AE21</f>
        <v>1.3564828423831168</v>
      </c>
      <c r="AG21" s="133">
        <v>9.3600000000000003E-2</v>
      </c>
      <c r="AH21" s="94">
        <f>$AH$12*AG17*AG21</f>
        <v>1.2855462120953403</v>
      </c>
      <c r="AI21" s="133">
        <v>9.3600000000000003E-2</v>
      </c>
      <c r="AJ21" s="94">
        <f>$AJ$12*AI17*AI21</f>
        <v>1.1956086313509859</v>
      </c>
      <c r="AK21" s="133">
        <v>9.3600000000000003E-2</v>
      </c>
      <c r="AL21" s="94">
        <f>$AL$12*AK17*AK21</f>
        <v>1.1033276019712686</v>
      </c>
    </row>
    <row r="22" spans="1:42" ht="15" x14ac:dyDescent="0.2">
      <c r="A22" s="82"/>
      <c r="B22" s="82"/>
      <c r="C22" s="82"/>
      <c r="D22" s="103">
        <f>SUM(D18:D21)</f>
        <v>1.6444501294697305E-2</v>
      </c>
      <c r="E22" s="94"/>
      <c r="F22" s="103">
        <f>SUM(F19:F21)</f>
        <v>0.20494435055433063</v>
      </c>
      <c r="G22" s="94"/>
      <c r="H22" s="104">
        <f>SUM(H19:H21)</f>
        <v>0.43542233085710247</v>
      </c>
      <c r="I22" s="94"/>
      <c r="J22" s="102">
        <f>SUM(J19:J21)</f>
        <v>0.48700995317369705</v>
      </c>
      <c r="K22" s="94"/>
      <c r="L22" s="103">
        <f>SUM(L19:L21)</f>
        <v>1.1001215820797061</v>
      </c>
      <c r="M22" s="94"/>
      <c r="N22" s="102">
        <f>SUM(N19:N21)</f>
        <v>2.1279075668117731</v>
      </c>
      <c r="O22" s="94"/>
      <c r="P22" s="103">
        <f>SUM(P19:P21)</f>
        <v>2.8528501153850869</v>
      </c>
      <c r="Q22" s="94"/>
      <c r="R22" s="102">
        <f>SUM(R19:R21)</f>
        <v>3.0046158103769773</v>
      </c>
      <c r="S22" s="94"/>
      <c r="T22" s="102">
        <f>SUM(T19:T21)</f>
        <v>3.0369506987577894</v>
      </c>
      <c r="U22" s="94"/>
      <c r="V22" s="102">
        <f>SUM(V19:V21)</f>
        <v>3.0560321703322941</v>
      </c>
      <c r="W22" s="94"/>
      <c r="X22" s="102">
        <f>SUM(X19:X21)</f>
        <v>2.9453160049043814</v>
      </c>
      <c r="Y22" s="94"/>
      <c r="Z22" s="102">
        <f>SUM(Z19:Z21)</f>
        <v>2.7100050991022782</v>
      </c>
      <c r="AA22" s="96"/>
      <c r="AB22" s="102">
        <f>SUM(AB19:AB21)</f>
        <v>2.4816120790469487</v>
      </c>
      <c r="AC22" s="96"/>
      <c r="AD22" s="102">
        <f>SUM(AD19:AD21)</f>
        <v>2.3579023162099988</v>
      </c>
      <c r="AE22" s="96"/>
      <c r="AF22" s="102">
        <f>SUM(AF19:AF21)</f>
        <v>2.2715786087681473</v>
      </c>
      <c r="AG22" s="96"/>
      <c r="AH22" s="102">
        <f>SUM(AH19:AH21)</f>
        <v>2.1527874770965409</v>
      </c>
      <c r="AI22" s="96"/>
      <c r="AJ22" s="102">
        <f>SUM(AJ19:AJ21)</f>
        <v>2.0021771795240988</v>
      </c>
      <c r="AK22" s="96"/>
      <c r="AL22" s="102">
        <f>SUM(AL19:AL21)</f>
        <v>1.8476425213740577</v>
      </c>
    </row>
    <row r="23" spans="1:42" s="158" customFormat="1" ht="15" x14ac:dyDescent="0.2">
      <c r="A23" s="157"/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</row>
    <row r="24" spans="1:42" s="158" customFormat="1" ht="15.75" x14ac:dyDescent="0.25">
      <c r="A24" s="157"/>
      <c r="B24" s="157" t="s">
        <v>103</v>
      </c>
      <c r="C24" s="157"/>
      <c r="D24" s="162"/>
      <c r="E24" s="93"/>
      <c r="F24" s="162">
        <f>E10</f>
        <v>4.3416536268799995</v>
      </c>
      <c r="G24" s="93"/>
      <c r="H24" s="162">
        <f>G10</f>
        <v>4.1870026287547866</v>
      </c>
      <c r="I24" s="93"/>
      <c r="J24" s="162">
        <f>I10</f>
        <v>1.9777110480662603</v>
      </c>
      <c r="K24" s="93"/>
      <c r="L24" s="162">
        <f>K10</f>
        <v>1.3091366419662236</v>
      </c>
      <c r="M24" s="93"/>
      <c r="N24" s="162">
        <f>M10</f>
        <v>2.1101839999999998</v>
      </c>
      <c r="O24" s="93"/>
      <c r="P24" s="162">
        <f>O10</f>
        <v>2.3105334595165363</v>
      </c>
      <c r="Q24" s="93"/>
      <c r="R24" s="162">
        <f>Q10</f>
        <v>2.3966210267061068</v>
      </c>
      <c r="S24" s="93"/>
      <c r="T24" s="162">
        <f>S10</f>
        <v>1.614195008351925</v>
      </c>
      <c r="U24" s="93"/>
      <c r="V24" s="162">
        <f>U10</f>
        <v>2.180050034333548</v>
      </c>
      <c r="W24" s="93"/>
      <c r="X24" s="162">
        <f>W10</f>
        <v>1.6642053169823894</v>
      </c>
      <c r="Y24" s="163"/>
      <c r="Z24" s="164">
        <f>Y10</f>
        <v>2.02850149948984</v>
      </c>
      <c r="AA24" s="163"/>
      <c r="AB24" s="164">
        <f>AA10</f>
        <v>1.9181458620799998</v>
      </c>
      <c r="AC24" s="163"/>
      <c r="AD24" s="162">
        <f>AC10</f>
        <v>1.3439104906239998</v>
      </c>
      <c r="AE24" s="163"/>
      <c r="AF24" s="162">
        <f>AE10</f>
        <v>1.3875875790413486</v>
      </c>
      <c r="AG24" s="163"/>
      <c r="AH24" s="162">
        <f>AG10</f>
        <v>1.5087503594733338</v>
      </c>
      <c r="AI24" s="163"/>
      <c r="AJ24" s="162">
        <f>AI10</f>
        <v>1.5577778251981944</v>
      </c>
      <c r="AK24" s="163"/>
      <c r="AL24" s="162">
        <f>AK10</f>
        <v>1.6083982833830839</v>
      </c>
    </row>
    <row r="25" spans="1:42" s="158" customFormat="1" ht="15" x14ac:dyDescent="0.2">
      <c r="A25" s="157"/>
      <c r="B25" s="157" t="s">
        <v>104</v>
      </c>
      <c r="C25" s="157"/>
      <c r="D25" s="165">
        <f>'2 - Fixed Asset Cont.'!$D$114</f>
        <v>1.379212783848432E-2</v>
      </c>
      <c r="E25" s="93"/>
      <c r="F25" s="165">
        <f>'2 - Fixed Asset Cont.'!$E$114</f>
        <v>0.14793243190635894</v>
      </c>
      <c r="G25" s="93"/>
      <c r="H25" s="165">
        <f>'2 - Fixed Asset Cont.'!$F$114</f>
        <v>0.3579885379873784</v>
      </c>
      <c r="I25" s="93"/>
      <c r="J25" s="165">
        <f>'2 - Fixed Asset Cont.'!$G$114</f>
        <v>0.48442226164214353</v>
      </c>
      <c r="K25" s="93"/>
      <c r="L25" s="165">
        <f>'2 - Fixed Asset Cont.'!$H$114</f>
        <v>1.0890348068149283</v>
      </c>
      <c r="M25" s="93"/>
      <c r="N25" s="165">
        <f>'2 - Fixed Asset Cont.'!$I$114</f>
        <v>1.8844796169504139</v>
      </c>
      <c r="O25" s="93"/>
      <c r="P25" s="165">
        <f>'2 - Fixed Asset Cont.'!$J$114</f>
        <v>3.165935818348232</v>
      </c>
      <c r="Q25" s="93"/>
      <c r="R25" s="165">
        <f>'2 - Fixed Asset Cont.'!$K$114</f>
        <v>3.6300150151455597</v>
      </c>
      <c r="S25" s="93"/>
      <c r="T25" s="165">
        <f>'2 - Fixed Asset Cont.'!$L$114</f>
        <v>3.8084664817051825</v>
      </c>
      <c r="U25" s="93"/>
      <c r="V25" s="165">
        <f>'2 - Fixed Asset Cont.'!$M$114</f>
        <v>4.1939801327082336</v>
      </c>
      <c r="W25" s="93"/>
      <c r="X25" s="165">
        <f>'2 - Fixed Asset Cont.'!$N$114</f>
        <v>4.3604512385067711</v>
      </c>
      <c r="Y25" s="163"/>
      <c r="Z25" s="165">
        <f>'2 - Fixed Asset Cont.'!$O$114</f>
        <v>3.9501469576770498</v>
      </c>
      <c r="AA25" s="163"/>
      <c r="AB25" s="165">
        <f>'2 - Fixed Asset Cont.'!$P$114</f>
        <v>4.0665297509391696</v>
      </c>
      <c r="AC25" s="163"/>
      <c r="AD25" s="165">
        <f>'2 - Fixed Asset Cont.'!$Q$114</f>
        <v>3.5672305921762399</v>
      </c>
      <c r="AE25" s="163"/>
      <c r="AF25" s="165">
        <f>'2 - Fixed Asset Cont.'!$R$114</f>
        <v>3.6692746013508497</v>
      </c>
      <c r="AG25" s="163"/>
      <c r="AH25" s="165">
        <f>'2 - Fixed Asset Cont.'!$S$114</f>
        <v>3.7516980887947549</v>
      </c>
      <c r="AI25" s="163"/>
      <c r="AJ25" s="165">
        <f>'2 - Fixed Asset Cont.'!$T$114</f>
        <v>3.8145036809108661</v>
      </c>
      <c r="AK25" s="163"/>
      <c r="AL25" s="165">
        <f>'2 - Fixed Asset Cont.'!$U$114</f>
        <v>3.8773145937190705</v>
      </c>
    </row>
    <row r="26" spans="1:42" s="158" customFormat="1" ht="15" x14ac:dyDescent="0.2">
      <c r="A26" s="157"/>
      <c r="B26" s="157" t="s">
        <v>105</v>
      </c>
      <c r="C26" s="157"/>
      <c r="D26" s="165">
        <f>'3 - Income Taxes &amp; UCC'!$D$19</f>
        <v>1.8621786501121828E-3</v>
      </c>
      <c r="E26" s="93"/>
      <c r="F26" s="165">
        <f>'3 - Income Taxes &amp; UCC'!$E$19</f>
        <v>2.4727057382131365E-2</v>
      </c>
      <c r="G26" s="93"/>
      <c r="H26" s="165">
        <f>'3 - Income Taxes &amp; UCC'!$F$19</f>
        <v>4.7221056382234561E-2</v>
      </c>
      <c r="I26" s="93"/>
      <c r="J26" s="165">
        <f>'3 - Income Taxes &amp; UCC'!$G$19</f>
        <v>5.7161089478111576E-2</v>
      </c>
      <c r="K26" s="93"/>
      <c r="L26" s="165">
        <f>'3 - Income Taxes &amp; UCC'!$H$19</f>
        <v>0.12997389625378197</v>
      </c>
      <c r="M26" s="93"/>
      <c r="N26" s="165">
        <f>'3 - Income Taxes &amp; UCC'!$I$19</f>
        <v>0.17555557517473952</v>
      </c>
      <c r="O26" s="93"/>
      <c r="P26" s="165">
        <f>'3 - Income Taxes &amp; UCC'!$J$19</f>
        <v>0.44354079522607948</v>
      </c>
      <c r="Q26" s="93"/>
      <c r="R26" s="165">
        <f>'3 - Income Taxes &amp; UCC'!$K$19</f>
        <v>0.50750848421692618</v>
      </c>
      <c r="S26" s="93"/>
      <c r="T26" s="165">
        <f>'3 - Income Taxes &amp; UCC'!$L$19</f>
        <v>0.60169686158859803</v>
      </c>
      <c r="U26" s="93"/>
      <c r="V26" s="165">
        <f>'3 - Income Taxes &amp; UCC'!$M$19</f>
        <v>0.73430957024491361</v>
      </c>
      <c r="W26" s="93"/>
      <c r="X26" s="165">
        <f>'3 - Income Taxes &amp; UCC'!$N$19</f>
        <v>0.81158609859364361</v>
      </c>
      <c r="Y26" s="163"/>
      <c r="Z26" s="165">
        <f>'3 - Income Taxes &amp; UCC'!$O$19</f>
        <v>0.71505173919904041</v>
      </c>
      <c r="AA26" s="163"/>
      <c r="AB26" s="165">
        <f>'3 - Income Taxes &amp; UCC'!$P$19</f>
        <v>0.80087937468589643</v>
      </c>
      <c r="AC26" s="163"/>
      <c r="AD26" s="165">
        <f>'3 - Income Taxes &amp; UCC'!$Q$19</f>
        <v>0.66289607712509901</v>
      </c>
      <c r="AE26" s="163"/>
      <c r="AF26" s="165">
        <v>0.70700249086366862</v>
      </c>
      <c r="AG26" s="163"/>
      <c r="AH26" s="165">
        <v>0.74738810705572423</v>
      </c>
      <c r="AI26" s="163"/>
      <c r="AJ26" s="165">
        <v>0.78336429933769369</v>
      </c>
      <c r="AK26" s="163"/>
      <c r="AL26" s="165">
        <v>0.81483344834489757</v>
      </c>
    </row>
    <row r="27" spans="1:42" ht="15" x14ac:dyDescent="0.2">
      <c r="A27" s="82"/>
      <c r="B27" s="82"/>
      <c r="C27" s="82"/>
      <c r="D27" s="100"/>
      <c r="E27" s="94"/>
      <c r="F27" s="94"/>
      <c r="G27" s="94"/>
      <c r="H27" s="93"/>
      <c r="I27" s="94"/>
      <c r="J27" s="94"/>
      <c r="K27" s="94"/>
      <c r="L27" s="100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</row>
    <row r="28" spans="1:42" s="107" customFormat="1" ht="15.75" x14ac:dyDescent="0.25">
      <c r="A28" s="4"/>
      <c r="B28" s="4" t="s">
        <v>106</v>
      </c>
      <c r="C28" s="4"/>
      <c r="D28" s="166">
        <f>SUM(D22:D26)</f>
        <v>3.2098807783293812E-2</v>
      </c>
      <c r="E28" s="108"/>
      <c r="F28" s="166">
        <f>SUM(F22:F26)</f>
        <v>4.7192574667228202</v>
      </c>
      <c r="G28" s="108"/>
      <c r="H28" s="166">
        <f>SUM(H22:H26)</f>
        <v>5.0276345539815015</v>
      </c>
      <c r="I28" s="108"/>
      <c r="J28" s="166">
        <f>SUM(J22:J26)</f>
        <v>3.0063043523602122</v>
      </c>
      <c r="K28" s="108"/>
      <c r="L28" s="166">
        <f>SUM(L22:L26)</f>
        <v>3.6282669271146402</v>
      </c>
      <c r="M28" s="108"/>
      <c r="N28" s="166">
        <f>SUM(N22:N26)</f>
        <v>6.2981267589369274</v>
      </c>
      <c r="O28" s="108"/>
      <c r="P28" s="166">
        <f>SUM(P22:P26)</f>
        <v>8.7728601884759332</v>
      </c>
      <c r="Q28" s="108"/>
      <c r="R28" s="166">
        <f>SUM(R22:R26)</f>
        <v>9.53876033644557</v>
      </c>
      <c r="S28" s="108"/>
      <c r="T28" s="166">
        <f>SUM(T22:T26)</f>
        <v>9.0613090504034961</v>
      </c>
      <c r="U28" s="108"/>
      <c r="V28" s="166">
        <f>SUM(V22:V26)</f>
        <v>10.164371907618989</v>
      </c>
      <c r="W28" s="108"/>
      <c r="X28" s="166">
        <f>SUM(X22:X26)</f>
        <v>9.7815586589871852</v>
      </c>
      <c r="Y28" s="108"/>
      <c r="Z28" s="166">
        <f>SUM(Z22:Z26)</f>
        <v>9.4037052954682085</v>
      </c>
      <c r="AA28" s="167"/>
      <c r="AB28" s="166">
        <f>SUM(AB22:AB26)</f>
        <v>9.2671670667520143</v>
      </c>
      <c r="AC28" s="167"/>
      <c r="AD28" s="166">
        <f>SUM(AD22:AD26)</f>
        <v>7.9319394761353372</v>
      </c>
      <c r="AE28" s="167"/>
      <c r="AF28" s="166">
        <f>SUM(AF22:AF26)</f>
        <v>8.0354432800240136</v>
      </c>
      <c r="AG28" s="167"/>
      <c r="AH28" s="166">
        <f>SUM(AH22:AH26)</f>
        <v>8.1606240324203547</v>
      </c>
      <c r="AI28" s="167"/>
      <c r="AJ28" s="166">
        <f>SUM(AJ22:AJ26)</f>
        <v>8.1578229849708528</v>
      </c>
      <c r="AK28" s="167"/>
      <c r="AL28" s="166">
        <f>SUM(AL22:AL26)</f>
        <v>8.1481888468211103</v>
      </c>
      <c r="AP28" s="106"/>
    </row>
    <row r="29" spans="1:42" s="107" customFormat="1" ht="15.75" x14ac:dyDescent="0.25">
      <c r="A29" s="4"/>
      <c r="B29" s="4"/>
      <c r="C29" s="4"/>
      <c r="D29" s="105"/>
      <c r="E29" s="105"/>
      <c r="F29" s="105"/>
      <c r="G29" s="105"/>
      <c r="H29" s="108"/>
      <c r="I29" s="105"/>
      <c r="J29" s="105"/>
      <c r="K29" s="105"/>
      <c r="L29" s="105"/>
      <c r="M29" s="105"/>
      <c r="N29" s="149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</row>
    <row r="30" spans="1:42" s="107" customFormat="1" ht="15.75" x14ac:dyDescent="0.25">
      <c r="A30" s="4"/>
      <c r="B30" s="4" t="s">
        <v>107</v>
      </c>
      <c r="C30" s="4"/>
      <c r="D30" s="105"/>
      <c r="E30" s="105"/>
      <c r="F30" s="105"/>
      <c r="G30" s="105"/>
      <c r="H30" s="108"/>
      <c r="I30" s="105"/>
      <c r="J30" s="105"/>
      <c r="K30" s="105"/>
      <c r="L30" s="105"/>
      <c r="M30" s="105"/>
      <c r="N30" s="149"/>
      <c r="O30" s="105"/>
      <c r="P30" s="105"/>
      <c r="Q30" s="105"/>
      <c r="R30" s="105"/>
      <c r="S30" s="105"/>
      <c r="T30" s="109"/>
      <c r="U30" s="110"/>
      <c r="V30" s="109"/>
      <c r="W30" s="110"/>
      <c r="X30" s="109"/>
      <c r="Y30" s="109"/>
      <c r="Z30" s="106"/>
      <c r="AA30" s="106"/>
      <c r="AB30" s="106"/>
      <c r="AC30" s="106"/>
      <c r="AD30" s="106"/>
      <c r="AE30" s="106"/>
      <c r="AF30" s="106">
        <f>AF28/12</f>
        <v>0.66962027333533447</v>
      </c>
      <c r="AG30" s="106"/>
      <c r="AH30" s="106">
        <f>AH28/12</f>
        <v>0.68005200270169619</v>
      </c>
      <c r="AI30" s="106"/>
      <c r="AJ30" s="106">
        <f>AJ28/12</f>
        <v>0.6798185820809044</v>
      </c>
      <c r="AK30" s="106"/>
      <c r="AL30" s="106">
        <f>AL28/12</f>
        <v>0.67901573723509256</v>
      </c>
    </row>
    <row r="31" spans="1:42" ht="15" x14ac:dyDescent="0.2">
      <c r="A31" s="82"/>
      <c r="B31" s="82"/>
      <c r="C31" s="82"/>
      <c r="D31" s="94"/>
      <c r="E31" s="94"/>
      <c r="F31" s="94"/>
      <c r="G31" s="94"/>
      <c r="H31" s="93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6"/>
      <c r="AA31" s="96"/>
      <c r="AB31" s="96"/>
      <c r="AC31" s="96"/>
      <c r="AD31" s="96"/>
      <c r="AE31" s="96"/>
      <c r="AF31" s="153"/>
      <c r="AG31" s="153"/>
      <c r="AH31" s="153"/>
      <c r="AI31" s="153"/>
      <c r="AJ31" s="153"/>
      <c r="AK31" s="153"/>
      <c r="AL31" s="153"/>
    </row>
    <row r="32" spans="1:42" ht="15" x14ac:dyDescent="0.2">
      <c r="A32" s="82"/>
      <c r="B32" s="82"/>
      <c r="C32" s="82"/>
      <c r="D32" s="82"/>
      <c r="E32" s="82"/>
      <c r="F32" s="82"/>
      <c r="G32" s="82"/>
      <c r="H32" s="88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94"/>
      <c r="U32" s="94"/>
      <c r="V32" s="94"/>
      <c r="W32" s="94"/>
      <c r="X32" s="94"/>
      <c r="Y32" s="94"/>
      <c r="Z32" s="96"/>
      <c r="AA32" s="96"/>
      <c r="AB32" s="96"/>
      <c r="AC32" s="96"/>
      <c r="AD32" s="96"/>
      <c r="AE32" s="96"/>
      <c r="AF32" s="153"/>
      <c r="AG32" s="153"/>
      <c r="AH32" s="153"/>
      <c r="AI32" s="153"/>
      <c r="AJ32" s="153"/>
      <c r="AK32" s="153"/>
      <c r="AL32" s="153"/>
    </row>
    <row r="33" spans="1:38" ht="16.5" customHeight="1" x14ac:dyDescent="0.2">
      <c r="A33" s="82" t="s">
        <v>13</v>
      </c>
      <c r="B33" s="82"/>
      <c r="C33" s="82"/>
      <c r="D33" s="161"/>
      <c r="E33" s="82"/>
      <c r="F33" s="82"/>
      <c r="G33" s="82"/>
      <c r="H33" s="88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AF33" s="153"/>
      <c r="AG33" s="153"/>
      <c r="AH33" s="153"/>
      <c r="AI33" s="153"/>
      <c r="AJ33" s="153"/>
      <c r="AK33" s="153"/>
      <c r="AL33" s="153"/>
    </row>
    <row r="35" spans="1:38" ht="15" x14ac:dyDescent="0.2">
      <c r="A35" s="111" t="s">
        <v>15</v>
      </c>
      <c r="B35" s="82" t="s">
        <v>108</v>
      </c>
      <c r="C35" s="82"/>
      <c r="D35" s="82"/>
      <c r="E35" s="82"/>
      <c r="F35" s="82"/>
      <c r="G35" s="82"/>
      <c r="H35" s="88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AH35" s="152"/>
    </row>
    <row r="36" spans="1:38" ht="15" x14ac:dyDescent="0.2">
      <c r="A36" s="111" t="s">
        <v>17</v>
      </c>
      <c r="B36" s="82" t="s">
        <v>109</v>
      </c>
      <c r="C36" s="82"/>
      <c r="D36" s="82"/>
      <c r="E36" s="82"/>
      <c r="F36" s="82"/>
      <c r="G36" s="82"/>
      <c r="H36" s="88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</row>
    <row r="37" spans="1:38" ht="15" x14ac:dyDescent="0.2">
      <c r="A37" s="111" t="s">
        <v>110</v>
      </c>
      <c r="B37" s="82" t="s">
        <v>118</v>
      </c>
      <c r="C37" s="82"/>
      <c r="D37" s="82"/>
      <c r="E37" s="82"/>
      <c r="F37" s="82"/>
      <c r="G37" s="82"/>
      <c r="H37" s="88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</row>
    <row r="38" spans="1:38" ht="15" x14ac:dyDescent="0.2">
      <c r="A38" s="82"/>
      <c r="B38" s="82"/>
      <c r="C38" s="82"/>
      <c r="D38" s="82"/>
      <c r="E38" s="82"/>
      <c r="F38" s="82"/>
      <c r="G38" s="82"/>
      <c r="H38" s="88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</row>
    <row r="39" spans="1:38" ht="15" x14ac:dyDescent="0.2">
      <c r="A39" s="82"/>
      <c r="B39" s="82"/>
      <c r="C39" s="82"/>
      <c r="D39" s="82"/>
      <c r="E39" s="82"/>
      <c r="F39" s="82"/>
      <c r="G39" s="82"/>
      <c r="H39" s="88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</row>
  </sheetData>
  <mergeCells count="18">
    <mergeCell ref="U8:V8"/>
    <mergeCell ref="W8:X8"/>
    <mergeCell ref="Y8:Z8"/>
    <mergeCell ref="AA8:AB8"/>
    <mergeCell ref="AK8:AL8"/>
    <mergeCell ref="O8:P8"/>
    <mergeCell ref="C8:D8"/>
    <mergeCell ref="AE8:AF8"/>
    <mergeCell ref="AG8:AH8"/>
    <mergeCell ref="AI8:AJ8"/>
    <mergeCell ref="E8:F8"/>
    <mergeCell ref="G8:H8"/>
    <mergeCell ref="I8:J8"/>
    <mergeCell ref="K8:L8"/>
    <mergeCell ref="M8:N8"/>
    <mergeCell ref="AC8:AD8"/>
    <mergeCell ref="Q8:R8"/>
    <mergeCell ref="S8:T8"/>
  </mergeCells>
  <pageMargins left="0.74803149606299213" right="0.74803149606299213" top="0.98425196850393704" bottom="0.98425196850393704" header="0.51181102362204722" footer="0.51181102362204722"/>
  <pageSetup scale="79" orientation="landscape" r:id="rId1"/>
  <headerFooter alignWithMargins="0">
    <oddFooter>&amp;L&amp;Z&amp;F&amp;R&amp;A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B39"/>
  <sheetViews>
    <sheetView zoomScale="70" zoomScaleNormal="70" zoomScaleSheetLayoutView="70" workbookViewId="0">
      <pane xSplit="2" ySplit="8" topLeftCell="C9" activePane="bottomRight" state="frozen"/>
      <selection pane="topRight" activeCell="E1" sqref="E1"/>
      <selection pane="bottomLeft" activeCell="A7" sqref="A7"/>
      <selection pane="bottomRight" activeCell="D25" sqref="D25"/>
    </sheetView>
  </sheetViews>
  <sheetFormatPr defaultColWidth="8.77734375" defaultRowHeight="15" x14ac:dyDescent="0.25"/>
  <cols>
    <col min="1" max="1" width="3" style="1" customWidth="1"/>
    <col min="2" max="2" width="162.21875" style="1" customWidth="1"/>
    <col min="3" max="3" width="6.44140625" style="1" bestFit="1" customWidth="1"/>
    <col min="4" max="4" width="10.109375" style="1" bestFit="1" customWidth="1"/>
    <col min="5" max="5" width="6.44140625" style="1" bestFit="1" customWidth="1"/>
    <col min="6" max="6" width="10.109375" style="1" bestFit="1" customWidth="1"/>
    <col min="7" max="7" width="6.44140625" style="1" bestFit="1" customWidth="1"/>
    <col min="8" max="8" width="10.109375" style="1" bestFit="1" customWidth="1"/>
    <col min="9" max="9" width="6.44140625" style="1" bestFit="1" customWidth="1"/>
    <col min="10" max="10" width="10.77734375" style="1" bestFit="1" customWidth="1"/>
    <col min="11" max="11" width="6.44140625" style="1" bestFit="1" customWidth="1"/>
    <col min="12" max="12" width="10.77734375" style="1" bestFit="1" customWidth="1"/>
    <col min="13" max="13" width="6.44140625" style="1" bestFit="1" customWidth="1"/>
    <col min="14" max="14" width="10.77734375" style="1" bestFit="1" customWidth="1"/>
    <col min="15" max="15" width="6.44140625" style="1" bestFit="1" customWidth="1"/>
    <col min="16" max="16" width="10.109375" style="1" bestFit="1" customWidth="1"/>
    <col min="17" max="17" width="7.109375" style="1" customWidth="1"/>
    <col min="18" max="18" width="10.77734375" style="1" customWidth="1"/>
    <col min="19" max="19" width="8.77734375" style="1" customWidth="1"/>
    <col min="20" max="20" width="10.77734375" style="1" customWidth="1"/>
    <col min="21" max="21" width="7.109375" style="1" customWidth="1"/>
    <col min="22" max="23" width="10.77734375" style="1" customWidth="1"/>
    <col min="24" max="24" width="10.109375" style="1" bestFit="1" customWidth="1"/>
    <col min="25" max="25" width="8.77734375" style="1"/>
    <col min="26" max="26" width="10.109375" style="1" bestFit="1" customWidth="1"/>
    <col min="27" max="27" width="11.77734375" style="1" customWidth="1"/>
    <col min="28" max="28" width="10.109375" style="1" bestFit="1" customWidth="1"/>
    <col min="29" max="16384" width="8.77734375" style="1"/>
  </cols>
  <sheetData>
    <row r="1" spans="1:28" ht="15.75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</row>
    <row r="2" spans="1:28" ht="15.75" x14ac:dyDescent="0.25">
      <c r="A2" s="33"/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3"/>
      <c r="R2" s="33"/>
      <c r="S2" s="33"/>
      <c r="T2" s="33"/>
      <c r="U2" s="33"/>
      <c r="V2" s="33"/>
      <c r="W2" s="33"/>
    </row>
    <row r="3" spans="1:28" ht="15.75" x14ac:dyDescent="0.25">
      <c r="A3" s="33"/>
      <c r="B3" s="35" t="s">
        <v>92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3"/>
      <c r="R3" s="33"/>
      <c r="S3" s="33"/>
      <c r="T3" s="33"/>
      <c r="U3" s="33"/>
      <c r="V3" s="33"/>
      <c r="W3" s="33"/>
    </row>
    <row r="4" spans="1:28" ht="15.75" x14ac:dyDescent="0.25">
      <c r="A4" s="33"/>
      <c r="B4" s="35" t="s">
        <v>2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3"/>
      <c r="R4" s="33"/>
      <c r="S4" s="33"/>
      <c r="T4" s="33"/>
      <c r="U4" s="33"/>
      <c r="V4" s="33"/>
      <c r="W4" s="33"/>
    </row>
    <row r="5" spans="1:28" ht="15.75" x14ac:dyDescent="0.25">
      <c r="A5" s="33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3"/>
      <c r="R5" s="33"/>
      <c r="S5" s="33"/>
      <c r="T5" s="33"/>
      <c r="U5" s="33"/>
      <c r="V5" s="33"/>
      <c r="W5" s="33"/>
    </row>
    <row r="6" spans="1:28" ht="15.75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</row>
    <row r="7" spans="1:28" ht="16.5" thickBot="1" x14ac:dyDescent="0.3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</row>
    <row r="8" spans="1:28" s="2" customFormat="1" ht="27.75" customHeight="1" thickBot="1" x14ac:dyDescent="0.25">
      <c r="A8" s="36"/>
      <c r="B8" s="36"/>
      <c r="C8" s="189">
        <v>2011</v>
      </c>
      <c r="D8" s="184"/>
      <c r="E8" s="189">
        <v>2012</v>
      </c>
      <c r="F8" s="184"/>
      <c r="G8" s="189">
        <v>2013</v>
      </c>
      <c r="H8" s="184"/>
      <c r="I8" s="189">
        <v>2014</v>
      </c>
      <c r="J8" s="184"/>
      <c r="K8" s="189">
        <v>2015</v>
      </c>
      <c r="L8" s="184"/>
      <c r="M8" s="189">
        <v>2016</v>
      </c>
      <c r="N8" s="184"/>
      <c r="O8" s="189">
        <v>2017</v>
      </c>
      <c r="P8" s="184"/>
      <c r="Q8" s="187">
        <v>2018</v>
      </c>
      <c r="R8" s="188"/>
      <c r="S8" s="189">
        <v>2019</v>
      </c>
      <c r="T8" s="188"/>
      <c r="U8" s="189">
        <v>2020</v>
      </c>
      <c r="V8" s="188"/>
      <c r="W8" s="190">
        <v>2021</v>
      </c>
      <c r="X8" s="191"/>
      <c r="Y8" s="190">
        <v>2022</v>
      </c>
      <c r="Z8" s="191"/>
      <c r="AA8" s="190">
        <v>2023</v>
      </c>
      <c r="AB8" s="191"/>
    </row>
    <row r="9" spans="1:28" ht="15.75" x14ac:dyDescent="0.25">
      <c r="A9" s="33"/>
      <c r="B9" s="33" t="s">
        <v>93</v>
      </c>
      <c r="C9" s="33"/>
      <c r="D9" s="38">
        <v>2.237255160162507</v>
      </c>
      <c r="E9" s="33"/>
      <c r="F9" s="38">
        <v>5.2938785463810358</v>
      </c>
      <c r="G9" s="33"/>
      <c r="H9" s="38">
        <v>6.9197644512603578</v>
      </c>
      <c r="I9" s="33"/>
      <c r="J9" s="38">
        <v>16.858336533100115</v>
      </c>
      <c r="K9" s="33"/>
      <c r="L9" s="38">
        <v>32.674624420540198</v>
      </c>
      <c r="M9" s="33"/>
      <c r="N9" s="38">
        <v>44.085276722040845</v>
      </c>
      <c r="O9" s="33"/>
      <c r="P9" s="38">
        <v>49.274288992138011</v>
      </c>
      <c r="Q9" s="37"/>
      <c r="R9" s="38">
        <v>49.597386263235556</v>
      </c>
      <c r="S9" s="37"/>
      <c r="T9" s="38">
        <v>49.972824621500394</v>
      </c>
      <c r="U9" s="37"/>
      <c r="V9" s="38">
        <v>48.182185833643096</v>
      </c>
      <c r="W9" s="38"/>
      <c r="X9" s="38">
        <v>44.365073621318132</v>
      </c>
      <c r="Z9" s="56">
        <v>40.640268292944171</v>
      </c>
      <c r="AB9" s="56">
        <v>37.475017161816197</v>
      </c>
    </row>
    <row r="10" spans="1:28" ht="15.75" x14ac:dyDescent="0.25">
      <c r="A10" s="33"/>
      <c r="B10" s="33" t="s">
        <v>54</v>
      </c>
      <c r="C10" s="40">
        <v>0</v>
      </c>
      <c r="D10" s="33"/>
      <c r="E10" s="40">
        <v>3.9208334399030291</v>
      </c>
      <c r="F10" s="33"/>
      <c r="G10" s="40">
        <v>1.9491219314433545</v>
      </c>
      <c r="H10" s="33"/>
      <c r="I10" s="40">
        <v>1.2762049409690188</v>
      </c>
      <c r="J10" s="33"/>
      <c r="K10" s="40">
        <v>1.8491774569330797</v>
      </c>
      <c r="L10" s="33"/>
      <c r="M10" s="40">
        <v>2.05466792564</v>
      </c>
      <c r="N10" s="33"/>
      <c r="O10" s="40">
        <f>P24</f>
        <v>2.6065995360000001</v>
      </c>
      <c r="P10" s="33"/>
      <c r="Q10" s="40">
        <f>R24</f>
        <v>1.5066996725199997</v>
      </c>
      <c r="R10" s="39"/>
      <c r="S10" s="40">
        <f>T24</f>
        <v>1.6926743119999998</v>
      </c>
      <c r="T10" s="33"/>
      <c r="U10" s="40">
        <f>V24</f>
        <v>1.6501343037999998</v>
      </c>
      <c r="V10" s="33"/>
      <c r="W10" s="40">
        <f>X24</f>
        <v>2.0120534958</v>
      </c>
      <c r="Y10" s="40">
        <f>Z24</f>
        <v>1.7963951577999999</v>
      </c>
      <c r="AA10" s="40">
        <f>1805719.62978/1000000</f>
        <v>1.80571962978</v>
      </c>
    </row>
    <row r="11" spans="1:28" ht="15.75" x14ac:dyDescent="0.25">
      <c r="A11" s="33"/>
      <c r="B11" s="33" t="s">
        <v>94</v>
      </c>
      <c r="C11" s="41">
        <v>0.11460610407981904</v>
      </c>
      <c r="D11" s="42">
        <f>C10*C11</f>
        <v>0</v>
      </c>
      <c r="E11" s="41">
        <v>0.11460610407981904</v>
      </c>
      <c r="F11" s="42">
        <f>E10*E11</f>
        <v>0.44935144529316146</v>
      </c>
      <c r="G11" s="41">
        <v>8.8982804471731458E-2</v>
      </c>
      <c r="H11" s="42">
        <f>G10*G11</f>
        <v>0.17343833571718759</v>
      </c>
      <c r="I11" s="41">
        <v>7.5708076003970795E-2</v>
      </c>
      <c r="J11" s="42">
        <f>I10*I11</f>
        <v>9.6619020667525535E-2</v>
      </c>
      <c r="K11" s="41">
        <v>7.4057363231460172E-2</v>
      </c>
      <c r="L11" s="42">
        <f>K10*K11</f>
        <v>0.13694520660752088</v>
      </c>
      <c r="M11" s="41">
        <v>6.838162194320932E-2</v>
      </c>
      <c r="N11" s="42">
        <f>M10*M11</f>
        <v>0.14050152530995261</v>
      </c>
      <c r="O11" s="41">
        <v>7.7168625635264637E-2</v>
      </c>
      <c r="P11" s="42">
        <f>O10*O11</f>
        <v>0.2011477037746385</v>
      </c>
      <c r="Q11" s="41">
        <v>7.7026292740134811E-2</v>
      </c>
      <c r="R11" s="42">
        <f>Q10*Q11</f>
        <v>0.11605549004699076</v>
      </c>
      <c r="S11" s="41">
        <v>7.7778449156050394E-2</v>
      </c>
      <c r="T11" s="42">
        <f>S10*S11</f>
        <v>0.13165358291364457</v>
      </c>
      <c r="U11" s="41">
        <v>7.7737229269662075E-2</v>
      </c>
      <c r="V11" s="42">
        <f>U10*U11</f>
        <v>0.1282768687002348</v>
      </c>
      <c r="W11" s="41">
        <v>7.6999999999999999E-2</v>
      </c>
      <c r="X11" s="42">
        <f>W10*W11</f>
        <v>0.15492811917659999</v>
      </c>
      <c r="Y11" s="41">
        <v>6.0999999999999999E-2</v>
      </c>
      <c r="Z11" s="42">
        <f>Y10*Y11</f>
        <v>0.10958010462579999</v>
      </c>
      <c r="AA11" s="41">
        <v>6.2406648043844291E-2</v>
      </c>
      <c r="AB11" s="42">
        <f>AA10*AA11</f>
        <v>0.11268890940154128</v>
      </c>
    </row>
    <row r="12" spans="1:28" ht="15.75" x14ac:dyDescent="0.25">
      <c r="A12" s="33"/>
      <c r="B12" s="33" t="s">
        <v>95</v>
      </c>
      <c r="C12" s="33"/>
      <c r="D12" s="64">
        <f>SUM(D9:D11)</f>
        <v>2.237255160162507</v>
      </c>
      <c r="E12" s="33"/>
      <c r="F12" s="64">
        <f>SUM(F9:F11)</f>
        <v>5.7432299916741973</v>
      </c>
      <c r="G12" s="33"/>
      <c r="H12" s="64">
        <f>SUM(H9:H11)</f>
        <v>7.0932027869775451</v>
      </c>
      <c r="I12" s="33"/>
      <c r="J12" s="64">
        <f>SUM(J9:J11)</f>
        <v>16.95495555376764</v>
      </c>
      <c r="K12" s="33"/>
      <c r="L12" s="64">
        <f>SUM(L9:L11)</f>
        <v>32.811569627147719</v>
      </c>
      <c r="M12" s="33"/>
      <c r="N12" s="64">
        <f>SUM(N9:N11)</f>
        <v>44.225778247350796</v>
      </c>
      <c r="O12" s="33"/>
      <c r="P12" s="39">
        <f>SUM(P9:P11)</f>
        <v>49.475436695912649</v>
      </c>
      <c r="Q12" s="33"/>
      <c r="R12" s="39">
        <f>SUM(R9:R11)</f>
        <v>49.713441753282545</v>
      </c>
      <c r="S12" s="33"/>
      <c r="T12" s="39">
        <f>SUM(T9:T11)</f>
        <v>50.104478204414036</v>
      </c>
      <c r="U12" s="33"/>
      <c r="V12" s="39">
        <f>SUM(V9:V11)</f>
        <v>48.31046270234333</v>
      </c>
      <c r="W12" s="39"/>
      <c r="X12" s="39">
        <f>SUM(X9:X11)</f>
        <v>44.520001740494735</v>
      </c>
      <c r="Z12" s="39">
        <f>SUM(Z9:Z11)</f>
        <v>40.74984839756997</v>
      </c>
      <c r="AA12" s="33"/>
      <c r="AB12" s="56">
        <f>SUM(AB9:AB11)</f>
        <v>37.587706071217738</v>
      </c>
    </row>
    <row r="13" spans="1:28" ht="15.75" x14ac:dyDescent="0.2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</row>
    <row r="14" spans="1:28" ht="15.75" x14ac:dyDescent="0.2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8" ht="15.75" x14ac:dyDescent="0.25">
      <c r="A15" s="33"/>
      <c r="B15" s="33" t="s">
        <v>96</v>
      </c>
      <c r="C15" s="43">
        <v>0.04</v>
      </c>
      <c r="D15" s="33"/>
      <c r="E15" s="43">
        <v>0.04</v>
      </c>
      <c r="F15" s="33"/>
      <c r="G15" s="43">
        <v>0.04</v>
      </c>
      <c r="H15" s="33"/>
      <c r="I15" s="43">
        <v>0.04</v>
      </c>
      <c r="J15" s="33"/>
      <c r="K15" s="43">
        <v>0.04</v>
      </c>
      <c r="L15" s="33"/>
      <c r="M15" s="43">
        <v>0.04</v>
      </c>
      <c r="N15" s="33"/>
      <c r="O15" s="43">
        <v>0.04</v>
      </c>
      <c r="P15" s="33"/>
      <c r="Q15" s="43">
        <v>0.04</v>
      </c>
      <c r="R15" s="44"/>
      <c r="S15" s="43">
        <v>0.04</v>
      </c>
      <c r="T15" s="44"/>
      <c r="U15" s="43">
        <v>0.04</v>
      </c>
      <c r="V15" s="44"/>
      <c r="W15" s="43">
        <v>0.04</v>
      </c>
      <c r="Y15" s="43">
        <v>0.04</v>
      </c>
      <c r="AA15" s="43">
        <v>0.04</v>
      </c>
    </row>
    <row r="16" spans="1:28" ht="15.75" x14ac:dyDescent="0.25">
      <c r="A16" s="33"/>
      <c r="B16" s="33" t="s">
        <v>97</v>
      </c>
      <c r="C16" s="43">
        <v>0.56000000000000005</v>
      </c>
      <c r="D16" s="33"/>
      <c r="E16" s="43">
        <v>0.56000000000000005</v>
      </c>
      <c r="F16" s="33"/>
      <c r="G16" s="43">
        <v>0.56000000000000005</v>
      </c>
      <c r="H16" s="33"/>
      <c r="I16" s="43">
        <v>0.56000000000000005</v>
      </c>
      <c r="J16" s="33"/>
      <c r="K16" s="43">
        <v>0.56000000000000005</v>
      </c>
      <c r="L16" s="33"/>
      <c r="M16" s="43">
        <v>0.56000000000000005</v>
      </c>
      <c r="N16" s="33"/>
      <c r="O16" s="43">
        <v>0.56000000000000005</v>
      </c>
      <c r="P16" s="33"/>
      <c r="Q16" s="43">
        <v>0.56000000000000005</v>
      </c>
      <c r="R16" s="44"/>
      <c r="S16" s="43">
        <v>0.56000000000000005</v>
      </c>
      <c r="T16" s="44"/>
      <c r="U16" s="43">
        <v>0.56000000000000005</v>
      </c>
      <c r="V16" s="44"/>
      <c r="W16" s="43">
        <v>0.56000000000000005</v>
      </c>
      <c r="Y16" s="43">
        <v>0.56000000000000005</v>
      </c>
      <c r="AA16" s="43">
        <v>0.56000000000000005</v>
      </c>
    </row>
    <row r="17" spans="1:28" ht="15.75" x14ac:dyDescent="0.25">
      <c r="A17" s="33"/>
      <c r="B17" s="33" t="s">
        <v>98</v>
      </c>
      <c r="C17" s="43">
        <v>0.4</v>
      </c>
      <c r="D17" s="33"/>
      <c r="E17" s="43">
        <v>0.4</v>
      </c>
      <c r="F17" s="33"/>
      <c r="G17" s="43">
        <v>0.4</v>
      </c>
      <c r="H17" s="33"/>
      <c r="I17" s="43">
        <v>0.4</v>
      </c>
      <c r="J17" s="33"/>
      <c r="K17" s="43">
        <v>0.4</v>
      </c>
      <c r="L17" s="33"/>
      <c r="M17" s="43">
        <v>0.4</v>
      </c>
      <c r="N17" s="33"/>
      <c r="O17" s="43">
        <v>0.4</v>
      </c>
      <c r="P17" s="33"/>
      <c r="Q17" s="43">
        <v>0.4</v>
      </c>
      <c r="R17" s="44"/>
      <c r="S17" s="43">
        <v>0.4</v>
      </c>
      <c r="T17" s="44"/>
      <c r="U17" s="43">
        <v>0.4</v>
      </c>
      <c r="V17" s="44"/>
      <c r="W17" s="43">
        <v>0.4</v>
      </c>
      <c r="Y17" s="43">
        <v>0.4</v>
      </c>
      <c r="AA17" s="43">
        <v>0.4</v>
      </c>
    </row>
    <row r="18" spans="1:28" ht="15.75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46"/>
      <c r="R18" s="45"/>
      <c r="S18" s="46"/>
      <c r="T18" s="45"/>
      <c r="U18" s="46"/>
      <c r="V18" s="45"/>
      <c r="W18" s="45"/>
    </row>
    <row r="19" spans="1:28" ht="15.75" x14ac:dyDescent="0.25">
      <c r="A19" s="33"/>
      <c r="B19" s="33" t="s">
        <v>100</v>
      </c>
      <c r="C19" s="47">
        <v>2.4299999999999999E-2</v>
      </c>
      <c r="D19" s="39">
        <f>$D$12*C15*C19</f>
        <v>2.1746120156779566E-3</v>
      </c>
      <c r="E19" s="47">
        <v>2.4299999999999999E-2</v>
      </c>
      <c r="F19" s="39">
        <f>$F$12*E15*E19</f>
        <v>5.5824195519073192E-3</v>
      </c>
      <c r="G19" s="47">
        <v>2.0799999999999999E-2</v>
      </c>
      <c r="H19" s="39">
        <f>$H$12*G15*G19</f>
        <v>5.901544718765318E-3</v>
      </c>
      <c r="I19" s="47">
        <v>2.0799999999999999E-2</v>
      </c>
      <c r="J19" s="39">
        <f>$J$12*I15*I19</f>
        <v>1.4106523020734675E-2</v>
      </c>
      <c r="K19" s="47">
        <v>2.27411E-2</v>
      </c>
      <c r="L19" s="39">
        <f>$L$12*K15*K19</f>
        <v>2.9846847441917158E-2</v>
      </c>
      <c r="M19" s="47">
        <v>1.6535747619047619E-2</v>
      </c>
      <c r="N19" s="39">
        <f>$N$12*M15*M19</f>
        <v>2.9252252294166354E-2</v>
      </c>
      <c r="O19" s="47">
        <v>1.7592890476190476E-2</v>
      </c>
      <c r="P19" s="39">
        <f>$P$12*O15*O19</f>
        <v>3.4816637562115456E-2</v>
      </c>
      <c r="Q19" s="47">
        <v>2.29E-2</v>
      </c>
      <c r="R19" s="39">
        <f>$R$12*Q15*Q19</f>
        <v>4.5537512646006813E-2</v>
      </c>
      <c r="S19" s="47">
        <v>2.29E-2</v>
      </c>
      <c r="T19" s="39">
        <f>$T$12*S15*S19</f>
        <v>4.5895702035243256E-2</v>
      </c>
      <c r="U19" s="47">
        <v>2.29E-2</v>
      </c>
      <c r="V19" s="39">
        <f>$V$12*U15*U19</f>
        <v>4.4252383835346493E-2</v>
      </c>
      <c r="W19" s="47">
        <v>2.29E-2</v>
      </c>
      <c r="X19" s="39">
        <f>$V$12*W15*W19</f>
        <v>4.4252383835346493E-2</v>
      </c>
      <c r="Y19" s="47">
        <v>2.29E-2</v>
      </c>
      <c r="Z19" s="39">
        <f>$Z$12*Y15*Y19</f>
        <v>3.7326861132174094E-2</v>
      </c>
      <c r="AA19" s="47">
        <v>2.29E-2</v>
      </c>
      <c r="AB19" s="39">
        <f>$AB$12*AA15*AA19</f>
        <v>3.4430338761235454E-2</v>
      </c>
    </row>
    <row r="20" spans="1:28" ht="15.75" x14ac:dyDescent="0.25">
      <c r="A20" s="33"/>
      <c r="B20" s="33" t="s">
        <v>101</v>
      </c>
      <c r="C20" s="47">
        <v>5.6043163287542455E-2</v>
      </c>
      <c r="D20" s="39">
        <f>$D$12*C16*C20</f>
        <v>7.0214399503855232E-2</v>
      </c>
      <c r="E20" s="47">
        <v>5.6043163287542455E-2</v>
      </c>
      <c r="F20" s="39">
        <f>$F$12*E16*E20</f>
        <v>0.18024651468393257</v>
      </c>
      <c r="G20" s="47">
        <v>5.0299999999999997E-2</v>
      </c>
      <c r="H20" s="39">
        <f>$H$12*G16*G20</f>
        <v>0.1998013361035835</v>
      </c>
      <c r="I20" s="47">
        <v>4.87E-2</v>
      </c>
      <c r="J20" s="39">
        <f>$J$12*I16*I20</f>
        <v>0.4623955478623511</v>
      </c>
      <c r="K20" s="47">
        <v>4.9097285575755177E-2</v>
      </c>
      <c r="L20" s="39">
        <f>$L$12*K16*K20</f>
        <v>0.90213704233679404</v>
      </c>
      <c r="M20" s="47">
        <v>4.7761714378376917E-2</v>
      </c>
      <c r="N20" s="39">
        <f>$N$12*M16*M20</f>
        <v>1.1828874337343862</v>
      </c>
      <c r="O20" s="47">
        <v>4.4421389282556498E-2</v>
      </c>
      <c r="P20" s="39">
        <f>$P$12*O16*O20</f>
        <v>1.2307498747004255</v>
      </c>
      <c r="Q20" s="47">
        <v>4.4723029633028433E-2</v>
      </c>
      <c r="R20" s="39">
        <f>$R$12*Q16*Q20</f>
        <v>1.2450680080674574</v>
      </c>
      <c r="S20" s="47">
        <v>4.4723029633028433E-2</v>
      </c>
      <c r="T20" s="39">
        <f t="shared" ref="T20:T21" si="0">$T$12*S16*S20</f>
        <v>1.2548614755507244</v>
      </c>
      <c r="U20" s="47">
        <v>4.4723029633028433E-2</v>
      </c>
      <c r="V20" s="39">
        <f t="shared" ref="V20:V21" si="1">$V$12*U16*U20</f>
        <v>1.2099305428124409</v>
      </c>
      <c r="W20" s="47">
        <v>4.4723029633028433E-2</v>
      </c>
      <c r="X20" s="39">
        <f>$X$12*W16*W20</f>
        <v>1.1149988399774693</v>
      </c>
      <c r="Y20" s="47">
        <v>4.4723029633028433E-2</v>
      </c>
      <c r="Z20" s="65">
        <f>$Z$12*Y16*Y20</f>
        <v>1.0205757393585253</v>
      </c>
      <c r="AA20" s="47">
        <v>4.4723029633028433E-2</v>
      </c>
      <c r="AB20" s="39">
        <f>$AB$12*AA16*AA20</f>
        <v>0.94138021177795483</v>
      </c>
    </row>
    <row r="21" spans="1:28" ht="15.75" x14ac:dyDescent="0.25">
      <c r="A21" s="33"/>
      <c r="B21" s="33" t="s">
        <v>102</v>
      </c>
      <c r="C21" s="47">
        <v>9.6600000000000005E-2</v>
      </c>
      <c r="D21" s="39">
        <f>$D$12*C17*C21</f>
        <v>8.6447539388679273E-2</v>
      </c>
      <c r="E21" s="47">
        <v>9.6600000000000005E-2</v>
      </c>
      <c r="F21" s="39">
        <f>$F$12*E17*E21</f>
        <v>0.22191840687829104</v>
      </c>
      <c r="G21" s="47">
        <v>8.9300000000000004E-2</v>
      </c>
      <c r="H21" s="39">
        <f>$H$12*G17*G21</f>
        <v>0.25336920355083797</v>
      </c>
      <c r="I21" s="47">
        <v>9.3600000000000003E-2</v>
      </c>
      <c r="J21" s="39">
        <f>$J$12*I17*I21</f>
        <v>0.63479353593306054</v>
      </c>
      <c r="K21" s="47">
        <v>9.35E-2</v>
      </c>
      <c r="L21" s="39">
        <f>$L$12*K17*K21</f>
        <v>1.2271527040553247</v>
      </c>
      <c r="M21" s="47">
        <v>9.1899999999999996E-2</v>
      </c>
      <c r="N21" s="39">
        <f>$N$12*M17*M21</f>
        <v>1.6257396083726152</v>
      </c>
      <c r="O21" s="47">
        <v>8.77E-2</v>
      </c>
      <c r="P21" s="39">
        <f>$P$12*O17*O21</f>
        <v>1.7355983192926159</v>
      </c>
      <c r="Q21" s="47">
        <v>0.09</v>
      </c>
      <c r="R21" s="39">
        <f>$R$12*Q17*Q21</f>
        <v>1.7896839031181717</v>
      </c>
      <c r="S21" s="47">
        <v>0.09</v>
      </c>
      <c r="T21" s="39">
        <f t="shared" si="0"/>
        <v>1.8037612153589053</v>
      </c>
      <c r="U21" s="47">
        <v>0.09</v>
      </c>
      <c r="V21" s="39">
        <f t="shared" si="1"/>
        <v>1.7391766572843599</v>
      </c>
      <c r="W21" s="47">
        <v>0.09</v>
      </c>
      <c r="X21" s="39">
        <f>$X$12*W17*W21</f>
        <v>1.6027200626578104</v>
      </c>
      <c r="Y21" s="47">
        <v>0.09</v>
      </c>
      <c r="Z21" s="39">
        <f>$Z$12*Y17*Y21</f>
        <v>1.4669945423125188</v>
      </c>
      <c r="AA21" s="47">
        <v>0.09</v>
      </c>
      <c r="AB21" s="39">
        <f>$AB$12*AA17*AA21</f>
        <v>1.3531574185638386</v>
      </c>
    </row>
    <row r="22" spans="1:28" ht="15.75" x14ac:dyDescent="0.25">
      <c r="A22" s="33"/>
      <c r="B22" s="33"/>
      <c r="C22" s="33"/>
      <c r="D22" s="48">
        <f>SUM(D19:D21)</f>
        <v>0.15883655090821247</v>
      </c>
      <c r="E22" s="33"/>
      <c r="F22" s="48">
        <f>SUM(F19:F21)</f>
        <v>0.40774734111413091</v>
      </c>
      <c r="G22" s="33"/>
      <c r="H22" s="48">
        <f>SUM(H19:H21)</f>
        <v>0.45907208437318681</v>
      </c>
      <c r="I22" s="33"/>
      <c r="J22" s="48">
        <f>SUM(J19:J21)</f>
        <v>1.1112956068161464</v>
      </c>
      <c r="K22" s="33"/>
      <c r="L22" s="48">
        <f>SUM(L19:L21)</f>
        <v>2.1591365938340359</v>
      </c>
      <c r="M22" s="33"/>
      <c r="N22" s="48">
        <f>SUM(N19:N21)</f>
        <v>2.8378792944011675</v>
      </c>
      <c r="O22" s="33"/>
      <c r="P22" s="48">
        <f>SUM(P19:P21)</f>
        <v>3.0011648315551569</v>
      </c>
      <c r="Q22" s="33"/>
      <c r="R22" s="48">
        <f>SUM(R19:R21)</f>
        <v>3.0802894238316361</v>
      </c>
      <c r="S22" s="33"/>
      <c r="T22" s="48">
        <f>SUM(T19:T21)</f>
        <v>3.1045183929448728</v>
      </c>
      <c r="U22" s="33"/>
      <c r="V22" s="48">
        <f>SUM(V19:V21)</f>
        <v>2.9933595839321474</v>
      </c>
      <c r="W22" s="39"/>
      <c r="X22" s="48">
        <f>SUM(X19:X21)</f>
        <v>2.7619712864706263</v>
      </c>
      <c r="Z22" s="48">
        <f>SUM(Z19:Z21)</f>
        <v>2.5248971428032183</v>
      </c>
      <c r="AB22" s="48">
        <f>SUM(AB19:AB21)</f>
        <v>2.3289679691030289</v>
      </c>
    </row>
    <row r="23" spans="1:28" ht="15.75" x14ac:dyDescent="0.2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</row>
    <row r="24" spans="1:28" ht="15.75" x14ac:dyDescent="0.25">
      <c r="A24" s="33"/>
      <c r="B24" s="33" t="s">
        <v>103</v>
      </c>
      <c r="C24" s="33"/>
      <c r="D24" s="49">
        <v>0</v>
      </c>
      <c r="E24" s="33"/>
      <c r="F24" s="49">
        <v>3.9208334399030291</v>
      </c>
      <c r="G24" s="33"/>
      <c r="H24" s="49">
        <v>1.9491219314433545</v>
      </c>
      <c r="I24" s="33"/>
      <c r="J24" s="49">
        <v>1.2762049409690188</v>
      </c>
      <c r="K24" s="33"/>
      <c r="L24" s="49">
        <v>1.8491774569330797</v>
      </c>
      <c r="M24" s="33"/>
      <c r="N24" s="49">
        <v>2.05466792564</v>
      </c>
      <c r="O24" s="33"/>
      <c r="P24" s="49">
        <v>2.6065995360000001</v>
      </c>
      <c r="Q24" s="33"/>
      <c r="R24" s="49">
        <v>1.5066996725199997</v>
      </c>
      <c r="S24" s="33"/>
      <c r="T24" s="49">
        <v>1.6926743119999998</v>
      </c>
      <c r="U24" s="33"/>
      <c r="V24" s="49">
        <v>1.6501343037999998</v>
      </c>
      <c r="X24" s="49">
        <f>2012053.4958/1000000</f>
        <v>2.0120534958</v>
      </c>
      <c r="Z24" s="49">
        <v>1.7963951577999999</v>
      </c>
      <c r="AB24" s="49">
        <f>1805719.62978/1000000</f>
        <v>1.80571962978</v>
      </c>
    </row>
    <row r="25" spans="1:28" ht="15.75" x14ac:dyDescent="0.25">
      <c r="A25" s="33"/>
      <c r="B25" s="33" t="s">
        <v>104</v>
      </c>
      <c r="C25" s="33"/>
      <c r="D25" s="50">
        <v>0.13852934989464388</v>
      </c>
      <c r="E25" s="33"/>
      <c r="F25" s="50">
        <v>0.33523547782465141</v>
      </c>
      <c r="G25" s="33"/>
      <c r="H25" s="50">
        <v>0.4559697980442583</v>
      </c>
      <c r="I25" s="33"/>
      <c r="J25" s="50">
        <v>1.0958985443881901</v>
      </c>
      <c r="K25" s="33"/>
      <c r="L25" s="50">
        <v>1.9107488171316387</v>
      </c>
      <c r="M25" s="33"/>
      <c r="N25" s="50">
        <v>3.1638628276670691</v>
      </c>
      <c r="O25" s="33"/>
      <c r="P25" s="50">
        <v>3.6358471175186073</v>
      </c>
      <c r="Q25" s="33"/>
      <c r="R25" s="50">
        <v>3.8581821577662927</v>
      </c>
      <c r="S25" s="33"/>
      <c r="T25" s="50">
        <v>4.2545042817440244</v>
      </c>
      <c r="U25" s="33"/>
      <c r="V25" s="50">
        <v>4.4230328037705853</v>
      </c>
      <c r="X25" s="50">
        <f>4009445.82071934/1000000</f>
        <v>4.00944582071934</v>
      </c>
      <c r="Z25" s="50">
        <v>4.1261523968285818</v>
      </c>
      <c r="AB25" s="50">
        <v>3.5814206164904521</v>
      </c>
    </row>
    <row r="26" spans="1:28" ht="15.75" x14ac:dyDescent="0.25">
      <c r="A26" s="33"/>
      <c r="B26" s="33" t="s">
        <v>105</v>
      </c>
      <c r="C26" s="33"/>
      <c r="D26" s="51">
        <v>1.6066497009377095E-2</v>
      </c>
      <c r="E26" s="33"/>
      <c r="F26" s="51">
        <v>4.4219684563212208E-2</v>
      </c>
      <c r="G26" s="33"/>
      <c r="H26" s="51">
        <v>5.3842123252870078E-2</v>
      </c>
      <c r="I26" s="33"/>
      <c r="J26" s="51">
        <v>0.12919328418374287</v>
      </c>
      <c r="K26" s="33"/>
      <c r="L26" s="51">
        <v>0.17657946592031459</v>
      </c>
      <c r="M26" s="33"/>
      <c r="N26" s="51">
        <v>0.44616405076703569</v>
      </c>
      <c r="O26" s="33"/>
      <c r="P26" s="51">
        <v>0.51066681963556571</v>
      </c>
      <c r="Q26" s="33"/>
      <c r="R26" s="51">
        <v>0.60701039403005252</v>
      </c>
      <c r="S26" s="33"/>
      <c r="T26" s="51">
        <v>0.74149288445951211</v>
      </c>
      <c r="U26" s="33"/>
      <c r="V26" s="51">
        <v>0.82089458048096386</v>
      </c>
      <c r="X26" s="51" t="e">
        <f>'3 - Income Taxes &amp; UCC'!#REF!</f>
        <v>#REF!</v>
      </c>
      <c r="Z26" s="51">
        <v>0.81041619846634427</v>
      </c>
      <c r="AB26" s="51" t="e">
        <f>'3 - Income Taxes &amp; UCC'!#REF!</f>
        <v>#REF!</v>
      </c>
    </row>
    <row r="27" spans="1:28" ht="15.75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</row>
    <row r="28" spans="1:28" s="3" customFormat="1" ht="16.5" thickBot="1" x14ac:dyDescent="0.3">
      <c r="A28" s="35"/>
      <c r="B28" s="35" t="s">
        <v>106</v>
      </c>
      <c r="C28" s="35"/>
      <c r="D28" s="66">
        <f>SUM(D22:D26)</f>
        <v>0.31343239781223342</v>
      </c>
      <c r="E28" s="67"/>
      <c r="F28" s="66">
        <f>SUM(F22:F26)</f>
        <v>4.7080359434050241</v>
      </c>
      <c r="G28" s="67"/>
      <c r="H28" s="66">
        <f>SUM(H22:H26)</f>
        <v>2.9180059371136697</v>
      </c>
      <c r="I28" s="67"/>
      <c r="J28" s="66">
        <f>SUM(J22:J26)</f>
        <v>3.6125923763570977</v>
      </c>
      <c r="K28" s="67"/>
      <c r="L28" s="66">
        <f>SUM(L22:L26)</f>
        <v>6.0956423338190682</v>
      </c>
      <c r="M28" s="67"/>
      <c r="N28" s="66">
        <f>SUM(N22:N26)</f>
        <v>8.5025740984752733</v>
      </c>
      <c r="O28" s="67"/>
      <c r="P28" s="66">
        <f>SUM(P22:P26)</f>
        <v>9.7542783047093291</v>
      </c>
      <c r="Q28" s="67"/>
      <c r="R28" s="66">
        <f>SUM(R22:R26)</f>
        <v>9.0521816481479807</v>
      </c>
      <c r="S28" s="67"/>
      <c r="T28" s="66">
        <f>SUM(T22:T26)</f>
        <v>9.7931898711484102</v>
      </c>
      <c r="U28" s="67"/>
      <c r="V28" s="66">
        <f>SUM(V22:V26)</f>
        <v>9.8874212719836958</v>
      </c>
      <c r="W28" s="67"/>
      <c r="X28" s="66" t="e">
        <f>SUM(X22:X26)</f>
        <v>#REF!</v>
      </c>
      <c r="Y28" s="68"/>
      <c r="Z28" s="66">
        <f>SUM(Z22:Z26)</f>
        <v>9.2578608958981441</v>
      </c>
      <c r="AA28" s="68"/>
      <c r="AB28" s="66" t="e">
        <f>SUM(AB22:AB26)</f>
        <v>#REF!</v>
      </c>
    </row>
    <row r="29" spans="1:28" s="3" customFormat="1" ht="15.75" x14ac:dyDescent="0.2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53"/>
      <c r="S29" s="35"/>
      <c r="T29" s="53"/>
      <c r="U29" s="35"/>
      <c r="V29" s="53"/>
      <c r="W29" s="53"/>
    </row>
    <row r="30" spans="1:28" s="3" customFormat="1" ht="15.75" x14ac:dyDescent="0.25">
      <c r="A30" s="35"/>
      <c r="B30" s="35" t="s">
        <v>107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54"/>
      <c r="S30" s="55"/>
      <c r="T30" s="54"/>
      <c r="U30" s="55"/>
      <c r="V30" s="54"/>
      <c r="W30" s="54"/>
    </row>
    <row r="31" spans="1:28" ht="15.75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</row>
    <row r="32" spans="1:28" ht="15.75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</row>
    <row r="33" spans="1:23" ht="16.5" customHeight="1" x14ac:dyDescent="0.25">
      <c r="A33" s="33" t="s">
        <v>13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5" spans="1:23" ht="15.75" x14ac:dyDescent="0.25">
      <c r="A35" s="34" t="s">
        <v>15</v>
      </c>
      <c r="B35" s="33" t="s">
        <v>112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</row>
    <row r="36" spans="1:23" ht="15.75" x14ac:dyDescent="0.25">
      <c r="A36" s="34" t="s">
        <v>17</v>
      </c>
      <c r="B36" s="33" t="s">
        <v>109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</row>
    <row r="37" spans="1:23" ht="15.75" x14ac:dyDescent="0.25">
      <c r="A37" s="34" t="s">
        <v>110</v>
      </c>
      <c r="B37" s="33" t="s">
        <v>111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</row>
    <row r="38" spans="1:23" ht="15.75" x14ac:dyDescent="0.25">
      <c r="A38" s="33" t="s">
        <v>113</v>
      </c>
      <c r="B38" s="33" t="s">
        <v>114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</row>
    <row r="39" spans="1:23" ht="15.75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</row>
  </sheetData>
  <mergeCells count="13">
    <mergeCell ref="E8:F8"/>
    <mergeCell ref="C8:D8"/>
    <mergeCell ref="O8:P8"/>
    <mergeCell ref="M8:N8"/>
    <mergeCell ref="K8:L8"/>
    <mergeCell ref="I8:J8"/>
    <mergeCell ref="G8:H8"/>
    <mergeCell ref="Q8:R8"/>
    <mergeCell ref="S8:T8"/>
    <mergeCell ref="U8:V8"/>
    <mergeCell ref="AA8:AB8"/>
    <mergeCell ref="W8:X8"/>
    <mergeCell ref="Y8:Z8"/>
  </mergeCells>
  <phoneticPr fontId="3" type="noConversion"/>
  <pageMargins left="0.74803149606299213" right="0.74803149606299213" top="0.98425196850393704" bottom="0.98425196850393704" header="0.51181102362204722" footer="0.51181102362204722"/>
  <pageSetup scale="79" orientation="landscape" r:id="rId1"/>
  <headerFooter alignWithMargins="0">
    <oddFooter>&amp;L&amp;Z&amp;F&amp;R&amp;A</oddFooter>
  </headerFooter>
  <ignoredErrors>
    <ignoredError sqref="Q12:V13 T11 Q14:V14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H48"/>
  <sheetViews>
    <sheetView zoomScaleNormal="100" workbookViewId="0">
      <pane ySplit="2" topLeftCell="A3" activePane="bottomLeft" state="frozen"/>
      <selection pane="bottomLeft" activeCell="H38" sqref="H38"/>
    </sheetView>
  </sheetViews>
  <sheetFormatPr defaultColWidth="8.77734375" defaultRowHeight="15" x14ac:dyDescent="0.25"/>
  <cols>
    <col min="1" max="1" width="22.109375" style="8" customWidth="1"/>
    <col min="2" max="2" width="10.5546875" style="8" customWidth="1"/>
    <col min="3" max="5" width="8.77734375" style="8"/>
    <col min="6" max="8" width="8.77734375" style="57"/>
    <col min="9" max="16384" width="8.77734375" style="8"/>
  </cols>
  <sheetData>
    <row r="2" spans="1:8" s="7" customFormat="1" x14ac:dyDescent="0.25">
      <c r="A2" s="7" t="s">
        <v>115</v>
      </c>
      <c r="C2" s="7">
        <v>2018</v>
      </c>
      <c r="D2" s="7">
        <v>2019</v>
      </c>
      <c r="E2" s="7">
        <v>2020</v>
      </c>
      <c r="F2" s="7">
        <v>2021</v>
      </c>
      <c r="G2" s="7">
        <v>2022</v>
      </c>
      <c r="H2" s="7">
        <v>2023</v>
      </c>
    </row>
    <row r="3" spans="1:8" x14ac:dyDescent="0.25">
      <c r="A3" s="7"/>
    </row>
    <row r="4" spans="1:8" x14ac:dyDescent="0.25">
      <c r="A4" s="7" t="s">
        <v>39</v>
      </c>
    </row>
    <row r="5" spans="1:8" x14ac:dyDescent="0.25">
      <c r="A5" s="9" t="s">
        <v>40</v>
      </c>
      <c r="C5" s="10">
        <v>60.066297927028316</v>
      </c>
      <c r="D5" s="10">
        <v>64.484672370528315</v>
      </c>
      <c r="E5" s="10">
        <v>68.929861083068317</v>
      </c>
      <c r="F5" s="57">
        <f>E7</f>
        <v>69.580931880328322</v>
      </c>
      <c r="G5" s="58">
        <v>69.72811528290832</v>
      </c>
      <c r="H5" s="58">
        <f>+G7</f>
        <v>70.266919441128323</v>
      </c>
    </row>
    <row r="6" spans="1:8" x14ac:dyDescent="0.25">
      <c r="A6" s="9" t="s">
        <v>41</v>
      </c>
      <c r="C6" s="10">
        <f t="shared" ref="C6:H6" si="0">C33</f>
        <v>4.4183744435000003</v>
      </c>
      <c r="D6" s="10">
        <f t="shared" si="0"/>
        <v>4.4451887125400038</v>
      </c>
      <c r="E6" s="10">
        <f t="shared" si="0"/>
        <v>0.6510707972600005</v>
      </c>
      <c r="F6" s="57">
        <f t="shared" si="0"/>
        <v>0.14718340257999996</v>
      </c>
      <c r="G6" s="57">
        <f t="shared" si="0"/>
        <v>0.53880415821999994</v>
      </c>
      <c r="H6" s="57">
        <f t="shared" si="0"/>
        <v>0.61288877403999997</v>
      </c>
    </row>
    <row r="7" spans="1:8" x14ac:dyDescent="0.25">
      <c r="A7" s="9" t="s">
        <v>42</v>
      </c>
      <c r="C7" s="11">
        <f t="shared" ref="C7:F7" si="1">C5+C6</f>
        <v>64.484672370528315</v>
      </c>
      <c r="D7" s="11">
        <f t="shared" si="1"/>
        <v>68.929861083068317</v>
      </c>
      <c r="E7" s="11">
        <f t="shared" si="1"/>
        <v>69.580931880328322</v>
      </c>
      <c r="F7" s="59">
        <f t="shared" si="1"/>
        <v>69.72811528290832</v>
      </c>
      <c r="G7" s="60">
        <v>70.266919441128323</v>
      </c>
      <c r="H7" s="60">
        <f>+H5+H6</f>
        <v>70.879808215168325</v>
      </c>
    </row>
    <row r="8" spans="1:8" x14ac:dyDescent="0.25">
      <c r="A8" s="7"/>
    </row>
    <row r="9" spans="1:8" x14ac:dyDescent="0.25">
      <c r="A9" s="7" t="s">
        <v>43</v>
      </c>
    </row>
    <row r="10" spans="1:8" x14ac:dyDescent="0.25">
      <c r="A10" s="9" t="s">
        <v>40</v>
      </c>
      <c r="C10" s="10">
        <v>10.749007806659613</v>
      </c>
      <c r="D10" s="10">
        <v>14.607189964425906</v>
      </c>
      <c r="E10" s="10">
        <v>18.861694246169932</v>
      </c>
      <c r="F10" s="57">
        <f>E12</f>
        <v>23.284727049940518</v>
      </c>
      <c r="G10" s="58">
        <v>27.294172870659864</v>
      </c>
      <c r="H10" s="58">
        <f>+G12</f>
        <v>31.420325267488444</v>
      </c>
    </row>
    <row r="11" spans="1:8" x14ac:dyDescent="0.25">
      <c r="A11" s="9" t="s">
        <v>41</v>
      </c>
      <c r="C11" s="10">
        <f>C48</f>
        <v>3.8581821577662927</v>
      </c>
      <c r="D11" s="10">
        <f>D48</f>
        <v>4.2545042817440244</v>
      </c>
      <c r="E11" s="10">
        <f>E48</f>
        <v>4.4230328037705853</v>
      </c>
      <c r="F11" s="57">
        <f>F48</f>
        <v>4.0094458207193444</v>
      </c>
      <c r="G11" s="58">
        <v>4.1261523968285818</v>
      </c>
      <c r="H11" s="58">
        <v>3.5814206164904521</v>
      </c>
    </row>
    <row r="12" spans="1:8" x14ac:dyDescent="0.25">
      <c r="A12" s="9" t="s">
        <v>42</v>
      </c>
      <c r="C12" s="11">
        <f t="shared" ref="C12:F12" si="2">C10+C11</f>
        <v>14.607189964425906</v>
      </c>
      <c r="D12" s="11">
        <f t="shared" si="2"/>
        <v>18.861694246169932</v>
      </c>
      <c r="E12" s="11">
        <f t="shared" si="2"/>
        <v>23.284727049940518</v>
      </c>
      <c r="F12" s="59">
        <f t="shared" si="2"/>
        <v>27.294172870659864</v>
      </c>
      <c r="G12" s="60">
        <v>31.420325267488444</v>
      </c>
      <c r="H12" s="60">
        <f t="shared" ref="H12" si="3">+H10+H11</f>
        <v>35.001745883978899</v>
      </c>
    </row>
    <row r="13" spans="1:8" x14ac:dyDescent="0.25">
      <c r="A13" s="7"/>
    </row>
    <row r="14" spans="1:8" x14ac:dyDescent="0.25">
      <c r="A14" s="7" t="s">
        <v>44</v>
      </c>
      <c r="C14" s="10">
        <f>C7-C12</f>
        <v>49.877482406102409</v>
      </c>
      <c r="D14" s="10">
        <f t="shared" ref="D14:H14" si="4">D7-D12</f>
        <v>50.068166836898385</v>
      </c>
      <c r="E14" s="10">
        <f t="shared" si="4"/>
        <v>46.296204830387808</v>
      </c>
      <c r="F14" s="57">
        <f t="shared" si="4"/>
        <v>42.433942412248456</v>
      </c>
      <c r="G14" s="57">
        <f t="shared" si="4"/>
        <v>38.846594173639879</v>
      </c>
      <c r="H14" s="57">
        <f t="shared" si="4"/>
        <v>35.878062331189426</v>
      </c>
    </row>
    <row r="15" spans="1:8" x14ac:dyDescent="0.25">
      <c r="A15" s="7"/>
      <c r="C15" s="10"/>
      <c r="D15" s="10"/>
      <c r="E15" s="10"/>
    </row>
    <row r="16" spans="1:8" x14ac:dyDescent="0.25">
      <c r="A16" s="8" t="s">
        <v>45</v>
      </c>
      <c r="C16" s="12">
        <f>AVERAGE(C14:C14)</f>
        <v>49.877482406102409</v>
      </c>
      <c r="D16" s="12">
        <f t="shared" ref="D16" si="5">AVERAGE(C14:D14)</f>
        <v>49.972824621500394</v>
      </c>
      <c r="E16" s="12">
        <f>AVERAGE(D14:E14)</f>
        <v>48.182185833643096</v>
      </c>
      <c r="F16" s="61">
        <f>AVERAGE(E14:F14)</f>
        <v>44.365073621318132</v>
      </c>
      <c r="G16" s="61">
        <f>AVERAGE(F14:G14)</f>
        <v>40.640268292944171</v>
      </c>
      <c r="H16" s="61">
        <f>AVERAGE(G14:H14)</f>
        <v>37.362328252414656</v>
      </c>
    </row>
    <row r="17" spans="1:8" x14ac:dyDescent="0.25">
      <c r="A17" s="8" t="s">
        <v>46</v>
      </c>
      <c r="C17" s="12">
        <v>0.11605549004699076</v>
      </c>
      <c r="D17" s="12">
        <v>0.13165358291364457</v>
      </c>
      <c r="E17" s="12">
        <v>0.1282768687002348</v>
      </c>
      <c r="F17" s="57">
        <v>0.15590689762037591</v>
      </c>
      <c r="G17" s="57">
        <v>0.11011902317314</v>
      </c>
      <c r="H17" s="57">
        <v>0.11268890940154126</v>
      </c>
    </row>
    <row r="18" spans="1:8" x14ac:dyDescent="0.25">
      <c r="A18" s="7" t="s">
        <v>47</v>
      </c>
      <c r="C18" s="13">
        <f>C16+C17</f>
        <v>49.993537896149398</v>
      </c>
      <c r="D18" s="13">
        <f t="shared" ref="D18:H18" si="6">D16+D17</f>
        <v>50.104478204414036</v>
      </c>
      <c r="E18" s="13">
        <f t="shared" si="6"/>
        <v>48.31046270234333</v>
      </c>
      <c r="F18" s="62">
        <f t="shared" si="6"/>
        <v>44.520980518938508</v>
      </c>
      <c r="G18" s="62">
        <f t="shared" si="6"/>
        <v>40.750387316117312</v>
      </c>
      <c r="H18" s="62">
        <f t="shared" si="6"/>
        <v>37.475017161816197</v>
      </c>
    </row>
    <row r="21" spans="1:8" x14ac:dyDescent="0.25">
      <c r="A21" s="7" t="s">
        <v>61</v>
      </c>
      <c r="B21" s="14" t="s">
        <v>62</v>
      </c>
      <c r="C21" s="14">
        <v>2018</v>
      </c>
      <c r="D21" s="14">
        <v>2019</v>
      </c>
      <c r="E21" s="14">
        <v>2020</v>
      </c>
      <c r="F21" s="14">
        <v>2021</v>
      </c>
      <c r="G21" s="14">
        <v>2022</v>
      </c>
      <c r="H21" s="14">
        <v>2023</v>
      </c>
    </row>
    <row r="22" spans="1:8" x14ac:dyDescent="0.25">
      <c r="A22" s="8" t="s">
        <v>63</v>
      </c>
      <c r="B22" s="15">
        <v>1.8200000000000001E-2</v>
      </c>
      <c r="C22" s="16">
        <v>0</v>
      </c>
      <c r="D22" s="16">
        <v>0</v>
      </c>
      <c r="E22" s="16">
        <v>0</v>
      </c>
    </row>
    <row r="23" spans="1:8" x14ac:dyDescent="0.25">
      <c r="A23" s="8" t="s">
        <v>64</v>
      </c>
      <c r="B23" s="15">
        <v>2.23E-2</v>
      </c>
      <c r="C23" s="16">
        <v>0</v>
      </c>
      <c r="D23" s="16">
        <v>0</v>
      </c>
      <c r="E23" s="16">
        <v>0</v>
      </c>
    </row>
    <row r="24" spans="1:8" x14ac:dyDescent="0.25">
      <c r="A24" s="8" t="s">
        <v>65</v>
      </c>
      <c r="B24" s="15">
        <v>2.7E-2</v>
      </c>
      <c r="C24" s="16">
        <v>0.92785863313500005</v>
      </c>
      <c r="D24" s="16">
        <v>0.93348962963340076</v>
      </c>
      <c r="E24" s="16">
        <v>0.13672486742460011</v>
      </c>
      <c r="F24" s="57">
        <v>3.0908514541799988E-2</v>
      </c>
      <c r="G24" s="57">
        <v>0.11314887322619999</v>
      </c>
      <c r="H24" s="57">
        <v>0.1287066425484</v>
      </c>
    </row>
    <row r="25" spans="1:8" x14ac:dyDescent="0.25">
      <c r="A25" s="8" t="s">
        <v>66</v>
      </c>
      <c r="B25" s="15">
        <v>1.7000000000000001E-2</v>
      </c>
      <c r="C25" s="16">
        <v>0.39765369991499999</v>
      </c>
      <c r="D25" s="16">
        <v>0.40006698412860031</v>
      </c>
      <c r="E25" s="16">
        <v>5.8596371753400045E-2</v>
      </c>
      <c r="F25" s="57">
        <v>1.3246506232199995E-2</v>
      </c>
      <c r="G25" s="57">
        <v>4.849237423979999E-2</v>
      </c>
      <c r="H25" s="57">
        <v>5.5159989663599994E-2</v>
      </c>
    </row>
    <row r="26" spans="1:8" x14ac:dyDescent="0.25">
      <c r="A26" s="8" t="s">
        <v>67</v>
      </c>
      <c r="B26" s="15">
        <v>1.6899999999999998E-2</v>
      </c>
      <c r="C26" s="16">
        <v>0.26510246661000003</v>
      </c>
      <c r="D26" s="16">
        <v>0.26671132275240023</v>
      </c>
      <c r="E26" s="16">
        <v>3.906424783560003E-2</v>
      </c>
      <c r="F26" s="57">
        <v>8.8310041547999974E-3</v>
      </c>
      <c r="G26" s="57">
        <v>3.2328249493199998E-2</v>
      </c>
      <c r="H26" s="57">
        <v>3.6773326442399994E-2</v>
      </c>
    </row>
    <row r="27" spans="1:8" x14ac:dyDescent="0.25">
      <c r="A27" s="8" t="s">
        <v>68</v>
      </c>
      <c r="B27" s="15">
        <v>2.3099999999999999E-2</v>
      </c>
      <c r="C27" s="16">
        <v>1.2371448441800001</v>
      </c>
      <c r="D27" s="16">
        <v>1.2446528395112011</v>
      </c>
      <c r="E27" s="16">
        <v>0.18229982323280017</v>
      </c>
      <c r="F27" s="57">
        <v>4.1211352722399994E-2</v>
      </c>
      <c r="G27" s="57">
        <v>0.15086516430159999</v>
      </c>
      <c r="H27" s="57">
        <v>0.17160885673120002</v>
      </c>
    </row>
    <row r="28" spans="1:8" x14ac:dyDescent="0.25">
      <c r="A28" s="8" t="s">
        <v>69</v>
      </c>
      <c r="B28" s="15">
        <v>4.8899999999999999E-2</v>
      </c>
      <c r="C28" s="16">
        <v>0.35346995548000004</v>
      </c>
      <c r="D28" s="16">
        <v>0.35561509700320032</v>
      </c>
      <c r="E28" s="16">
        <v>5.208566378080004E-2</v>
      </c>
      <c r="F28" s="57">
        <v>1.1774672206399996E-2</v>
      </c>
      <c r="G28" s="57">
        <v>4.3104332657599997E-2</v>
      </c>
      <c r="H28" s="57">
        <v>4.9031101923199996E-2</v>
      </c>
    </row>
    <row r="29" spans="1:8" x14ac:dyDescent="0.25">
      <c r="A29" s="8" t="s">
        <v>73</v>
      </c>
      <c r="B29" s="15">
        <v>0.2</v>
      </c>
      <c r="C29" s="16">
        <v>0</v>
      </c>
      <c r="D29" s="16">
        <v>0</v>
      </c>
      <c r="E29" s="16">
        <v>0</v>
      </c>
    </row>
    <row r="30" spans="1:8" x14ac:dyDescent="0.25">
      <c r="A30" s="8" t="s">
        <v>74</v>
      </c>
      <c r="B30" s="15">
        <v>0</v>
      </c>
      <c r="C30" s="16">
        <v>0</v>
      </c>
      <c r="D30" s="16">
        <v>0</v>
      </c>
      <c r="E30" s="16">
        <v>0</v>
      </c>
    </row>
    <row r="31" spans="1:8" x14ac:dyDescent="0.25">
      <c r="A31" s="8" t="s">
        <v>75</v>
      </c>
      <c r="B31" s="15">
        <v>0</v>
      </c>
      <c r="C31" s="16">
        <v>0</v>
      </c>
      <c r="D31" s="16">
        <v>0</v>
      </c>
      <c r="E31" s="16">
        <v>0</v>
      </c>
    </row>
    <row r="32" spans="1:8" x14ac:dyDescent="0.25">
      <c r="A32" s="8" t="s">
        <v>76</v>
      </c>
      <c r="B32" s="15">
        <v>0.13638608401664667</v>
      </c>
      <c r="C32" s="16">
        <v>1.2371448441800001</v>
      </c>
      <c r="D32" s="16">
        <v>1.2446528395112011</v>
      </c>
      <c r="E32" s="16">
        <v>0.18229982323280017</v>
      </c>
      <c r="F32" s="57">
        <v>4.1211352722399994E-2</v>
      </c>
      <c r="G32" s="57">
        <v>0.15086516430159999</v>
      </c>
      <c r="H32" s="57">
        <v>0.17160885673120002</v>
      </c>
    </row>
    <row r="33" spans="1:8" s="7" customFormat="1" x14ac:dyDescent="0.25">
      <c r="A33" s="17" t="s">
        <v>116</v>
      </c>
      <c r="B33" s="17"/>
      <c r="C33" s="18">
        <f>SUM(C22:C32)</f>
        <v>4.4183744435000003</v>
      </c>
      <c r="D33" s="18">
        <f>SUM(D22:D32)</f>
        <v>4.4451887125400038</v>
      </c>
      <c r="E33" s="18">
        <f>SUM(E22:E32)</f>
        <v>0.6510707972600005</v>
      </c>
      <c r="F33" s="63">
        <f>SUM(F22:F32)</f>
        <v>0.14718340257999996</v>
      </c>
      <c r="G33" s="63">
        <f t="shared" ref="G33:H33" si="7">SUM(G22:G32)</f>
        <v>0.53880415821999994</v>
      </c>
      <c r="H33" s="63">
        <f t="shared" si="7"/>
        <v>0.61288877403999997</v>
      </c>
    </row>
    <row r="34" spans="1:8" x14ac:dyDescent="0.25">
      <c r="C34" s="19"/>
      <c r="D34" s="19"/>
      <c r="E34" s="19"/>
    </row>
    <row r="35" spans="1:8" x14ac:dyDescent="0.25">
      <c r="C35" s="19"/>
      <c r="D35" s="19"/>
      <c r="E35" s="19"/>
    </row>
    <row r="36" spans="1:8" x14ac:dyDescent="0.25">
      <c r="A36" s="7" t="s">
        <v>117</v>
      </c>
      <c r="C36" s="14">
        <v>2018</v>
      </c>
      <c r="D36" s="14">
        <v>2019</v>
      </c>
      <c r="E36" s="14">
        <v>2020</v>
      </c>
      <c r="F36" s="14">
        <v>2021</v>
      </c>
      <c r="G36" s="14">
        <v>2022</v>
      </c>
      <c r="H36" s="14">
        <v>2023</v>
      </c>
    </row>
    <row r="37" spans="1:8" x14ac:dyDescent="0.25">
      <c r="A37" s="8" t="s">
        <v>63</v>
      </c>
      <c r="C37" s="16">
        <v>0</v>
      </c>
      <c r="D37" s="16">
        <v>0</v>
      </c>
      <c r="E37" s="16">
        <v>0</v>
      </c>
    </row>
    <row r="38" spans="1:8" x14ac:dyDescent="0.25">
      <c r="A38" s="8" t="s">
        <v>64</v>
      </c>
      <c r="C38" s="16">
        <v>3.8002216086024991E-2</v>
      </c>
      <c r="D38" s="16">
        <v>3.8002216086024991E-2</v>
      </c>
      <c r="E38" s="16">
        <v>3.8002216086024991E-2</v>
      </c>
      <c r="F38" s="57">
        <v>3.8002216086024991E-2</v>
      </c>
      <c r="G38" s="57">
        <v>3.8002216086024991E-2</v>
      </c>
      <c r="H38" s="57">
        <v>3.2620027866350564E-2</v>
      </c>
    </row>
    <row r="39" spans="1:8" x14ac:dyDescent="0.25">
      <c r="A39" s="8" t="s">
        <v>65</v>
      </c>
      <c r="C39" s="16">
        <v>0.19179882262281508</v>
      </c>
      <c r="D39" s="16">
        <v>0.2169270241701885</v>
      </c>
      <c r="E39" s="16">
        <v>0.23137491988047151</v>
      </c>
      <c r="F39" s="57">
        <v>0.23363797053701793</v>
      </c>
      <c r="G39" s="57">
        <v>0.23558274527188591</v>
      </c>
      <c r="H39" s="57">
        <v>0.18179668855358469</v>
      </c>
    </row>
    <row r="40" spans="1:8" x14ac:dyDescent="0.25">
      <c r="A40" s="8" t="s">
        <v>66</v>
      </c>
      <c r="C40" s="16">
        <v>8.211843296650484E-2</v>
      </c>
      <c r="D40" s="16">
        <v>8.8899058780875437E-2</v>
      </c>
      <c r="E40" s="16">
        <v>9.2797697305872451E-2</v>
      </c>
      <c r="F40" s="57">
        <v>9.3408361768750045E-2</v>
      </c>
      <c r="G40" s="57">
        <v>9.3933142252762059E-2</v>
      </c>
      <c r="H40" s="57">
        <v>9.5130274363984496E-2</v>
      </c>
    </row>
    <row r="41" spans="1:8" x14ac:dyDescent="0.25">
      <c r="A41" s="8" t="s">
        <v>67</v>
      </c>
      <c r="C41" s="16">
        <v>5.2152612942596183E-2</v>
      </c>
      <c r="D41" s="16">
        <v>5.6646439462708469E-2</v>
      </c>
      <c r="E41" s="16">
        <v>5.9230243034177073E-2</v>
      </c>
      <c r="F41" s="57">
        <v>5.9634957913495955E-2</v>
      </c>
      <c r="G41" s="57">
        <v>5.9982753606821551E-2</v>
      </c>
      <c r="H41" s="57">
        <v>5.705300101618125E-2</v>
      </c>
    </row>
    <row r="42" spans="1:8" x14ac:dyDescent="0.25">
      <c r="A42" s="8" t="s">
        <v>68</v>
      </c>
      <c r="C42" s="16">
        <v>0.42944100310424521</v>
      </c>
      <c r="D42" s="16">
        <v>0.45810576635087857</v>
      </c>
      <c r="E42" s="16">
        <v>0.47458706960557179</v>
      </c>
      <c r="F42" s="57">
        <v>0.47716862368785434</v>
      </c>
      <c r="G42" s="57">
        <v>0.47938710745948154</v>
      </c>
      <c r="H42" s="57">
        <v>0.47302158395191168</v>
      </c>
    </row>
    <row r="43" spans="1:8" x14ac:dyDescent="0.25">
      <c r="A43" s="8" t="s">
        <v>69</v>
      </c>
      <c r="C43" s="16">
        <v>0.24810577789127528</v>
      </c>
      <c r="D43" s="16">
        <v>0.2654429074244895</v>
      </c>
      <c r="E43" s="16">
        <v>0.27541119102565831</v>
      </c>
      <c r="F43" s="57">
        <v>0.27697257624054533</v>
      </c>
      <c r="G43" s="57">
        <v>0.377346474282165</v>
      </c>
      <c r="H43" s="57">
        <v>0.30841162269622557</v>
      </c>
    </row>
    <row r="44" spans="1:8" x14ac:dyDescent="0.25">
      <c r="A44" s="8" t="s">
        <v>73</v>
      </c>
      <c r="C44" s="16">
        <v>0</v>
      </c>
      <c r="D44" s="16">
        <v>0</v>
      </c>
      <c r="E44" s="16">
        <v>0</v>
      </c>
    </row>
    <row r="45" spans="1:8" x14ac:dyDescent="0.25">
      <c r="A45" s="8" t="s">
        <v>74</v>
      </c>
      <c r="C45" s="16">
        <v>0</v>
      </c>
      <c r="D45" s="16">
        <v>0</v>
      </c>
      <c r="E45" s="16">
        <v>0</v>
      </c>
    </row>
    <row r="46" spans="1:8" x14ac:dyDescent="0.25">
      <c r="A46" s="8" t="s">
        <v>75</v>
      </c>
      <c r="C46" s="16">
        <v>0</v>
      </c>
      <c r="D46" s="16">
        <v>0</v>
      </c>
      <c r="E46" s="16">
        <v>0</v>
      </c>
    </row>
    <row r="47" spans="1:8" x14ac:dyDescent="0.25">
      <c r="A47" s="8" t="s">
        <v>76</v>
      </c>
      <c r="C47" s="16">
        <v>2.8165632921528312</v>
      </c>
      <c r="D47" s="16">
        <v>3.1304808694688586</v>
      </c>
      <c r="E47" s="16">
        <v>3.2516294668328092</v>
      </c>
      <c r="F47" s="57">
        <v>2.8306211144856559</v>
      </c>
      <c r="G47" s="57">
        <v>2.8419179578694402</v>
      </c>
      <c r="H47" s="57">
        <v>2.4333874180422139</v>
      </c>
    </row>
    <row r="48" spans="1:8" s="7" customFormat="1" x14ac:dyDescent="0.25">
      <c r="A48" s="17" t="s">
        <v>77</v>
      </c>
      <c r="B48" s="17"/>
      <c r="C48" s="18">
        <f>SUM(C37:C47)</f>
        <v>3.8581821577662927</v>
      </c>
      <c r="D48" s="18">
        <f>SUM(D37:D47)</f>
        <v>4.2545042817440244</v>
      </c>
      <c r="E48" s="18">
        <f>SUM(E37:E47)</f>
        <v>4.4230328037705853</v>
      </c>
      <c r="F48" s="63">
        <f>SUM(F37:F47)</f>
        <v>4.0094458207193444</v>
      </c>
      <c r="G48" s="63">
        <f t="shared" ref="G48:H48" si="8">SUM(G37:G47)</f>
        <v>4.1261523968285818</v>
      </c>
      <c r="H48" s="63">
        <f t="shared" si="8"/>
        <v>3.5814206164904521</v>
      </c>
    </row>
  </sheetData>
  <printOptions horizontalCentered="1"/>
  <pageMargins left="0.2" right="0.2" top="0.5" bottom="0.25" header="0.3" footer="0.3"/>
  <pageSetup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licant xmlns="7e651a3a-8d05-4ee0-9344-b668032e30e0">Hydro One Networks Inc. - HONI</Applicant>
    <Witness xmlns="7e651a3a-8d05-4ee0-9344-b668032e30e0">
      <UserInfo>
        <DisplayName/>
        <AccountId xsi:nil="true"/>
        <AccountType/>
      </UserInfo>
    </Witness>
    <RA xmlns="7e651a3a-8d05-4ee0-9344-b668032e30e0">
      <UserInfo>
        <DisplayName/>
        <AccountId xsi:nil="true"/>
        <AccountType/>
      </UserInfo>
    </RA>
    <RAContact xmlns="7e651a3a-8d05-4ee0-9344-b668032e30e0" xsi:nil="true"/>
    <DraftReady xmlns="7e651a3a-8d05-4ee0-9344-b668032e30e0" xsi:nil="true"/>
    <DocumentType xmlns="7e651a3a-8d05-4ee0-9344-b668032e30e0">Working Document</DocumentType>
    <Confidential xmlns="7e651a3a-8d05-4ee0-9344-b668032e30e0">false</Confidential>
    <RAApproved xmlns="7e651a3a-8d05-4ee0-9344-b668032e30e0">false</RAApproved>
    <Author0 xmlns="7e651a3a-8d05-4ee0-9344-b668032e30e0">
      <UserInfo>
        <DisplayName/>
        <AccountId xsi:nil="true"/>
        <AccountType/>
      </UserInfo>
    </Author0>
    <RADirectorApproved xmlns="7e651a3a-8d05-4ee0-9344-b668032e30e0">false</RADirectorApproved>
    <CaseNumber_x002f_DocketNumber xmlns="7e651a3a-8d05-4ee0-9344-b668032e30e0">EB-2023-0291</CaseNumber_x002f_DocketNumber>
    <Formatted xmlns="7e651a3a-8d05-4ee0-9344-b668032e30e0">false</Formatted>
    <Legal_x0020_Review xmlns="7e651a3a-8d05-4ee0-9344-b668032e30e0">true</Legal_x0020_Review>
    <PDF xmlns="7e651a3a-8d05-4ee0-9344-b668032e30e0">false</PDF>
    <TaxCatchAll xmlns="1f5e108a-442b-424d-88d6-fdac133e65d6" xsi:nil="true"/>
    <IssueDate xmlns="7e651a3a-8d05-4ee0-9344-b668032e30e0">2023-10-03T04:00:00+00:00</IssueDate>
    <WitnessApproved xmlns="7e651a3a-8d05-4ee0-9344-b668032e30e0">false</WitnessApproved>
    <Strategic xmlns="7e651a3a-8d05-4ee0-9344-b668032e30e0">false</Strategic>
    <Docket xmlns="7e651a3a-8d05-4ee0-9344-b668032e30e0" xsi:nil="true"/>
    <Applicant0 xmlns="7e651a3a-8d05-4ee0-9344-b668032e30e0">
      <Value>Hydro One Networks Inc. - HONI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  <Allmapsinthefolder xmlns="7e651a3a-8d05-4ee0-9344-b668032e30e0">false</Allmapsinthefolder>
    <RRA xmlns="7e651a3a-8d05-4ee0-9344-b668032e30e0" xsi:nil="true"/>
    <ReadyforPrinting xmlns="7e651a3a-8d05-4ee0-9344-b668032e30e0">false</ReadyforPrinting>
    <PRINTED xmlns="7e651a3a-8d05-4ee0-9344-b668032e30e0">false</PRINTED>
    <MegafileReady xmlns="7e651a3a-8d05-4ee0-9344-b668032e30e0">false</MegafileReady>
    <AcceptedService_x002d_Legal xmlns="7e651a3a-8d05-4ee0-9344-b668032e30e0">true</AcceptedService_x002d_Legal>
    <SharedWithUsers xmlns="1f5e108a-442b-424d-88d6-fdac133e65d6">
      <UserInfo>
        <DisplayName>JODOIN Joel</DisplayName>
        <AccountId>854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47" ma:contentTypeDescription="Create a new document." ma:contentTypeScope="" ma:versionID="ab45c3d17d1f08adb29c6f439b6e05cd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0c9629775797afa895d186cc766514b5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WitnessApproved" minOccurs="0"/>
                <xsd:element ref="ns2:RAApproved" minOccurs="0"/>
                <xsd:element ref="ns2:Strategic" minOccurs="0"/>
                <xsd:element ref="ns2:MediaLengthInSeconds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RA" ma:index="21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22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23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24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25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26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</xsd:restriction>
          </xsd:simpleType>
        </xsd:union>
      </xsd:simpleType>
    </xsd:element>
    <xsd:element name="Applicant" ma:index="27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"/>
              <xsd:enumeration value="Batchewana First Nation"/>
              <xsd:enumeration value="Northwestern Ontario Metis Community"/>
              <xsd:enumeration value="Lac des Mille Lacs First Nation"/>
            </xsd:restriction>
          </xsd:simpleType>
        </xsd:union>
      </xsd:simpleType>
    </xsd:element>
    <xsd:element name="Applicant0" ma:index="28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29" nillable="true" ma:displayName="Issue Date" ma:format="DateOnly" ma:internalName="IssueDate">
      <xsd:simpleType>
        <xsd:restriction base="dms:DateTime"/>
      </xsd:simpleType>
    </xsd:element>
    <xsd:element name="DocumentType" ma:index="30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istribution System Plan"/>
          <xsd:enumeration value="Draft Rate Order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  <xsd:enumeration value="OEB Intervention form"/>
        </xsd:restriction>
      </xsd:simpleType>
    </xsd:element>
    <xsd:element name="Docket" ma:index="31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32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Approved" ma:index="33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34" nillable="true" ma:displayName="RA Approved" ma:default="0" ma:format="Dropdown" ma:internalName="RAApproved">
      <xsd:simpleType>
        <xsd:restriction base="dms:Boolean"/>
      </xsd:simpleType>
    </xsd:element>
    <xsd:element name="Strategic" ma:index="35" nillable="true" ma:displayName="Strategic" ma:default="0" ma:format="Dropdown" ma:internalName="Strategic">
      <xsd:simpleType>
        <xsd:restriction base="dms:Boolean"/>
      </xsd:simpleType>
    </xsd:element>
    <xsd:element name="MediaLengthInSeconds" ma:index="36" nillable="true" ma:displayName="MediaLengthInSeconds" ma:hidden="true" ma:internalName="MediaLengthInSeconds" ma:readOnly="true">
      <xsd:simpleType>
        <xsd:restriction base="dms:Unknown"/>
      </xsd:simpleType>
    </xsd:element>
    <xsd:element name="Legal_x0020_Review" ma:index="37" nillable="true" ma:displayName="Legal Review" ma:default="1" ma:internalName="Legal_x0020_Review">
      <xsd:simpleType>
        <xsd:restriction base="dms:Boolean"/>
      </xsd:simpleType>
    </xsd:element>
    <xsd:element name="Formatted" ma:index="38" nillable="true" ma:displayName="Formatted" ma:default="0" ma:format="Dropdown" ma:internalName="Formatted">
      <xsd:simpleType>
        <xsd:restriction base="dms:Boolean"/>
      </xsd:simpleType>
    </xsd:element>
    <xsd:element name="PDF" ma:index="39" nillable="true" ma:displayName="PDF" ma:default="0" ma:format="Dropdown" ma:internalName="PDF">
      <xsd:simpleType>
        <xsd:restriction base="dms:Boolean"/>
      </xsd:simpleType>
    </xsd:element>
    <xsd:element name="Confidential" ma:index="4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4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42" nillable="true" ma:displayName="Witness" ma:format="Dropdown" ma:list="UserInfo" ma:SharePointGroup="0" ma:internalName="Witness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RA" ma:index="43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44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45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46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47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48" nillable="true" ma:displayName="Accepted Service - Legal" ma:default="1" ma:format="Dropdown" ma:internalName="AcceptedService_x002d_Legal">
      <xsd:simpleType>
        <xsd:restriction base="dms:Boolean"/>
      </xsd:simpleType>
    </xsd:element>
    <xsd:element name="MediaServiceObjectDetectorVersions" ma:index="4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E02701-C525-4D14-86C3-A6626A5845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8FCF4C-95B5-4639-8956-C21C9AABA999}">
  <ds:schemaRefs>
    <ds:schemaRef ds:uri="http://schemas.openxmlformats.org/package/2006/metadata/core-properties"/>
    <ds:schemaRef ds:uri="http://purl.org/dc/elements/1.1/"/>
    <ds:schemaRef ds:uri="7e651a3a-8d05-4ee0-9344-b668032e30e0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1f5e108a-442b-424d-88d6-fdac133e65d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97C75DB-A247-40FE-A86F-BA0D591487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Summary</vt:lpstr>
      <vt:lpstr>1 - Renewable Gen Invst Summary</vt:lpstr>
      <vt:lpstr>2 - Fixed Asset Cont.</vt:lpstr>
      <vt:lpstr>3 - Income Taxes &amp; UCC</vt:lpstr>
      <vt:lpstr>4 - Revenue Requirement </vt:lpstr>
      <vt:lpstr>Revenue Requirement</vt:lpstr>
      <vt:lpstr>Fixed Asset Continuity</vt:lpstr>
      <vt:lpstr>'4 - Revenue Requirement '!Print_Area</vt:lpstr>
      <vt:lpstr>'Revenue Requirement'!Print_Area</vt:lpstr>
      <vt:lpstr>Summary!Print_Area</vt:lpstr>
    </vt:vector>
  </TitlesOfParts>
  <Manager/>
  <Company>Ontario Energy Board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BenumMa</dc:creator>
  <cp:keywords/>
  <dc:description/>
  <cp:lastModifiedBy>LEE Julie(Qiu Ling)</cp:lastModifiedBy>
  <cp:revision/>
  <cp:lastPrinted>2023-10-03T14:14:54Z</cp:lastPrinted>
  <dcterms:created xsi:type="dcterms:W3CDTF">2009-03-31T14:51:00Z</dcterms:created>
  <dcterms:modified xsi:type="dcterms:W3CDTF">2023-10-03T14:15:00Z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0x01010062A9886C0063524695E58E529275A6AB</vt:lpwstr>
  </property>
  <property fmtid="{D5CDD505-2E9C-101B-9397-08002B2CF9AE}" pid="4" name="_dlc_DocIdItemGuid">
    <vt:lpwstr>96448eef-d9a5-4ced-8947-e23ea8425cff</vt:lpwstr>
  </property>
  <property fmtid="{D5CDD505-2E9C-101B-9397-08002B2CF9AE}" pid="5" name="MediaServiceImageTags">
    <vt:lpwstr/>
  </property>
</Properties>
</file>