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L:\FINANCE\Rate Submission\2024 Cost of Service\Exhibit 9 DVA\"/>
    </mc:Choice>
  </mc:AlternateContent>
  <xr:revisionPtr revIDLastSave="0" documentId="13_ncr:1_{239958D4-DC21-4EC7-AB55-808FC503BBC6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AIIP Summary 2022" sheetId="3" r:id="rId1"/>
    <sheet name="AIIP Summary 2021" sheetId="2" r:id="rId2"/>
    <sheet name="2018-2022" sheetId="1" r:id="rId3"/>
    <sheet name="2018 and 2019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5" l="1"/>
  <c r="G15" i="5"/>
  <c r="M15" i="5"/>
  <c r="N15" i="5"/>
  <c r="O15" i="5"/>
  <c r="O29" i="5" s="1"/>
  <c r="P15" i="5"/>
  <c r="Q15" i="5"/>
  <c r="R15" i="5"/>
  <c r="F16" i="5"/>
  <c r="G16" i="5"/>
  <c r="H16" i="5"/>
  <c r="J16" i="5" s="1"/>
  <c r="K16" i="5" s="1"/>
  <c r="M16" i="5"/>
  <c r="P16" i="5" s="1"/>
  <c r="N16" i="5"/>
  <c r="O16" i="5"/>
  <c r="R16" i="5" s="1"/>
  <c r="Q16" i="5"/>
  <c r="F17" i="5"/>
  <c r="G17" i="5"/>
  <c r="H17" i="5"/>
  <c r="J17" i="5"/>
  <c r="K17" i="5"/>
  <c r="M17" i="5"/>
  <c r="N17" i="5"/>
  <c r="O17" i="5"/>
  <c r="P17" i="5"/>
  <c r="Q17" i="5"/>
  <c r="R17" i="5"/>
  <c r="F18" i="5"/>
  <c r="G18" i="5"/>
  <c r="L18" i="5"/>
  <c r="N18" i="5"/>
  <c r="Q18" i="5" s="1"/>
  <c r="O18" i="5"/>
  <c r="F19" i="5"/>
  <c r="G19" i="5"/>
  <c r="H19" i="5"/>
  <c r="J19" i="5"/>
  <c r="K19" i="5"/>
  <c r="L19" i="5"/>
  <c r="N19" i="5" s="1"/>
  <c r="O19" i="5"/>
  <c r="F20" i="5"/>
  <c r="G20" i="5"/>
  <c r="N20" i="5"/>
  <c r="M20" i="5" s="1"/>
  <c r="O20" i="5"/>
  <c r="P20" i="5"/>
  <c r="Q20" i="5"/>
  <c r="F21" i="5"/>
  <c r="G21" i="5"/>
  <c r="H21" i="5" s="1"/>
  <c r="J21" i="5" s="1"/>
  <c r="K21" i="5" s="1"/>
  <c r="M21" i="5"/>
  <c r="P21" i="5" s="1"/>
  <c r="R21" i="5" s="1"/>
  <c r="N21" i="5"/>
  <c r="Q21" i="5" s="1"/>
  <c r="O21" i="5"/>
  <c r="F22" i="5"/>
  <c r="G22" i="5"/>
  <c r="H22" i="5"/>
  <c r="J22" i="5"/>
  <c r="N22" i="5"/>
  <c r="M22" i="5" s="1"/>
  <c r="P22" i="5" s="1"/>
  <c r="R22" i="5" s="1"/>
  <c r="O22" i="5"/>
  <c r="Q22" i="5"/>
  <c r="F23" i="5"/>
  <c r="G23" i="5"/>
  <c r="N23" i="5"/>
  <c r="O23" i="5"/>
  <c r="F24" i="5"/>
  <c r="G24" i="5"/>
  <c r="H24" i="5"/>
  <c r="J24" i="5"/>
  <c r="K24" i="5"/>
  <c r="L24" i="5"/>
  <c r="N24" i="5" s="1"/>
  <c r="O24" i="5"/>
  <c r="F25" i="5"/>
  <c r="G25" i="5"/>
  <c r="L25" i="5"/>
  <c r="N25" i="5"/>
  <c r="O25" i="5"/>
  <c r="F26" i="5"/>
  <c r="G26" i="5"/>
  <c r="H26" i="5"/>
  <c r="J26" i="5"/>
  <c r="K26" i="5"/>
  <c r="M26" i="5"/>
  <c r="P26" i="5" s="1"/>
  <c r="R26" i="5" s="1"/>
  <c r="N26" i="5"/>
  <c r="O26" i="5"/>
  <c r="Q26" i="5"/>
  <c r="F27" i="5"/>
  <c r="G27" i="5"/>
  <c r="M27" i="5"/>
  <c r="N27" i="5"/>
  <c r="O27" i="5"/>
  <c r="P27" i="5"/>
  <c r="Q27" i="5"/>
  <c r="R27" i="5"/>
  <c r="F28" i="5"/>
  <c r="G28" i="5"/>
  <c r="H28" i="5"/>
  <c r="J28" i="5" s="1"/>
  <c r="K28" i="5" s="1"/>
  <c r="P28" i="5"/>
  <c r="Q28" i="5"/>
  <c r="R28" i="5"/>
  <c r="C29" i="5"/>
  <c r="D29" i="5"/>
  <c r="E29" i="5"/>
  <c r="F74" i="5"/>
  <c r="F88" i="5" s="1"/>
  <c r="G74" i="5"/>
  <c r="G88" i="5" s="1"/>
  <c r="H74" i="5"/>
  <c r="J74" i="5"/>
  <c r="K74" i="5" s="1"/>
  <c r="M74" i="5"/>
  <c r="N74" i="5"/>
  <c r="O74" i="5"/>
  <c r="P74" i="5"/>
  <c r="Q74" i="5"/>
  <c r="R74" i="5"/>
  <c r="T74" i="5"/>
  <c r="F75" i="5"/>
  <c r="G75" i="5"/>
  <c r="M75" i="5"/>
  <c r="N75" i="5"/>
  <c r="O75" i="5"/>
  <c r="P75" i="5"/>
  <c r="Q75" i="5"/>
  <c r="F76" i="5"/>
  <c r="G76" i="5"/>
  <c r="H76" i="5"/>
  <c r="J76" i="5"/>
  <c r="T76" i="5" s="1"/>
  <c r="K76" i="5"/>
  <c r="M76" i="5"/>
  <c r="N76" i="5"/>
  <c r="O76" i="5"/>
  <c r="P76" i="5"/>
  <c r="Q76" i="5"/>
  <c r="R76" i="5"/>
  <c r="F77" i="5"/>
  <c r="G77" i="5"/>
  <c r="N77" i="5"/>
  <c r="O77" i="5"/>
  <c r="F78" i="5"/>
  <c r="G78" i="5"/>
  <c r="H78" i="5"/>
  <c r="J78" i="5"/>
  <c r="T78" i="5" s="1"/>
  <c r="K78" i="5"/>
  <c r="N78" i="5"/>
  <c r="O78" i="5"/>
  <c r="P78" i="5"/>
  <c r="Q78" i="5"/>
  <c r="R78" i="5"/>
  <c r="F79" i="5"/>
  <c r="G79" i="5"/>
  <c r="N79" i="5"/>
  <c r="M79" i="5" s="1"/>
  <c r="P79" i="5" s="1"/>
  <c r="O79" i="5"/>
  <c r="Q79" i="5"/>
  <c r="F80" i="5"/>
  <c r="G80" i="5"/>
  <c r="H80" i="5"/>
  <c r="J80" i="5"/>
  <c r="T80" i="5" s="1"/>
  <c r="K80" i="5"/>
  <c r="M80" i="5"/>
  <c r="P80" i="5" s="1"/>
  <c r="R80" i="5" s="1"/>
  <c r="N80" i="5"/>
  <c r="O80" i="5"/>
  <c r="Q80" i="5"/>
  <c r="F81" i="5"/>
  <c r="G81" i="5"/>
  <c r="N81" i="5"/>
  <c r="M81" i="5" s="1"/>
  <c r="P81" i="5" s="1"/>
  <c r="O81" i="5"/>
  <c r="Q81" i="5"/>
  <c r="F82" i="5"/>
  <c r="G82" i="5"/>
  <c r="H82" i="5"/>
  <c r="J82" i="5"/>
  <c r="T82" i="5" s="1"/>
  <c r="K82" i="5"/>
  <c r="M82" i="5"/>
  <c r="P82" i="5" s="1"/>
  <c r="R82" i="5" s="1"/>
  <c r="N82" i="5"/>
  <c r="O82" i="5"/>
  <c r="Q82" i="5"/>
  <c r="F83" i="5"/>
  <c r="G83" i="5"/>
  <c r="N83" i="5"/>
  <c r="O83" i="5"/>
  <c r="P83" i="5"/>
  <c r="R83" i="5" s="1"/>
  <c r="Q83" i="5"/>
  <c r="F84" i="5"/>
  <c r="G84" i="5"/>
  <c r="H84" i="5" s="1"/>
  <c r="J84" i="5" s="1"/>
  <c r="K84" i="5"/>
  <c r="M84" i="5"/>
  <c r="P84" i="5" s="1"/>
  <c r="R84" i="5" s="1"/>
  <c r="T84" i="5" s="1"/>
  <c r="N84" i="5"/>
  <c r="Q84" i="5" s="1"/>
  <c r="O84" i="5"/>
  <c r="F85" i="5"/>
  <c r="G85" i="5"/>
  <c r="H85" i="5"/>
  <c r="J85" i="5" s="1"/>
  <c r="M85" i="5"/>
  <c r="N85" i="5"/>
  <c r="O85" i="5"/>
  <c r="P85" i="5"/>
  <c r="R85" i="5" s="1"/>
  <c r="T85" i="5" s="1"/>
  <c r="Q85" i="5"/>
  <c r="F86" i="5"/>
  <c r="G86" i="5"/>
  <c r="H86" i="5" s="1"/>
  <c r="J86" i="5" s="1"/>
  <c r="K86" i="5"/>
  <c r="N86" i="5"/>
  <c r="Q86" i="5" s="1"/>
  <c r="O86" i="5"/>
  <c r="F87" i="5"/>
  <c r="H87" i="5" s="1"/>
  <c r="J87" i="5" s="1"/>
  <c r="T87" i="5" s="1"/>
  <c r="G87" i="5"/>
  <c r="P87" i="5"/>
  <c r="Q87" i="5"/>
  <c r="R87" i="5"/>
  <c r="C88" i="5"/>
  <c r="D88" i="5"/>
  <c r="E88" i="5"/>
  <c r="Q88" i="5" l="1"/>
  <c r="R75" i="5"/>
  <c r="R18" i="5"/>
  <c r="Q77" i="5"/>
  <c r="M77" i="5"/>
  <c r="M86" i="5"/>
  <c r="P86" i="5" s="1"/>
  <c r="R86" i="5" s="1"/>
  <c r="T86" i="5" s="1"/>
  <c r="H81" i="5"/>
  <c r="J81" i="5" s="1"/>
  <c r="K81" i="5"/>
  <c r="P29" i="5"/>
  <c r="Q23" i="5"/>
  <c r="R23" i="5" s="1"/>
  <c r="M23" i="5"/>
  <c r="P23" i="5" s="1"/>
  <c r="H25" i="5"/>
  <c r="J25" i="5" s="1"/>
  <c r="K25" i="5"/>
  <c r="K27" i="5"/>
  <c r="N88" i="5"/>
  <c r="H83" i="5"/>
  <c r="J83" i="5" s="1"/>
  <c r="T83" i="5" s="1"/>
  <c r="K83" i="5"/>
  <c r="M19" i="5"/>
  <c r="P19" i="5" s="1"/>
  <c r="Q19" i="5"/>
  <c r="M24" i="5"/>
  <c r="P24" i="5" s="1"/>
  <c r="Q24" i="5"/>
  <c r="N29" i="5"/>
  <c r="K85" i="5"/>
  <c r="H75" i="5"/>
  <c r="J75" i="5" s="1"/>
  <c r="J88" i="5" s="1"/>
  <c r="K75" i="5"/>
  <c r="K88" i="5" s="1"/>
  <c r="Q25" i="5"/>
  <c r="M25" i="5"/>
  <c r="P25" i="5" s="1"/>
  <c r="R25" i="5" s="1"/>
  <c r="H23" i="5"/>
  <c r="J23" i="5" s="1"/>
  <c r="K23" i="5"/>
  <c r="K22" i="5"/>
  <c r="R20" i="5"/>
  <c r="H18" i="5"/>
  <c r="J18" i="5" s="1"/>
  <c r="K18" i="5"/>
  <c r="H77" i="5"/>
  <c r="J77" i="5" s="1"/>
  <c r="K77" i="5"/>
  <c r="O88" i="5"/>
  <c r="K87" i="5"/>
  <c r="G29" i="5"/>
  <c r="H20" i="5"/>
  <c r="J20" i="5" s="1"/>
  <c r="K20" i="5"/>
  <c r="H79" i="5"/>
  <c r="J79" i="5" s="1"/>
  <c r="K79" i="5"/>
  <c r="R81" i="5"/>
  <c r="T81" i="5" s="1"/>
  <c r="R79" i="5"/>
  <c r="T79" i="5" s="1"/>
  <c r="H27" i="5"/>
  <c r="J27" i="5" s="1"/>
  <c r="H15" i="5"/>
  <c r="M18" i="5"/>
  <c r="P18" i="5" s="1"/>
  <c r="F29" i="5"/>
  <c r="J15" i="5" l="1"/>
  <c r="H29" i="5"/>
  <c r="R24" i="5"/>
  <c r="T75" i="5"/>
  <c r="P77" i="5"/>
  <c r="M88" i="5"/>
  <c r="Q29" i="5"/>
  <c r="H88" i="5"/>
  <c r="M29" i="5"/>
  <c r="R19" i="5"/>
  <c r="R29" i="5" s="1"/>
  <c r="P88" i="5" l="1"/>
  <c r="R77" i="5"/>
  <c r="J29" i="5"/>
  <c r="O34" i="5" s="1"/>
  <c r="O36" i="5" s="1"/>
  <c r="O38" i="5" s="1"/>
  <c r="P40" i="5" s="1"/>
  <c r="Q41" i="5" s="1"/>
  <c r="K15" i="5"/>
  <c r="K29" i="5" s="1"/>
  <c r="T77" i="5" l="1"/>
  <c r="T88" i="5" s="1"/>
  <c r="R88" i="5"/>
  <c r="O93" i="5" s="1"/>
  <c r="O95" i="5" s="1"/>
  <c r="O97" i="5" s="1"/>
  <c r="P99" i="5" s="1"/>
  <c r="Q100" i="5" s="1"/>
  <c r="C16" i="3" l="1"/>
  <c r="D10" i="3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48" i="1"/>
  <c r="D188" i="1"/>
  <c r="E188" i="1"/>
  <c r="G187" i="1"/>
  <c r="F187" i="1"/>
  <c r="G186" i="1"/>
  <c r="F186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F169" i="1"/>
  <c r="C33" i="3"/>
  <c r="E35" i="3" s="1"/>
  <c r="C32" i="3"/>
  <c r="D32" i="3" s="1"/>
  <c r="D33" i="3" s="1"/>
  <c r="F36" i="3" s="1"/>
  <c r="D31" i="3"/>
  <c r="D30" i="3"/>
  <c r="E150" i="1"/>
  <c r="D150" i="1"/>
  <c r="G149" i="1"/>
  <c r="F149" i="1"/>
  <c r="G148" i="1"/>
  <c r="C147" i="1"/>
  <c r="C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C107" i="1"/>
  <c r="C108" i="1"/>
  <c r="G188" i="1" l="1"/>
  <c r="I169" i="1"/>
  <c r="I186" i="1"/>
  <c r="K186" i="1" s="1"/>
  <c r="L186" i="1" s="1"/>
  <c r="I187" i="1"/>
  <c r="K187" i="1" s="1"/>
  <c r="L187" i="1" s="1"/>
  <c r="F170" i="1"/>
  <c r="G150" i="1"/>
  <c r="I149" i="1"/>
  <c r="K149" i="1" s="1"/>
  <c r="L149" i="1" s="1"/>
  <c r="D33" i="2"/>
  <c r="C33" i="2"/>
  <c r="D32" i="2"/>
  <c r="C32" i="2"/>
  <c r="I170" i="1" l="1"/>
  <c r="K170" i="1" s="1"/>
  <c r="L170" i="1" s="1"/>
  <c r="K169" i="1"/>
  <c r="E111" i="1"/>
  <c r="D111" i="1"/>
  <c r="G110" i="1"/>
  <c r="F110" i="1"/>
  <c r="G109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L169" i="1" l="1"/>
  <c r="G111" i="1"/>
  <c r="L110" i="1"/>
  <c r="I110" i="1"/>
  <c r="K110" i="1" s="1"/>
  <c r="D31" i="2"/>
  <c r="D30" i="2"/>
  <c r="G64" i="1"/>
  <c r="G67" i="1"/>
  <c r="G66" i="1"/>
  <c r="G65" i="1"/>
  <c r="H32" i="1"/>
  <c r="G19" i="1"/>
  <c r="F19" i="1"/>
  <c r="I19" i="1" s="1"/>
  <c r="G28" i="1"/>
  <c r="F28" i="1"/>
  <c r="F29" i="1"/>
  <c r="G29" i="1"/>
  <c r="F26" i="1"/>
  <c r="G26" i="1"/>
  <c r="I29" i="1" l="1"/>
  <c r="K29" i="1" s="1"/>
  <c r="L29" i="1" s="1"/>
  <c r="C67" i="1" s="1"/>
  <c r="F36" i="2"/>
  <c r="E35" i="2"/>
  <c r="I26" i="1"/>
  <c r="K26" i="1" s="1"/>
  <c r="L26" i="1" s="1"/>
  <c r="C64" i="1" s="1"/>
  <c r="F64" i="1" s="1"/>
  <c r="I64" i="1" s="1"/>
  <c r="K64" i="1" s="1"/>
  <c r="L64" i="1" s="1"/>
  <c r="C103" i="1" s="1"/>
  <c r="F103" i="1" s="1"/>
  <c r="I103" i="1" s="1"/>
  <c r="K103" i="1" s="1"/>
  <c r="L103" i="1" s="1"/>
  <c r="C142" i="1" s="1"/>
  <c r="F142" i="1" s="1"/>
  <c r="I28" i="1"/>
  <c r="K28" i="1" s="1"/>
  <c r="L28" i="1" s="1"/>
  <c r="C66" i="1" s="1"/>
  <c r="M18" i="1"/>
  <c r="M19" i="1"/>
  <c r="M24" i="1"/>
  <c r="M25" i="1"/>
  <c r="O57" i="1"/>
  <c r="P25" i="1"/>
  <c r="P24" i="1"/>
  <c r="P22" i="1"/>
  <c r="P21" i="1"/>
  <c r="P19" i="1"/>
  <c r="P18" i="1"/>
  <c r="I142" i="1" l="1"/>
  <c r="K142" i="1" s="1"/>
  <c r="L142" i="1" s="1"/>
  <c r="F182" i="1" s="1"/>
  <c r="I182" i="1" s="1"/>
  <c r="K182" i="1" s="1"/>
  <c r="L182" i="1" s="1"/>
  <c r="O62" i="1"/>
  <c r="R62" i="1" s="1"/>
  <c r="D72" i="1"/>
  <c r="Q71" i="1"/>
  <c r="R71" i="1"/>
  <c r="G71" i="1"/>
  <c r="F71" i="1"/>
  <c r="I71" i="1" s="1"/>
  <c r="K71" i="1" s="1"/>
  <c r="O70" i="1"/>
  <c r="R70" i="1" s="1"/>
  <c r="G70" i="1"/>
  <c r="O63" i="1"/>
  <c r="G63" i="1"/>
  <c r="G62" i="1"/>
  <c r="E72" i="1"/>
  <c r="O61" i="1"/>
  <c r="R61" i="1" s="1"/>
  <c r="G61" i="1"/>
  <c r="O60" i="1"/>
  <c r="R60" i="1" s="1"/>
  <c r="G60" i="1"/>
  <c r="O59" i="1"/>
  <c r="N59" i="1" s="1"/>
  <c r="Q59" i="1" s="1"/>
  <c r="G59" i="1"/>
  <c r="O58" i="1"/>
  <c r="R58" i="1" s="1"/>
  <c r="G58" i="1"/>
  <c r="R57" i="1"/>
  <c r="G57" i="1"/>
  <c r="O56" i="1"/>
  <c r="R56" i="1" s="1"/>
  <c r="G56" i="1"/>
  <c r="R55" i="1"/>
  <c r="O55" i="1"/>
  <c r="N55" i="1"/>
  <c r="Q55" i="1" s="1"/>
  <c r="G55" i="1"/>
  <c r="R54" i="1"/>
  <c r="O54" i="1"/>
  <c r="N54" i="1"/>
  <c r="Q54" i="1" s="1"/>
  <c r="G54" i="1"/>
  <c r="R53" i="1"/>
  <c r="O53" i="1"/>
  <c r="N53" i="1"/>
  <c r="G53" i="1"/>
  <c r="N61" i="1" l="1"/>
  <c r="Q61" i="1" s="1"/>
  <c r="S71" i="1"/>
  <c r="U71" i="1" s="1"/>
  <c r="R59" i="1"/>
  <c r="O72" i="1"/>
  <c r="Q57" i="1"/>
  <c r="R63" i="1"/>
  <c r="N63" i="1"/>
  <c r="Q63" i="1" s="1"/>
  <c r="Q62" i="1"/>
  <c r="N56" i="1"/>
  <c r="Q56" i="1" s="1"/>
  <c r="Q53" i="1"/>
  <c r="N60" i="1"/>
  <c r="Q60" i="1" s="1"/>
  <c r="L71" i="1"/>
  <c r="G72" i="1"/>
  <c r="N58" i="1"/>
  <c r="Q58" i="1" s="1"/>
  <c r="N70" i="1"/>
  <c r="Q70" i="1" s="1"/>
  <c r="P15" i="1"/>
  <c r="R72" i="1" l="1"/>
  <c r="Q72" i="1"/>
  <c r="N72" i="1"/>
  <c r="R16" i="1"/>
  <c r="R17" i="1"/>
  <c r="R15" i="1"/>
  <c r="O25" i="1"/>
  <c r="O20" i="1"/>
  <c r="O22" i="1"/>
  <c r="O23" i="1"/>
  <c r="O27" i="1"/>
  <c r="O30" i="1"/>
  <c r="P16" i="1"/>
  <c r="P17" i="1"/>
  <c r="P20" i="1"/>
  <c r="P23" i="1"/>
  <c r="P27" i="1"/>
  <c r="P30" i="1"/>
  <c r="O17" i="1"/>
  <c r="N17" i="1"/>
  <c r="Q17" i="1" s="1"/>
  <c r="O16" i="1"/>
  <c r="N16" i="1"/>
  <c r="Q16" i="1" s="1"/>
  <c r="O15" i="1"/>
  <c r="N15" i="1"/>
  <c r="S16" i="1" l="1"/>
  <c r="S17" i="1"/>
  <c r="Q15" i="1"/>
  <c r="S15" i="1" s="1"/>
  <c r="P32" i="1"/>
  <c r="N30" i="1"/>
  <c r="Q30" i="1" s="1"/>
  <c r="R30" i="1"/>
  <c r="N22" i="1"/>
  <c r="Q22" i="1" s="1"/>
  <c r="R22" i="1"/>
  <c r="N23" i="1"/>
  <c r="Q23" i="1" s="1"/>
  <c r="R23" i="1"/>
  <c r="N27" i="1"/>
  <c r="Q27" i="1" s="1"/>
  <c r="R27" i="1"/>
  <c r="N20" i="1"/>
  <c r="Q20" i="1" s="1"/>
  <c r="R20" i="1"/>
  <c r="N25" i="1"/>
  <c r="Q25" i="1" s="1"/>
  <c r="R25" i="1"/>
  <c r="S23" i="1" l="1"/>
  <c r="S30" i="1"/>
  <c r="S20" i="1"/>
  <c r="S25" i="1"/>
  <c r="S27" i="1"/>
  <c r="S22" i="1"/>
  <c r="G31" i="1" l="1"/>
  <c r="F31" i="1"/>
  <c r="G30" i="1"/>
  <c r="F30" i="1"/>
  <c r="G27" i="1"/>
  <c r="F27" i="1"/>
  <c r="G25" i="1"/>
  <c r="F25" i="1"/>
  <c r="E32" i="1"/>
  <c r="G23" i="1"/>
  <c r="F23" i="1"/>
  <c r="G22" i="1"/>
  <c r="F22" i="1"/>
  <c r="G20" i="1"/>
  <c r="F20" i="1"/>
  <c r="G17" i="1"/>
  <c r="F17" i="1"/>
  <c r="G16" i="1"/>
  <c r="F16" i="1"/>
  <c r="G15" i="1"/>
  <c r="F15" i="1"/>
  <c r="I25" i="1" l="1"/>
  <c r="I22" i="1"/>
  <c r="K22" i="1" s="1"/>
  <c r="L22" i="1" s="1"/>
  <c r="C60" i="1" s="1"/>
  <c r="I15" i="1"/>
  <c r="K15" i="1" s="1"/>
  <c r="Q31" i="1"/>
  <c r="R31" i="1"/>
  <c r="F18" i="1"/>
  <c r="O18" i="1"/>
  <c r="N18" i="1" s="1"/>
  <c r="Q18" i="1" s="1"/>
  <c r="G21" i="1"/>
  <c r="O21" i="1"/>
  <c r="O19" i="1"/>
  <c r="N19" i="1" s="1"/>
  <c r="Q19" i="1" s="1"/>
  <c r="O24" i="1"/>
  <c r="N24" i="1" s="1"/>
  <c r="F21" i="1"/>
  <c r="I31" i="1"/>
  <c r="K31" i="1" s="1"/>
  <c r="L31" i="1" s="1"/>
  <c r="C69" i="1" s="1"/>
  <c r="G18" i="1"/>
  <c r="I23" i="1"/>
  <c r="K23" i="1" s="1"/>
  <c r="L23" i="1" s="1"/>
  <c r="C61" i="1" s="1"/>
  <c r="K25" i="1"/>
  <c r="L25" i="1" s="1"/>
  <c r="C63" i="1" s="1"/>
  <c r="I17" i="1"/>
  <c r="K17" i="1" s="1"/>
  <c r="L17" i="1" s="1"/>
  <c r="C55" i="1" s="1"/>
  <c r="I20" i="1"/>
  <c r="K20" i="1" s="1"/>
  <c r="L20" i="1" s="1"/>
  <c r="C58" i="1" s="1"/>
  <c r="I30" i="1"/>
  <c r="K30" i="1" s="1"/>
  <c r="L30" i="1" s="1"/>
  <c r="I16" i="1"/>
  <c r="K16" i="1" s="1"/>
  <c r="L16" i="1" s="1"/>
  <c r="C54" i="1" s="1"/>
  <c r="G24" i="1"/>
  <c r="F24" i="1"/>
  <c r="D32" i="1"/>
  <c r="C32" i="1"/>
  <c r="I27" i="1"/>
  <c r="K27" i="1" s="1"/>
  <c r="L27" i="1" s="1"/>
  <c r="C65" i="1" s="1"/>
  <c r="F65" i="1" s="1"/>
  <c r="F66" i="1" l="1"/>
  <c r="C70" i="1"/>
  <c r="I65" i="1"/>
  <c r="K65" i="1" s="1"/>
  <c r="L65" i="1" s="1"/>
  <c r="C104" i="1" s="1"/>
  <c r="F104" i="1" s="1"/>
  <c r="I104" i="1" s="1"/>
  <c r="K104" i="1" s="1"/>
  <c r="L104" i="1" s="1"/>
  <c r="C143" i="1" s="1"/>
  <c r="F143" i="1" s="1"/>
  <c r="I143" i="1" s="1"/>
  <c r="K143" i="1" s="1"/>
  <c r="L143" i="1" s="1"/>
  <c r="F183" i="1" s="1"/>
  <c r="I183" i="1" s="1"/>
  <c r="K183" i="1" s="1"/>
  <c r="L183" i="1" s="1"/>
  <c r="I66" i="1"/>
  <c r="K66" i="1" s="1"/>
  <c r="L66" i="1" s="1"/>
  <c r="C105" i="1" s="1"/>
  <c r="F105" i="1" s="1"/>
  <c r="P63" i="1"/>
  <c r="S63" i="1" s="1"/>
  <c r="F63" i="1"/>
  <c r="I63" i="1" s="1"/>
  <c r="K63" i="1" s="1"/>
  <c r="L63" i="1" s="1"/>
  <c r="C102" i="1" s="1"/>
  <c r="F102" i="1" s="1"/>
  <c r="I102" i="1" s="1"/>
  <c r="K102" i="1" s="1"/>
  <c r="L102" i="1" s="1"/>
  <c r="C141" i="1" s="1"/>
  <c r="F141" i="1" s="1"/>
  <c r="I141" i="1" s="1"/>
  <c r="K141" i="1" s="1"/>
  <c r="L141" i="1" s="1"/>
  <c r="F181" i="1" s="1"/>
  <c r="P58" i="1"/>
  <c r="S58" i="1" s="1"/>
  <c r="F58" i="1"/>
  <c r="I58" i="1" s="1"/>
  <c r="K58" i="1" s="1"/>
  <c r="L58" i="1" s="1"/>
  <c r="C97" i="1" s="1"/>
  <c r="F97" i="1" s="1"/>
  <c r="I97" i="1" s="1"/>
  <c r="K97" i="1" s="1"/>
  <c r="L97" i="1" s="1"/>
  <c r="C136" i="1" s="1"/>
  <c r="F136" i="1" s="1"/>
  <c r="I136" i="1" s="1"/>
  <c r="K136" i="1" s="1"/>
  <c r="L136" i="1" s="1"/>
  <c r="F176" i="1" s="1"/>
  <c r="I176" i="1" s="1"/>
  <c r="K176" i="1" s="1"/>
  <c r="L176" i="1" s="1"/>
  <c r="P55" i="1"/>
  <c r="S55" i="1" s="1"/>
  <c r="F55" i="1"/>
  <c r="I55" i="1" s="1"/>
  <c r="K55" i="1" s="1"/>
  <c r="L55" i="1" s="1"/>
  <c r="C94" i="1" s="1"/>
  <c r="F94" i="1" s="1"/>
  <c r="P60" i="1"/>
  <c r="S60" i="1" s="1"/>
  <c r="F60" i="1"/>
  <c r="F54" i="1"/>
  <c r="I54" i="1" s="1"/>
  <c r="K54" i="1" s="1"/>
  <c r="L54" i="1" s="1"/>
  <c r="C93" i="1" s="1"/>
  <c r="F93" i="1" s="1"/>
  <c r="I93" i="1" s="1"/>
  <c r="K93" i="1" s="1"/>
  <c r="L93" i="1" s="1"/>
  <c r="C132" i="1" s="1"/>
  <c r="F132" i="1" s="1"/>
  <c r="I132" i="1" s="1"/>
  <c r="K132" i="1" s="1"/>
  <c r="L132" i="1" s="1"/>
  <c r="F172" i="1" s="1"/>
  <c r="I172" i="1" s="1"/>
  <c r="K172" i="1" s="1"/>
  <c r="L172" i="1" s="1"/>
  <c r="P54" i="1"/>
  <c r="S54" i="1" s="1"/>
  <c r="U54" i="1" s="1"/>
  <c r="I24" i="1"/>
  <c r="K24" i="1" s="1"/>
  <c r="L24" i="1" s="1"/>
  <c r="C62" i="1" s="1"/>
  <c r="P61" i="1"/>
  <c r="S61" i="1" s="1"/>
  <c r="F61" i="1"/>
  <c r="I61" i="1" s="1"/>
  <c r="K61" i="1" s="1"/>
  <c r="L61" i="1" s="1"/>
  <c r="C100" i="1" s="1"/>
  <c r="F100" i="1" s="1"/>
  <c r="I100" i="1" s="1"/>
  <c r="K100" i="1" s="1"/>
  <c r="L100" i="1" s="1"/>
  <c r="C139" i="1" s="1"/>
  <c r="F139" i="1" s="1"/>
  <c r="F67" i="1"/>
  <c r="I21" i="1"/>
  <c r="L21" i="1" s="1"/>
  <c r="C59" i="1" s="1"/>
  <c r="R18" i="1"/>
  <c r="S31" i="1"/>
  <c r="N21" i="1"/>
  <c r="Q21" i="1" s="1"/>
  <c r="R21" i="1"/>
  <c r="R19" i="1"/>
  <c r="R24" i="1"/>
  <c r="Q24" i="1"/>
  <c r="O32" i="1"/>
  <c r="F32" i="1"/>
  <c r="K19" i="1"/>
  <c r="L19" i="1" s="1"/>
  <c r="C57" i="1" s="1"/>
  <c r="I18" i="1"/>
  <c r="K18" i="1" s="1"/>
  <c r="L18" i="1" s="1"/>
  <c r="C56" i="1" s="1"/>
  <c r="G32" i="1"/>
  <c r="L15" i="1"/>
  <c r="C53" i="1" s="1"/>
  <c r="I105" i="1" l="1"/>
  <c r="K105" i="1" s="1"/>
  <c r="L105" i="1" s="1"/>
  <c r="C144" i="1" s="1"/>
  <c r="F144" i="1" s="1"/>
  <c r="I94" i="1"/>
  <c r="K94" i="1" s="1"/>
  <c r="L94" i="1"/>
  <c r="C133" i="1" s="1"/>
  <c r="F133" i="1" s="1"/>
  <c r="I133" i="1" s="1"/>
  <c r="K133" i="1" s="1"/>
  <c r="L133" i="1" s="1"/>
  <c r="F173" i="1" s="1"/>
  <c r="I181" i="1"/>
  <c r="K181" i="1" s="1"/>
  <c r="L181" i="1" s="1"/>
  <c r="I139" i="1"/>
  <c r="K139" i="1" s="1"/>
  <c r="L139" i="1"/>
  <c r="F179" i="1" s="1"/>
  <c r="I179" i="1" s="1"/>
  <c r="K179" i="1" s="1"/>
  <c r="L179" i="1" s="1"/>
  <c r="P70" i="1"/>
  <c r="S70" i="1" s="1"/>
  <c r="F70" i="1"/>
  <c r="P62" i="1"/>
  <c r="S62" i="1" s="1"/>
  <c r="F62" i="1"/>
  <c r="C72" i="1"/>
  <c r="P59" i="1"/>
  <c r="S59" i="1" s="1"/>
  <c r="F59" i="1"/>
  <c r="I59" i="1" s="1"/>
  <c r="K59" i="1" s="1"/>
  <c r="L59" i="1" s="1"/>
  <c r="C98" i="1" s="1"/>
  <c r="F98" i="1" s="1"/>
  <c r="I98" i="1" s="1"/>
  <c r="K98" i="1" s="1"/>
  <c r="L98" i="1" s="1"/>
  <c r="C137" i="1" s="1"/>
  <c r="F137" i="1" s="1"/>
  <c r="P56" i="1"/>
  <c r="S56" i="1" s="1"/>
  <c r="F56" i="1"/>
  <c r="I60" i="1"/>
  <c r="K60" i="1" s="1"/>
  <c r="L60" i="1" s="1"/>
  <c r="C99" i="1" s="1"/>
  <c r="F99" i="1" s="1"/>
  <c r="I99" i="1" s="1"/>
  <c r="K99" i="1" s="1"/>
  <c r="L99" i="1" s="1"/>
  <c r="C138" i="1" s="1"/>
  <c r="F138" i="1" s="1"/>
  <c r="I138" i="1" s="1"/>
  <c r="K138" i="1" s="1"/>
  <c r="L138" i="1" s="1"/>
  <c r="F178" i="1" s="1"/>
  <c r="I178" i="1" s="1"/>
  <c r="K178" i="1" s="1"/>
  <c r="L178" i="1" s="1"/>
  <c r="U61" i="1"/>
  <c r="U58" i="1"/>
  <c r="P53" i="1"/>
  <c r="F53" i="1"/>
  <c r="P57" i="1"/>
  <c r="S57" i="1" s="1"/>
  <c r="F57" i="1"/>
  <c r="I57" i="1" s="1"/>
  <c r="K57" i="1" s="1"/>
  <c r="L57" i="1" s="1"/>
  <c r="C96" i="1" s="1"/>
  <c r="F96" i="1" s="1"/>
  <c r="I96" i="1" s="1"/>
  <c r="K96" i="1" s="1"/>
  <c r="L96" i="1" s="1"/>
  <c r="C135" i="1" s="1"/>
  <c r="F135" i="1" s="1"/>
  <c r="I135" i="1" s="1"/>
  <c r="K135" i="1" s="1"/>
  <c r="L135" i="1" s="1"/>
  <c r="F175" i="1" s="1"/>
  <c r="I175" i="1" s="1"/>
  <c r="K175" i="1" s="1"/>
  <c r="L175" i="1" s="1"/>
  <c r="U55" i="1"/>
  <c r="U63" i="1"/>
  <c r="I67" i="1"/>
  <c r="S21" i="1"/>
  <c r="R32" i="1"/>
  <c r="S24" i="1"/>
  <c r="S19" i="1"/>
  <c r="N32" i="1"/>
  <c r="K32" i="1"/>
  <c r="H37" i="1" s="1"/>
  <c r="L32" i="1"/>
  <c r="I32" i="1"/>
  <c r="I144" i="1" l="1"/>
  <c r="K144" i="1" s="1"/>
  <c r="L144" i="1" s="1"/>
  <c r="I173" i="1"/>
  <c r="K173" i="1" s="1"/>
  <c r="L173" i="1"/>
  <c r="I137" i="1"/>
  <c r="K137" i="1" s="1"/>
  <c r="L137" i="1"/>
  <c r="F177" i="1" s="1"/>
  <c r="I177" i="1" s="1"/>
  <c r="K177" i="1" s="1"/>
  <c r="L177" i="1" s="1"/>
  <c r="I70" i="1"/>
  <c r="K70" i="1" s="1"/>
  <c r="U70" i="1" s="1"/>
  <c r="U59" i="1"/>
  <c r="U57" i="1"/>
  <c r="U60" i="1"/>
  <c r="I56" i="1"/>
  <c r="K56" i="1" s="1"/>
  <c r="U56" i="1" s="1"/>
  <c r="L56" i="1"/>
  <c r="C95" i="1" s="1"/>
  <c r="F95" i="1" s="1"/>
  <c r="F72" i="1"/>
  <c r="I53" i="1"/>
  <c r="K53" i="1" s="1"/>
  <c r="L53" i="1" s="1"/>
  <c r="C92" i="1" s="1"/>
  <c r="I62" i="1"/>
  <c r="K62" i="1" s="1"/>
  <c r="L62" i="1" s="1"/>
  <c r="C101" i="1" s="1"/>
  <c r="F101" i="1" s="1"/>
  <c r="I101" i="1" s="1"/>
  <c r="K101" i="1" s="1"/>
  <c r="L101" i="1" s="1"/>
  <c r="C140" i="1" s="1"/>
  <c r="F140" i="1" s="1"/>
  <c r="I140" i="1" s="1"/>
  <c r="K140" i="1" s="1"/>
  <c r="L140" i="1" s="1"/>
  <c r="F180" i="1" s="1"/>
  <c r="I180" i="1" s="1"/>
  <c r="K180" i="1" s="1"/>
  <c r="L180" i="1" s="1"/>
  <c r="P72" i="1"/>
  <c r="S53" i="1"/>
  <c r="U62" i="1"/>
  <c r="K67" i="1"/>
  <c r="Q32" i="1"/>
  <c r="S18" i="1"/>
  <c r="S32" i="1" s="1"/>
  <c r="F92" i="1" l="1"/>
  <c r="I95" i="1"/>
  <c r="K95" i="1" s="1"/>
  <c r="L95" i="1"/>
  <c r="C134" i="1" s="1"/>
  <c r="F134" i="1" s="1"/>
  <c r="L70" i="1"/>
  <c r="C109" i="1" s="1"/>
  <c r="F109" i="1" s="1"/>
  <c r="I109" i="1" s="1"/>
  <c r="K109" i="1" s="1"/>
  <c r="L109" i="1" s="1"/>
  <c r="F148" i="1" s="1"/>
  <c r="I148" i="1" s="1"/>
  <c r="K148" i="1" s="1"/>
  <c r="L148" i="1" s="1"/>
  <c r="I72" i="1"/>
  <c r="U53" i="1"/>
  <c r="U72" i="1" s="1"/>
  <c r="S72" i="1"/>
  <c r="L67" i="1"/>
  <c r="K72" i="1"/>
  <c r="H39" i="1"/>
  <c r="I134" i="1" l="1"/>
  <c r="K134" i="1" s="1"/>
  <c r="L134" i="1" s="1"/>
  <c r="F174" i="1" s="1"/>
  <c r="I174" i="1" s="1"/>
  <c r="K174" i="1" s="1"/>
  <c r="L174" i="1" s="1"/>
  <c r="L72" i="1"/>
  <c r="C106" i="1"/>
  <c r="I92" i="1"/>
  <c r="H77" i="1"/>
  <c r="H79" i="1" s="1"/>
  <c r="H81" i="1" s="1"/>
  <c r="I83" i="1" s="1"/>
  <c r="C8" i="3" s="1"/>
  <c r="D8" i="3" s="1"/>
  <c r="H41" i="1"/>
  <c r="I43" i="1" s="1"/>
  <c r="C7" i="3" s="1"/>
  <c r="K92" i="1" l="1"/>
  <c r="F106" i="1"/>
  <c r="C111" i="1"/>
  <c r="D7" i="3"/>
  <c r="C8" i="2"/>
  <c r="D8" i="2" s="1"/>
  <c r="J84" i="1"/>
  <c r="J44" i="1"/>
  <c r="C7" i="2"/>
  <c r="I106" i="1" l="1"/>
  <c r="F111" i="1"/>
  <c r="L92" i="1"/>
  <c r="D7" i="2"/>
  <c r="C131" i="1" l="1"/>
  <c r="K106" i="1"/>
  <c r="I111" i="1"/>
  <c r="L106" i="1" l="1"/>
  <c r="K111" i="1"/>
  <c r="H116" i="1" s="1"/>
  <c r="H118" i="1" s="1"/>
  <c r="H120" i="1" s="1"/>
  <c r="I122" i="1" s="1"/>
  <c r="F131" i="1"/>
  <c r="C9" i="3" l="1"/>
  <c r="J123" i="1"/>
  <c r="C9" i="2"/>
  <c r="I131" i="1"/>
  <c r="C145" i="1"/>
  <c r="L111" i="1"/>
  <c r="F145" i="1" l="1"/>
  <c r="C150" i="1"/>
  <c r="K131" i="1"/>
  <c r="C11" i="2"/>
  <c r="E13" i="2" s="1"/>
  <c r="D9" i="2"/>
  <c r="D11" i="2" s="1"/>
  <c r="F14" i="2" s="1"/>
  <c r="D9" i="3"/>
  <c r="D11" i="3" s="1"/>
  <c r="F14" i="3" s="1"/>
  <c r="C11" i="3"/>
  <c r="E13" i="3" s="1"/>
  <c r="L131" i="1" l="1"/>
  <c r="I145" i="1"/>
  <c r="F150" i="1"/>
  <c r="K145" i="1" l="1"/>
  <c r="I150" i="1"/>
  <c r="F171" i="1" l="1"/>
  <c r="L145" i="1"/>
  <c r="K150" i="1"/>
  <c r="H155" i="1" s="1"/>
  <c r="H157" i="1" s="1"/>
  <c r="H159" i="1" s="1"/>
  <c r="I161" i="1" s="1"/>
  <c r="J162" i="1" l="1"/>
  <c r="C16" i="2"/>
  <c r="C188" i="1"/>
  <c r="L150" i="1"/>
  <c r="I171" i="1"/>
  <c r="K171" i="1" s="1"/>
  <c r="F188" i="1"/>
  <c r="I188" i="1" l="1"/>
  <c r="E18" i="3"/>
  <c r="D16" i="3"/>
  <c r="F19" i="3" s="1"/>
  <c r="H17" i="3" s="1"/>
  <c r="E18" i="2"/>
  <c r="D16" i="2"/>
  <c r="F19" i="2" s="1"/>
  <c r="H17" i="2" s="1"/>
  <c r="L171" i="1" l="1"/>
  <c r="L188" i="1" s="1"/>
  <c r="K188" i="1"/>
  <c r="H193" i="1" s="1"/>
  <c r="H195" i="1" s="1"/>
  <c r="H197" i="1" s="1"/>
  <c r="I199" i="1" s="1"/>
  <c r="J20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Grant Thornton PEM</author>
    <author>Betik, Matthew</author>
  </authors>
  <commentList>
    <comment ref="B16" authorId="0" shapeId="0" xr:uid="{00000000-0006-0000-0100-000001000000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  <comment ref="B54" authorId="0" shapeId="0" xr:uid="{00000000-0006-0000-0100-000002000000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  <comment ref="R59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Betik, Matthew:</t>
        </r>
        <r>
          <rPr>
            <sz val="9"/>
            <color indexed="81"/>
            <rFont val="Tahoma"/>
            <family val="2"/>
          </rPr>
          <t xml:space="preserve">
Class 12 additions have a gross up factor of 1.0
</t>
        </r>
      </text>
    </comment>
    <comment ref="B93" authorId="0" shapeId="0" xr:uid="{225DBB9A-32EB-4176-8E35-B1EDD93D76F9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  <comment ref="B132" authorId="0" shapeId="0" xr:uid="{9F96211C-C808-4855-90FB-D64E5270B462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  <comment ref="B170" authorId="0" shapeId="0" xr:uid="{5E4058E8-94C7-46B6-B318-2E4F7C17CD24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Grant Thornton PEM</author>
    <author>Betik, Matthew</author>
  </authors>
  <commentList>
    <comment ref="B16" authorId="0" shapeId="0" xr:uid="{00000000-0006-0000-0100-000001000000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  <comment ref="B75" authorId="0" shapeId="0" xr:uid="{00000000-0006-0000-0100-000002000000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  <comment ref="Q8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Betik, Matthew:</t>
        </r>
        <r>
          <rPr>
            <sz val="9"/>
            <color indexed="81"/>
            <rFont val="Tahoma"/>
            <family val="2"/>
          </rPr>
          <t xml:space="preserve">
Class 12 additions have a gross up factor of 1.0
</t>
        </r>
      </text>
    </comment>
  </commentList>
</comments>
</file>

<file path=xl/sharedStrings.xml><?xml version="1.0" encoding="utf-8"?>
<sst xmlns="http://schemas.openxmlformats.org/spreadsheetml/2006/main" count="407" uniqueCount="92">
  <si>
    <t>Additions</t>
  </si>
  <si>
    <t>Beg UCC</t>
  </si>
  <si>
    <t>AIIP Adds</t>
  </si>
  <si>
    <t>Distribution System - post 1987</t>
  </si>
  <si>
    <t>General Office/Stores Equip</t>
  </si>
  <si>
    <t>Computer Hardware/  Vehicles</t>
  </si>
  <si>
    <t>Computer Software</t>
  </si>
  <si>
    <t>Distribution System - post February 2005</t>
  </si>
  <si>
    <t>Data Network Infrastructure Equipment - post Mar 2007</t>
  </si>
  <si>
    <t>Difference</t>
  </si>
  <si>
    <t>Tax rate</t>
  </si>
  <si>
    <t>Grossed up</t>
  </si>
  <si>
    <t>Class</t>
  </si>
  <si>
    <t>Class Description</t>
  </si>
  <si>
    <t>UCC Test Year Opening Balance</t>
  </si>
  <si>
    <t>Disposals  (Negative)</t>
  </si>
  <si>
    <t>UCC Before 1/2 Yr Adjustment</t>
  </si>
  <si>
    <t>1/2 Year Rule {1/2 Additions Less Disposals}</t>
  </si>
  <si>
    <t>Reduced UCC</t>
  </si>
  <si>
    <t>Rate %</t>
  </si>
  <si>
    <t>Test Year CCA</t>
  </si>
  <si>
    <t>UCC End of Test Year</t>
  </si>
  <si>
    <t>TOTAL</t>
  </si>
  <si>
    <t>1 Enhanced</t>
  </si>
  <si>
    <t xml:space="preserve">Non-residential Buildings Reg. 1100(1)(a.1) election </t>
  </si>
  <si>
    <t>Distribution System - pre 1988</t>
  </si>
  <si>
    <t>Certain Automobiles</t>
  </si>
  <si>
    <t>Computers &amp; Systems Software acq'd post Mar 22/04</t>
  </si>
  <si>
    <t>Data Network Infrastructure Equipment (acq'd post Mar 22/04)</t>
  </si>
  <si>
    <t>CWIP</t>
  </si>
  <si>
    <t>CCA on</t>
  </si>
  <si>
    <t xml:space="preserve">CCA on </t>
  </si>
  <si>
    <t>Pre</t>
  </si>
  <si>
    <t>Post</t>
  </si>
  <si>
    <t>pre AIIP Adds</t>
  </si>
  <si>
    <t xml:space="preserve">Post allocation, per 2018 Sched 8 </t>
  </si>
  <si>
    <t xml:space="preserve">Dr.  Distribution Revenue </t>
  </si>
  <si>
    <t>Cr. PILS Variance 1592</t>
  </si>
  <si>
    <t>Calcuation of PILs 1592 Variance  - Accelerated Investment Property</t>
  </si>
  <si>
    <t>ratio as what was file in the actual 2018 T2.</t>
  </si>
  <si>
    <t>Impact for the 2018 Fiscal Year:</t>
  </si>
  <si>
    <t>Impact for the 2019 Fiscal Year - all additions are deemed eligible for accelerated CCA</t>
  </si>
  <si>
    <t>Summary of PILs 1592 Variance</t>
  </si>
  <si>
    <t>2018 Impact</t>
  </si>
  <si>
    <t>Distribution Revenue</t>
  </si>
  <si>
    <t>PILs 1592 Variance</t>
  </si>
  <si>
    <t>2019 Impact</t>
  </si>
  <si>
    <t xml:space="preserve">Dr.  Distribution revenue </t>
  </si>
  <si>
    <t xml:space="preserve">   Cr.  1592 PILs Variance</t>
  </si>
  <si>
    <t>Note:  for financial statement purposes, the debit to distribution revenue resides on the income</t>
  </si>
  <si>
    <t>statement in the "Net movement in regulatory" line and not in the distribution revenue line.</t>
  </si>
  <si>
    <t>However, for OEB RRR reporting, we understand the debit is to Distribution Revenue.</t>
  </si>
  <si>
    <t>A</t>
  </si>
  <si>
    <t>B</t>
  </si>
  <si>
    <t>C = A - B</t>
  </si>
  <si>
    <t>D = C x Tax Rate</t>
  </si>
  <si>
    <t>= D/(1-Tax Rate)</t>
  </si>
  <si>
    <t>Orangeville Hydro Limited</t>
  </si>
  <si>
    <t xml:space="preserve">OHL's last cost of service was for 2014 rates. </t>
  </si>
  <si>
    <t>Orangeville Hydro</t>
  </si>
  <si>
    <t>Schedule 8 CCA - 2018</t>
  </si>
  <si>
    <t>UCC Opening Balance</t>
  </si>
  <si>
    <t>CCA</t>
  </si>
  <si>
    <t>UCC End of Year</t>
  </si>
  <si>
    <t>Solar generation</t>
  </si>
  <si>
    <t>Intangibles</t>
  </si>
  <si>
    <t>1b</t>
  </si>
  <si>
    <t>2018 Addition</t>
  </si>
  <si>
    <t>Adjustments</t>
  </si>
  <si>
    <t>Actual CCA Claimed</t>
  </si>
  <si>
    <t>Schedule 8 CCA</t>
  </si>
  <si>
    <t>Proforma - if no AIIP is claimed</t>
  </si>
  <si>
    <t>Impact for the 2020 Fiscal Year - all additions are deemed eligible for accelerated CCA</t>
  </si>
  <si>
    <t>2020 Impact</t>
  </si>
  <si>
    <t>Option 1 - using actual additions and CCA vs the old method</t>
  </si>
  <si>
    <t>Option 2 - restating the CCA used for PILs in the revenue requirement using the new AIIP methodology</t>
  </si>
  <si>
    <t>2021 Impact</t>
  </si>
  <si>
    <t>Impact for the 2021 Fiscal Year - all additions are deemed eligible for accelerated CCA</t>
  </si>
  <si>
    <t>Impact for the 2022 Fiscal Year - all additions are deemed eligible for accelerated CCA</t>
  </si>
  <si>
    <t>Per draft T2</t>
  </si>
  <si>
    <t>NOT USED</t>
  </si>
  <si>
    <t>KPMG recalculated revsied CCA using the new AIIP CCA rules</t>
  </si>
  <si>
    <t xml:space="preserve">Computer Hardware and system software </t>
  </si>
  <si>
    <t>Per the PILs WorkForm</t>
  </si>
  <si>
    <t>Schedule 8 CCA - Test Year</t>
  </si>
  <si>
    <t>cannot be greater than the revised grossed up PILs.</t>
  </si>
  <si>
    <t>Revenue Requirement Workform.  Therefore adjustment in any given year</t>
  </si>
  <si>
    <t>Actual amount of grossed up PILs in rates is $57,510 per the revised</t>
  </si>
  <si>
    <t>Per the PILs Workform:</t>
  </si>
  <si>
    <t>http://www.rds.oeb.ca/HPECMWebDrawer/Record?q=CaseNumber=EB-2013-0160&amp;sortBy=recRegisteredOn-&amp;pageSize=400</t>
  </si>
  <si>
    <t>Information obtained from:</t>
  </si>
  <si>
    <t>For the purposes of the 2018 year, we have assumed an allocation of additions before/after November 21, 2018 on the PILs workform to be the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</si>
</sst>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&quot;$&quot;* #,##0_-;\-&quot;$&quot;* #,##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6"/>
      <name val="Arial"/>
      <family val="2"/>
    </font>
    <font>
      <b/>
      <sz val="18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44">
    <xf numFmtId="0" fontId="0" fillId="0" borderId="0" xfId="0"/>
    <xf numFmtId="164" fontId="0" fillId="0" borderId="0" xfId="1" applyNumberFormat="1" applyFont="1"/>
    <xf numFmtId="164" fontId="2" fillId="0" borderId="0" xfId="1" applyNumberFormat="1" applyFont="1"/>
    <xf numFmtId="0" fontId="5" fillId="0" borderId="0" xfId="0" applyFont="1"/>
    <xf numFmtId="164" fontId="0" fillId="0" borderId="0" xfId="0" applyNumberFormat="1"/>
    <xf numFmtId="10" fontId="0" fillId="0" borderId="0" xfId="0" applyNumberFormat="1"/>
    <xf numFmtId="0" fontId="6" fillId="2" borderId="0" xfId="0" applyFont="1" applyFill="1"/>
    <xf numFmtId="0" fontId="0" fillId="2" borderId="0" xfId="0" applyFill="1"/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165" fontId="10" fillId="0" borderId="1" xfId="3" applyNumberFormat="1" applyFont="1" applyFill="1" applyBorder="1" applyAlignment="1" applyProtection="1">
      <alignment horizontal="right"/>
    </xf>
    <xf numFmtId="3" fontId="11" fillId="4" borderId="1" xfId="0" applyNumberFormat="1" applyFont="1" applyFill="1" applyBorder="1" applyAlignment="1" applyProtection="1">
      <alignment horizontal="right"/>
      <protection locked="0"/>
    </xf>
    <xf numFmtId="165" fontId="12" fillId="2" borderId="1" xfId="3" applyNumberFormat="1" applyFont="1" applyFill="1" applyBorder="1" applyProtection="1"/>
    <xf numFmtId="9" fontId="8" fillId="2" borderId="1" xfId="2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left"/>
      <protection locked="0"/>
    </xf>
    <xf numFmtId="165" fontId="10" fillId="0" borderId="1" xfId="3" applyNumberFormat="1" applyFont="1" applyFill="1" applyBorder="1" applyAlignment="1" applyProtection="1">
      <alignment horizontal="right"/>
      <protection locked="0"/>
    </xf>
    <xf numFmtId="0" fontId="8" fillId="2" borderId="2" xfId="0" applyFont="1" applyFill="1" applyBorder="1"/>
    <xf numFmtId="0" fontId="9" fillId="0" borderId="3" xfId="0" applyFont="1" applyBorder="1" applyAlignment="1">
      <alignment wrapText="1"/>
    </xf>
    <xf numFmtId="165" fontId="9" fillId="0" borderId="3" xfId="3" applyNumberFormat="1" applyFont="1" applyFill="1" applyBorder="1" applyProtection="1"/>
    <xf numFmtId="3" fontId="9" fillId="0" borderId="3" xfId="0" applyNumberFormat="1" applyFont="1" applyBorder="1"/>
    <xf numFmtId="165" fontId="9" fillId="0" borderId="4" xfId="3" applyNumberFormat="1" applyFont="1" applyFill="1" applyBorder="1" applyProtection="1"/>
    <xf numFmtId="164" fontId="2" fillId="0" borderId="0" xfId="1" applyNumberFormat="1" applyFont="1" applyBorder="1"/>
    <xf numFmtId="9" fontId="0" fillId="0" borderId="0" xfId="2" applyFont="1"/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4" fillId="0" borderId="0" xfId="0" applyFont="1"/>
    <xf numFmtId="164" fontId="0" fillId="0" borderId="6" xfId="1" applyNumberFormat="1" applyFont="1" applyBorder="1"/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0" xfId="0" quotePrefix="1" applyFont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16" fillId="0" borderId="0" xfId="4"/>
    <xf numFmtId="43" fontId="2" fillId="0" borderId="0" xfId="1" applyFont="1"/>
    <xf numFmtId="0" fontId="0" fillId="0" borderId="0" xfId="0" applyAlignment="1">
      <alignment horizontal="right" indent="1"/>
    </xf>
    <xf numFmtId="164" fontId="0" fillId="0" borderId="0" xfId="1" applyNumberFormat="1" applyFont="1" applyBorder="1"/>
    <xf numFmtId="0" fontId="0" fillId="5" borderId="0" xfId="0" applyFill="1"/>
    <xf numFmtId="164" fontId="0" fillId="5" borderId="0" xfId="1" applyNumberFormat="1" applyFont="1" applyFill="1"/>
    <xf numFmtId="164" fontId="0" fillId="5" borderId="0" xfId="0" applyNumberFormat="1" applyFill="1"/>
  </cellXfs>
  <cellStyles count="5">
    <cellStyle name="Comma" xfId="1" builtinId="3"/>
    <cellStyle name="Currency" xfId="3" builtinId="4"/>
    <cellStyle name="Hyperlink" xfId="4" builtinId="8"/>
    <cellStyle name="Normal" xfId="0" builtinId="0"/>
    <cellStyle name="Percent" xfId="2" builtinId="5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13</xdr:row>
      <xdr:rowOff>66675</xdr:rowOff>
    </xdr:from>
    <xdr:to>
      <xdr:col>6</xdr:col>
      <xdr:colOff>333375</xdr:colOff>
      <xdr:row>19</xdr:row>
      <xdr:rowOff>76200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DBA08D33-B6D8-4B1C-AC75-D86CC907D8ED}"/>
            </a:ext>
          </a:extLst>
        </xdr:cNvPr>
        <xdr:cNvSpPr/>
      </xdr:nvSpPr>
      <xdr:spPr>
        <a:xfrm>
          <a:off x="4057650" y="2581275"/>
          <a:ext cx="342900" cy="1152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13</xdr:row>
      <xdr:rowOff>66675</xdr:rowOff>
    </xdr:from>
    <xdr:to>
      <xdr:col>6</xdr:col>
      <xdr:colOff>333375</xdr:colOff>
      <xdr:row>19</xdr:row>
      <xdr:rowOff>76200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FC76C08-0328-4A48-9B62-94CEC50BA968}"/>
            </a:ext>
          </a:extLst>
        </xdr:cNvPr>
        <xdr:cNvSpPr/>
      </xdr:nvSpPr>
      <xdr:spPr>
        <a:xfrm>
          <a:off x="4057650" y="1800225"/>
          <a:ext cx="342900" cy="1152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31</xdr:row>
      <xdr:rowOff>0</xdr:rowOff>
    </xdr:from>
    <xdr:to>
      <xdr:col>21</xdr:col>
      <xdr:colOff>165108</xdr:colOff>
      <xdr:row>31</xdr:row>
      <xdr:rowOff>185972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79425" y="2647950"/>
          <a:ext cx="165108" cy="185972"/>
        </a:xfrm>
        <a:prstGeom prst="rect">
          <a:avLst/>
        </a:prstGeom>
      </xdr:spPr>
    </xdr:pic>
    <xdr:clientData/>
  </xdr:twoCellAnchor>
  <xdr:oneCellAnchor>
    <xdr:from>
      <xdr:col>18</xdr:col>
      <xdr:colOff>0</xdr:colOff>
      <xdr:row>71</xdr:row>
      <xdr:rowOff>0</xdr:rowOff>
    </xdr:from>
    <xdr:ext cx="165108" cy="185972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2450" y="5934075"/>
          <a:ext cx="165108" cy="18597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28</xdr:row>
      <xdr:rowOff>0</xdr:rowOff>
    </xdr:from>
    <xdr:ext cx="165108" cy="185972"/>
    <xdr:pic>
      <xdr:nvPicPr>
        <xdr:cNvPr id="2" name="Picture 1">
          <a:extLst>
            <a:ext uri="{FF2B5EF4-FFF2-40B4-BE49-F238E27FC236}">
              <a16:creationId xmlns:a16="http://schemas.microsoft.com/office/drawing/2014/main" id="{9044EF66-D18D-43AA-9B5E-875575AFE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5334000"/>
          <a:ext cx="165108" cy="185972"/>
        </a:xfrm>
        <a:prstGeom prst="rect">
          <a:avLst/>
        </a:prstGeom>
      </xdr:spPr>
    </xdr:pic>
    <xdr:clientData/>
  </xdr:oneCellAnchor>
  <xdr:oneCellAnchor>
    <xdr:from>
      <xdr:col>7</xdr:col>
      <xdr:colOff>469900</xdr:colOff>
      <xdr:row>31</xdr:row>
      <xdr:rowOff>19050</xdr:rowOff>
    </xdr:from>
    <xdr:ext cx="165108" cy="187333"/>
    <xdr:pic>
      <xdr:nvPicPr>
        <xdr:cNvPr id="3" name="Picture 2">
          <a:extLst>
            <a:ext uri="{FF2B5EF4-FFF2-40B4-BE49-F238E27FC236}">
              <a16:creationId xmlns:a16="http://schemas.microsoft.com/office/drawing/2014/main" id="{3B3D59EA-20BC-423B-B59B-005B64C7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100" y="5924550"/>
          <a:ext cx="165108" cy="187333"/>
        </a:xfrm>
        <a:prstGeom prst="rect">
          <a:avLst/>
        </a:prstGeom>
      </xdr:spPr>
    </xdr:pic>
    <xdr:clientData/>
  </xdr:oneCellAnchor>
  <xdr:oneCellAnchor>
    <xdr:from>
      <xdr:col>9</xdr:col>
      <xdr:colOff>1079500</xdr:colOff>
      <xdr:row>92</xdr:row>
      <xdr:rowOff>38100</xdr:rowOff>
    </xdr:from>
    <xdr:ext cx="165108" cy="187333"/>
    <xdr:pic>
      <xdr:nvPicPr>
        <xdr:cNvPr id="4" name="Picture 3">
          <a:extLst>
            <a:ext uri="{FF2B5EF4-FFF2-40B4-BE49-F238E27FC236}">
              <a16:creationId xmlns:a16="http://schemas.microsoft.com/office/drawing/2014/main" id="{3ACB283E-B39B-41C1-B74B-5F6481017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9175" y="17564100"/>
          <a:ext cx="165108" cy="187333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87</xdr:row>
      <xdr:rowOff>0</xdr:rowOff>
    </xdr:from>
    <xdr:ext cx="165108" cy="185972"/>
    <xdr:pic>
      <xdr:nvPicPr>
        <xdr:cNvPr id="5" name="Picture 4">
          <a:extLst>
            <a:ext uri="{FF2B5EF4-FFF2-40B4-BE49-F238E27FC236}">
              <a16:creationId xmlns:a16="http://schemas.microsoft.com/office/drawing/2014/main" id="{BB9E9376-07C4-4E04-868E-41875F76B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16573500"/>
          <a:ext cx="165108" cy="185972"/>
        </a:xfrm>
        <a:prstGeom prst="rect">
          <a:avLst/>
        </a:prstGeom>
      </xdr:spPr>
    </xdr:pic>
    <xdr:clientData/>
  </xdr:oneCellAnchor>
  <xdr:oneCellAnchor>
    <xdr:from>
      <xdr:col>7</xdr:col>
      <xdr:colOff>469900</xdr:colOff>
      <xdr:row>90</xdr:row>
      <xdr:rowOff>19050</xdr:rowOff>
    </xdr:from>
    <xdr:ext cx="165108" cy="187333"/>
    <xdr:pic>
      <xdr:nvPicPr>
        <xdr:cNvPr id="6" name="Picture 5">
          <a:extLst>
            <a:ext uri="{FF2B5EF4-FFF2-40B4-BE49-F238E27FC236}">
              <a16:creationId xmlns:a16="http://schemas.microsoft.com/office/drawing/2014/main" id="{B7E05BE7-4A78-44B9-90E6-E74F7F69A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100" y="17164050"/>
          <a:ext cx="165108" cy="187333"/>
        </a:xfrm>
        <a:prstGeom prst="rect">
          <a:avLst/>
        </a:prstGeom>
      </xdr:spPr>
    </xdr:pic>
    <xdr:clientData/>
  </xdr:oneCellAnchor>
  <xdr:oneCellAnchor>
    <xdr:from>
      <xdr:col>0</xdr:col>
      <xdr:colOff>57151</xdr:colOff>
      <xdr:row>35</xdr:row>
      <xdr:rowOff>66676</xdr:rowOff>
    </xdr:from>
    <xdr:ext cx="9103188" cy="381000"/>
    <xdr:pic>
      <xdr:nvPicPr>
        <xdr:cNvPr id="7" name="Picture 6">
          <a:extLst>
            <a:ext uri="{FF2B5EF4-FFF2-40B4-BE49-F238E27FC236}">
              <a16:creationId xmlns:a16="http://schemas.microsoft.com/office/drawing/2014/main" id="{E9316A70-26A7-4AF8-BADD-294150ACE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1" y="6734176"/>
          <a:ext cx="9103188" cy="381000"/>
        </a:xfrm>
        <a:prstGeom prst="rect">
          <a:avLst/>
        </a:prstGeom>
      </xdr:spPr>
    </xdr:pic>
    <xdr:clientData/>
  </xdr:oneCellAnchor>
  <xdr:oneCellAnchor>
    <xdr:from>
      <xdr:col>0</xdr:col>
      <xdr:colOff>123825</xdr:colOff>
      <xdr:row>37</xdr:row>
      <xdr:rowOff>171450</xdr:rowOff>
    </xdr:from>
    <xdr:ext cx="10685714" cy="5390476"/>
    <xdr:pic>
      <xdr:nvPicPr>
        <xdr:cNvPr id="8" name="Picture 7">
          <a:extLst>
            <a:ext uri="{FF2B5EF4-FFF2-40B4-BE49-F238E27FC236}">
              <a16:creationId xmlns:a16="http://schemas.microsoft.com/office/drawing/2014/main" id="{C0706C44-B971-4F9D-947F-7606063B9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825" y="7219950"/>
          <a:ext cx="10685714" cy="5390476"/>
        </a:xfrm>
        <a:prstGeom prst="rect">
          <a:avLst/>
        </a:prstGeom>
      </xdr:spPr>
    </xdr:pic>
    <xdr:clientData/>
  </xdr:oneCellAnchor>
  <xdr:twoCellAnchor>
    <xdr:from>
      <xdr:col>10</xdr:col>
      <xdr:colOff>38100</xdr:colOff>
      <xdr:row>36</xdr:row>
      <xdr:rowOff>38100</xdr:rowOff>
    </xdr:from>
    <xdr:to>
      <xdr:col>13</xdr:col>
      <xdr:colOff>381000</xdr:colOff>
      <xdr:row>55</xdr:row>
      <xdr:rowOff>19050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DC82A43-86F6-4277-A27E-3C904335445A}"/>
            </a:ext>
          </a:extLst>
        </xdr:cNvPr>
        <xdr:cNvCxnSpPr/>
      </xdr:nvCxnSpPr>
      <xdr:spPr>
        <a:xfrm flipV="1">
          <a:off x="6134100" y="6896100"/>
          <a:ext cx="2171700" cy="3600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ds.oeb.ca/HPECMWebDrawer/Record?q=CaseNumber=EB-2013-0160&amp;sortBy=recRegisteredOn-&amp;pageSize=400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8D26-9BED-415B-87D8-78B2F20DFC2E}">
  <dimension ref="A1:H42"/>
  <sheetViews>
    <sheetView workbookViewId="0">
      <selection activeCell="L31" sqref="L31"/>
    </sheetView>
  </sheetViews>
  <sheetFormatPr defaultRowHeight="15" x14ac:dyDescent="0.25"/>
  <cols>
    <col min="3" max="3" width="11.5703125" style="1" bestFit="1" customWidth="1"/>
    <col min="4" max="4" width="12.28515625" style="1" bestFit="1" customWidth="1"/>
    <col min="6" max="6" width="9.7109375" bestFit="1" customWidth="1"/>
    <col min="7" max="7" width="7.5703125" customWidth="1"/>
    <col min="8" max="8" width="9.7109375" bestFit="1" customWidth="1"/>
  </cols>
  <sheetData>
    <row r="1" spans="1:6" ht="15.75" x14ac:dyDescent="0.25">
      <c r="A1" s="31" t="s">
        <v>59</v>
      </c>
    </row>
    <row r="2" spans="1:6" ht="15.75" x14ac:dyDescent="0.25">
      <c r="A2" s="31" t="s">
        <v>42</v>
      </c>
    </row>
    <row r="3" spans="1:6" ht="15.75" x14ac:dyDescent="0.25">
      <c r="A3" s="31"/>
    </row>
    <row r="4" spans="1:6" ht="15.75" x14ac:dyDescent="0.25">
      <c r="A4" s="31"/>
    </row>
    <row r="5" spans="1:6" x14ac:dyDescent="0.25">
      <c r="A5" t="s">
        <v>74</v>
      </c>
    </row>
    <row r="6" spans="1:6" x14ac:dyDescent="0.25">
      <c r="C6" s="1" t="s">
        <v>44</v>
      </c>
      <c r="D6" s="1" t="s">
        <v>45</v>
      </c>
    </row>
    <row r="7" spans="1:6" x14ac:dyDescent="0.25">
      <c r="A7" t="s">
        <v>43</v>
      </c>
      <c r="C7" s="1">
        <f>'2018-2022'!I43</f>
        <v>11229.565650887551</v>
      </c>
      <c r="D7" s="1">
        <f>-C7</f>
        <v>-11229.565650887551</v>
      </c>
    </row>
    <row r="8" spans="1:6" x14ac:dyDescent="0.25">
      <c r="A8" t="s">
        <v>46</v>
      </c>
      <c r="C8" s="40">
        <f>'2018-2022'!I83</f>
        <v>25425.817021597642</v>
      </c>
      <c r="D8" s="40">
        <f>-C8</f>
        <v>-25425.817021597642</v>
      </c>
    </row>
    <row r="9" spans="1:6" x14ac:dyDescent="0.25">
      <c r="A9" t="s">
        <v>73</v>
      </c>
      <c r="C9" s="40">
        <f>'2018-2022'!I122</f>
        <v>27723.517324949662</v>
      </c>
      <c r="D9" s="40">
        <f>-C9</f>
        <v>-27723.517324949662</v>
      </c>
    </row>
    <row r="10" spans="1:6" x14ac:dyDescent="0.25">
      <c r="A10" t="s">
        <v>76</v>
      </c>
      <c r="C10" s="32">
        <v>23460</v>
      </c>
      <c r="D10" s="32">
        <f>-C10</f>
        <v>-23460</v>
      </c>
    </row>
    <row r="11" spans="1:6" x14ac:dyDescent="0.25">
      <c r="C11" s="1">
        <f>SUM(C7:C10)</f>
        <v>87838.899997434855</v>
      </c>
      <c r="D11" s="1">
        <f>SUM(D7:D10)</f>
        <v>-87838.899997434855</v>
      </c>
    </row>
    <row r="13" spans="1:6" x14ac:dyDescent="0.25">
      <c r="A13" t="s">
        <v>47</v>
      </c>
      <c r="E13" s="4">
        <f>C11</f>
        <v>87838.899997434855</v>
      </c>
    </row>
    <row r="14" spans="1:6" x14ac:dyDescent="0.25">
      <c r="A14" t="s">
        <v>48</v>
      </c>
      <c r="F14" s="4">
        <f>D11</f>
        <v>-87838.899997434855</v>
      </c>
    </row>
    <row r="15" spans="1:6" x14ac:dyDescent="0.25">
      <c r="F15" s="4"/>
    </row>
    <row r="16" spans="1:6" x14ac:dyDescent="0.25">
      <c r="A16" s="41">
        <v>2021</v>
      </c>
      <c r="B16" s="41"/>
      <c r="C16" s="42">
        <f>'2018-2022'!I199</f>
        <v>41558.461868977232</v>
      </c>
      <c r="D16" s="42">
        <f>-C16</f>
        <v>-41558.461868977232</v>
      </c>
      <c r="E16" s="41"/>
      <c r="F16" s="41"/>
    </row>
    <row r="17" spans="1:8" x14ac:dyDescent="0.25">
      <c r="A17" s="41"/>
      <c r="B17" s="41"/>
      <c r="C17" s="42"/>
      <c r="D17" s="42"/>
      <c r="E17" s="41"/>
      <c r="F17" s="41"/>
      <c r="H17" s="4">
        <f>SUM(F14:F19)</f>
        <v>-129397.36186641209</v>
      </c>
    </row>
    <row r="18" spans="1:8" x14ac:dyDescent="0.25">
      <c r="A18" s="41" t="s">
        <v>47</v>
      </c>
      <c r="B18" s="41"/>
      <c r="C18" s="42"/>
      <c r="D18" s="42"/>
      <c r="E18" s="43">
        <f>C16</f>
        <v>41558.461868977232</v>
      </c>
      <c r="F18" s="41"/>
    </row>
    <row r="19" spans="1:8" x14ac:dyDescent="0.25">
      <c r="A19" s="41" t="s">
        <v>48</v>
      </c>
      <c r="B19" s="41"/>
      <c r="C19" s="42"/>
      <c r="D19" s="42"/>
      <c r="E19" s="41"/>
      <c r="F19" s="43">
        <f>D16</f>
        <v>-41558.461868977232</v>
      </c>
    </row>
    <row r="22" spans="1:8" x14ac:dyDescent="0.25">
      <c r="A22" t="s">
        <v>49</v>
      </c>
    </row>
    <row r="23" spans="1:8" x14ac:dyDescent="0.25">
      <c r="A23" t="s">
        <v>50</v>
      </c>
    </row>
    <row r="24" spans="1:8" x14ac:dyDescent="0.25">
      <c r="A24" t="s">
        <v>51</v>
      </c>
    </row>
    <row r="27" spans="1:8" x14ac:dyDescent="0.25">
      <c r="A27" t="s">
        <v>80</v>
      </c>
    </row>
    <row r="28" spans="1:8" x14ac:dyDescent="0.25">
      <c r="A28" t="s">
        <v>75</v>
      </c>
    </row>
    <row r="29" spans="1:8" x14ac:dyDescent="0.25">
      <c r="C29" s="1" t="s">
        <v>44</v>
      </c>
      <c r="D29" s="1" t="s">
        <v>45</v>
      </c>
    </row>
    <row r="30" spans="1:8" x14ac:dyDescent="0.25">
      <c r="A30" t="s">
        <v>43</v>
      </c>
      <c r="C30" s="1">
        <v>12438</v>
      </c>
      <c r="D30" s="1">
        <f>-C30</f>
        <v>-12438</v>
      </c>
    </row>
    <row r="31" spans="1:8" x14ac:dyDescent="0.25">
      <c r="A31" t="s">
        <v>46</v>
      </c>
      <c r="C31" s="40">
        <v>30775</v>
      </c>
      <c r="D31" s="40">
        <f>-C31</f>
        <v>-30775</v>
      </c>
    </row>
    <row r="32" spans="1:8" x14ac:dyDescent="0.25">
      <c r="A32" t="s">
        <v>73</v>
      </c>
      <c r="C32" s="32">
        <f>C31</f>
        <v>30775</v>
      </c>
      <c r="D32" s="32">
        <f>-C32</f>
        <v>-30775</v>
      </c>
    </row>
    <row r="33" spans="1:6" x14ac:dyDescent="0.25">
      <c r="C33" s="1">
        <f>SUM(C30:C32)</f>
        <v>73988</v>
      </c>
      <c r="D33" s="1">
        <f>SUM(D30:D32)</f>
        <v>-73988</v>
      </c>
    </row>
    <row r="35" spans="1:6" x14ac:dyDescent="0.25">
      <c r="A35" t="s">
        <v>47</v>
      </c>
      <c r="E35" s="4">
        <f>C33</f>
        <v>73988</v>
      </c>
    </row>
    <row r="36" spans="1:6" x14ac:dyDescent="0.25">
      <c r="A36" t="s">
        <v>48</v>
      </c>
      <c r="F36" s="4">
        <f>D33</f>
        <v>-73988</v>
      </c>
    </row>
    <row r="41" spans="1:6" x14ac:dyDescent="0.25">
      <c r="E41" s="4"/>
    </row>
    <row r="42" spans="1:6" x14ac:dyDescent="0.25">
      <c r="F42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workbookViewId="0">
      <selection activeCell="C7" sqref="C7"/>
    </sheetView>
  </sheetViews>
  <sheetFormatPr defaultRowHeight="15" x14ac:dyDescent="0.25"/>
  <cols>
    <col min="3" max="3" width="11.5703125" style="1" bestFit="1" customWidth="1"/>
    <col min="4" max="4" width="12.28515625" style="1" bestFit="1" customWidth="1"/>
    <col min="6" max="6" width="9.7109375" bestFit="1" customWidth="1"/>
    <col min="7" max="7" width="7.5703125" customWidth="1"/>
  </cols>
  <sheetData>
    <row r="1" spans="1:6" ht="15.75" x14ac:dyDescent="0.25">
      <c r="A1" s="31" t="s">
        <v>59</v>
      </c>
    </row>
    <row r="2" spans="1:6" ht="15.75" x14ac:dyDescent="0.25">
      <c r="A2" s="31" t="s">
        <v>42</v>
      </c>
    </row>
    <row r="3" spans="1:6" ht="15.75" x14ac:dyDescent="0.25">
      <c r="A3" s="31"/>
    </row>
    <row r="4" spans="1:6" ht="15.75" x14ac:dyDescent="0.25">
      <c r="A4" s="31"/>
    </row>
    <row r="5" spans="1:6" x14ac:dyDescent="0.25">
      <c r="A5" t="s">
        <v>74</v>
      </c>
    </row>
    <row r="6" spans="1:6" x14ac:dyDescent="0.25">
      <c r="C6" s="1" t="s">
        <v>44</v>
      </c>
      <c r="D6" s="1" t="s">
        <v>45</v>
      </c>
    </row>
    <row r="7" spans="1:6" x14ac:dyDescent="0.25">
      <c r="A7" t="s">
        <v>43</v>
      </c>
      <c r="C7" s="1">
        <f>'2018-2022'!I43</f>
        <v>11229.565650887551</v>
      </c>
      <c r="D7" s="1">
        <f>-C7</f>
        <v>-11229.565650887551</v>
      </c>
    </row>
    <row r="8" spans="1:6" x14ac:dyDescent="0.25">
      <c r="A8" t="s">
        <v>46</v>
      </c>
      <c r="C8" s="40">
        <f>'2018-2022'!I83</f>
        <v>25425.817021597642</v>
      </c>
      <c r="D8" s="40">
        <f>-C8</f>
        <v>-25425.817021597642</v>
      </c>
    </row>
    <row r="9" spans="1:6" x14ac:dyDescent="0.25">
      <c r="A9" t="s">
        <v>73</v>
      </c>
      <c r="C9" s="40">
        <f>'2018-2022'!I122</f>
        <v>27723.517324949662</v>
      </c>
      <c r="D9" s="40">
        <f>-C9</f>
        <v>-27723.517324949662</v>
      </c>
    </row>
    <row r="10" spans="1:6" x14ac:dyDescent="0.25">
      <c r="C10" s="32"/>
      <c r="D10" s="32"/>
    </row>
    <row r="11" spans="1:6" x14ac:dyDescent="0.25">
      <c r="C11" s="1">
        <f>SUM(C7:C10)</f>
        <v>64378.899997434855</v>
      </c>
      <c r="D11" s="1">
        <f>SUM(D7:D10)</f>
        <v>-64378.899997434855</v>
      </c>
    </row>
    <row r="13" spans="1:6" x14ac:dyDescent="0.25">
      <c r="A13" t="s">
        <v>47</v>
      </c>
      <c r="E13" s="4">
        <f>C11</f>
        <v>64378.899997434855</v>
      </c>
    </row>
    <row r="14" spans="1:6" x14ac:dyDescent="0.25">
      <c r="A14" t="s">
        <v>48</v>
      </c>
      <c r="F14" s="4">
        <f>D11</f>
        <v>-64378.899997434855</v>
      </c>
    </row>
    <row r="15" spans="1:6" x14ac:dyDescent="0.25">
      <c r="F15" s="4"/>
    </row>
    <row r="16" spans="1:6" x14ac:dyDescent="0.25">
      <c r="A16" s="41" t="s">
        <v>76</v>
      </c>
      <c r="B16" s="41"/>
      <c r="C16" s="42">
        <f>'2018-2022'!I161</f>
        <v>23460.319955416602</v>
      </c>
      <c r="D16" s="42">
        <f>-C16</f>
        <v>-23460.319955416602</v>
      </c>
      <c r="E16" s="41"/>
      <c r="F16" s="41"/>
    </row>
    <row r="17" spans="1:8" x14ac:dyDescent="0.25">
      <c r="A17" s="41"/>
      <c r="B17" s="41"/>
      <c r="C17" s="42"/>
      <c r="D17" s="42"/>
      <c r="E17" s="41"/>
      <c r="F17" s="41"/>
      <c r="H17" s="4">
        <f>SUM(F14:F19)</f>
        <v>-87839.219952851461</v>
      </c>
    </row>
    <row r="18" spans="1:8" x14ac:dyDescent="0.25">
      <c r="A18" s="41" t="s">
        <v>47</v>
      </c>
      <c r="B18" s="41"/>
      <c r="C18" s="42"/>
      <c r="D18" s="42"/>
      <c r="E18" s="43">
        <f>C16</f>
        <v>23460.319955416602</v>
      </c>
      <c r="F18" s="41"/>
    </row>
    <row r="19" spans="1:8" x14ac:dyDescent="0.25">
      <c r="A19" s="41" t="s">
        <v>48</v>
      </c>
      <c r="B19" s="41"/>
      <c r="C19" s="42"/>
      <c r="D19" s="42"/>
      <c r="E19" s="41"/>
      <c r="F19" s="43">
        <f>D16</f>
        <v>-23460.319955416602</v>
      </c>
    </row>
    <row r="22" spans="1:8" x14ac:dyDescent="0.25">
      <c r="A22" t="s">
        <v>49</v>
      </c>
    </row>
    <row r="23" spans="1:8" x14ac:dyDescent="0.25">
      <c r="A23" t="s">
        <v>50</v>
      </c>
    </row>
    <row r="24" spans="1:8" x14ac:dyDescent="0.25">
      <c r="A24" t="s">
        <v>51</v>
      </c>
    </row>
    <row r="28" spans="1:8" x14ac:dyDescent="0.25">
      <c r="A28" t="s">
        <v>75</v>
      </c>
    </row>
    <row r="29" spans="1:8" x14ac:dyDescent="0.25">
      <c r="C29" s="1" t="s">
        <v>44</v>
      </c>
      <c r="D29" s="1" t="s">
        <v>45</v>
      </c>
    </row>
    <row r="30" spans="1:8" x14ac:dyDescent="0.25">
      <c r="A30" t="s">
        <v>43</v>
      </c>
      <c r="C30" s="1">
        <v>12438</v>
      </c>
      <c r="D30" s="1">
        <f>-C30</f>
        <v>-12438</v>
      </c>
    </row>
    <row r="31" spans="1:8" x14ac:dyDescent="0.25">
      <c r="A31" t="s">
        <v>46</v>
      </c>
      <c r="C31" s="40">
        <v>30775</v>
      </c>
      <c r="D31" s="40">
        <f>-C31</f>
        <v>-30775</v>
      </c>
    </row>
    <row r="32" spans="1:8" x14ac:dyDescent="0.25">
      <c r="A32" t="s">
        <v>73</v>
      </c>
      <c r="C32" s="32">
        <f>C31</f>
        <v>30775</v>
      </c>
      <c r="D32" s="32">
        <f>-C32</f>
        <v>-30775</v>
      </c>
    </row>
    <row r="33" spans="1:6" x14ac:dyDescent="0.25">
      <c r="C33" s="1">
        <f>SUM(C30:C32)</f>
        <v>73988</v>
      </c>
      <c r="D33" s="1">
        <f>SUM(D30:D32)</f>
        <v>-73988</v>
      </c>
    </row>
    <row r="35" spans="1:6" x14ac:dyDescent="0.25">
      <c r="A35" t="s">
        <v>47</v>
      </c>
      <c r="E35" s="4">
        <f>C33</f>
        <v>73988</v>
      </c>
    </row>
    <row r="36" spans="1:6" x14ac:dyDescent="0.25">
      <c r="A36" t="s">
        <v>48</v>
      </c>
      <c r="F36" s="4">
        <f>D33</f>
        <v>-73988</v>
      </c>
    </row>
    <row r="41" spans="1:6" x14ac:dyDescent="0.25">
      <c r="E41" s="4"/>
    </row>
    <row r="42" spans="1:6" x14ac:dyDescent="0.25">
      <c r="F42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0"/>
  <sheetViews>
    <sheetView topLeftCell="A177" workbookViewId="0">
      <selection activeCell="C200" sqref="C200"/>
    </sheetView>
  </sheetViews>
  <sheetFormatPr defaultRowHeight="15" x14ac:dyDescent="0.25"/>
  <cols>
    <col min="2" max="2" width="37.28515625" customWidth="1"/>
    <col min="3" max="3" width="12.140625" bestFit="1" customWidth="1"/>
    <col min="4" max="4" width="11.140625" bestFit="1" customWidth="1"/>
    <col min="5" max="5" width="10.85546875" bestFit="1" customWidth="1"/>
    <col min="6" max="6" width="15.7109375" customWidth="1"/>
    <col min="7" max="7" width="12.42578125" bestFit="1" customWidth="1"/>
    <col min="8" max="8" width="12.42578125" customWidth="1"/>
    <col min="9" max="9" width="12" bestFit="1" customWidth="1"/>
    <col min="10" max="10" width="11.5703125" bestFit="1" customWidth="1"/>
    <col min="11" max="11" width="12.85546875" customWidth="1"/>
    <col min="12" max="12" width="12.140625" bestFit="1" customWidth="1"/>
    <col min="13" max="14" width="12" hidden="1" customWidth="1"/>
    <col min="15" max="15" width="10.7109375" hidden="1" customWidth="1"/>
    <col min="16" max="16" width="11.140625" hidden="1" customWidth="1"/>
    <col min="17" max="17" width="10.85546875" hidden="1" customWidth="1"/>
    <col min="18" max="18" width="10.28515625" hidden="1" customWidth="1"/>
    <col min="19" max="19" width="11.28515625" hidden="1" customWidth="1"/>
    <col min="20" max="21" width="0" hidden="1" customWidth="1"/>
  </cols>
  <sheetData>
    <row r="1" spans="1:19" x14ac:dyDescent="0.25">
      <c r="A1" t="s">
        <v>57</v>
      </c>
    </row>
    <row r="2" spans="1:19" x14ac:dyDescent="0.25">
      <c r="A2" t="s">
        <v>38</v>
      </c>
    </row>
    <row r="4" spans="1:19" x14ac:dyDescent="0.25">
      <c r="A4" t="s">
        <v>58</v>
      </c>
    </row>
    <row r="7" spans="1:19" x14ac:dyDescent="0.25">
      <c r="A7" t="s">
        <v>39</v>
      </c>
    </row>
    <row r="10" spans="1:19" x14ac:dyDescent="0.25">
      <c r="A10" t="s">
        <v>40</v>
      </c>
    </row>
    <row r="11" spans="1:19" ht="20.25" x14ac:dyDescent="0.3">
      <c r="A11" s="6" t="s">
        <v>60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9" ht="23.25" x14ac:dyDescent="0.35">
      <c r="A12" s="7"/>
      <c r="B12" s="3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 t="s">
        <v>0</v>
      </c>
      <c r="O13" s="2"/>
      <c r="P13" s="1" t="s">
        <v>30</v>
      </c>
      <c r="Q13" s="1" t="s">
        <v>31</v>
      </c>
      <c r="R13" s="1" t="s">
        <v>31</v>
      </c>
      <c r="S13" s="2"/>
    </row>
    <row r="14" spans="1:19" ht="48" x14ac:dyDescent="0.25">
      <c r="A14" s="9" t="s">
        <v>12</v>
      </c>
      <c r="B14" s="10" t="s">
        <v>13</v>
      </c>
      <c r="C14" s="11" t="s">
        <v>61</v>
      </c>
      <c r="D14" s="11" t="s">
        <v>0</v>
      </c>
      <c r="E14" s="11" t="s">
        <v>15</v>
      </c>
      <c r="F14" s="11" t="s">
        <v>16</v>
      </c>
      <c r="G14" s="11" t="s">
        <v>17</v>
      </c>
      <c r="H14" s="11" t="s">
        <v>68</v>
      </c>
      <c r="I14" s="11" t="s">
        <v>18</v>
      </c>
      <c r="J14" s="12" t="s">
        <v>19</v>
      </c>
      <c r="K14" s="11" t="s">
        <v>62</v>
      </c>
      <c r="L14" s="11" t="s">
        <v>63</v>
      </c>
      <c r="M14" s="29" t="s">
        <v>35</v>
      </c>
      <c r="N14" s="30" t="s">
        <v>32</v>
      </c>
      <c r="O14" s="30" t="s">
        <v>33</v>
      </c>
      <c r="P14" s="30" t="s">
        <v>1</v>
      </c>
      <c r="Q14" s="30" t="s">
        <v>34</v>
      </c>
      <c r="R14" s="30" t="s">
        <v>2</v>
      </c>
      <c r="S14" s="30"/>
    </row>
    <row r="15" spans="1:19" x14ac:dyDescent="0.25">
      <c r="A15" s="13">
        <v>1</v>
      </c>
      <c r="B15" s="14" t="s">
        <v>3</v>
      </c>
      <c r="C15" s="15">
        <v>8669082</v>
      </c>
      <c r="D15" s="16"/>
      <c r="E15" s="16"/>
      <c r="F15" s="17">
        <f t="shared" ref="F15:F31" si="0">MAX((SUM(C15:E15)),0)</f>
        <v>8669082</v>
      </c>
      <c r="G15" s="17">
        <f>IF((D15+E15)&lt;=0, 0,(D15+E15)*0.5)</f>
        <v>0</v>
      </c>
      <c r="H15" s="17"/>
      <c r="I15" s="17">
        <f t="shared" ref="I15:I31" si="1">+F15-G15</f>
        <v>8669082</v>
      </c>
      <c r="J15" s="18">
        <v>0.04</v>
      </c>
      <c r="K15" s="17">
        <f t="shared" ref="K15:K31" si="2">IF(+I15&lt;0,+I15,+I15*J15)</f>
        <v>346763.28</v>
      </c>
      <c r="L15" s="17">
        <f t="shared" ref="L15:L31" si="3">MAX(0,+F15-K15)</f>
        <v>8322318.7199999997</v>
      </c>
      <c r="M15" s="28"/>
      <c r="N15" s="2">
        <f>D15*(327/365)</f>
        <v>0</v>
      </c>
      <c r="O15" s="2">
        <f>D15*(41/365)</f>
        <v>0</v>
      </c>
      <c r="P15" s="2">
        <f>C15*J15</f>
        <v>346763.28</v>
      </c>
      <c r="Q15" s="2">
        <f>J15*0.5*N15</f>
        <v>0</v>
      </c>
      <c r="R15" s="2">
        <f>J15*1.5*D15</f>
        <v>0</v>
      </c>
      <c r="S15" s="2">
        <f>SUM(P15:R15)</f>
        <v>346763.28</v>
      </c>
    </row>
    <row r="16" spans="1:19" x14ac:dyDescent="0.25">
      <c r="A16" s="13" t="s">
        <v>23</v>
      </c>
      <c r="B16" s="14" t="s">
        <v>24</v>
      </c>
      <c r="C16" s="15">
        <v>0</v>
      </c>
      <c r="D16" s="16"/>
      <c r="E16" s="16"/>
      <c r="F16" s="17">
        <f t="shared" si="0"/>
        <v>0</v>
      </c>
      <c r="G16" s="17">
        <f t="shared" ref="G16:G31" si="4">IF((D16+E16)&lt;=0, 0,(D16+E16)*0.5)</f>
        <v>0</v>
      </c>
      <c r="H16" s="17"/>
      <c r="I16" s="17">
        <f t="shared" si="1"/>
        <v>0</v>
      </c>
      <c r="J16" s="18">
        <v>0.06</v>
      </c>
      <c r="K16" s="17">
        <f t="shared" si="2"/>
        <v>0</v>
      </c>
      <c r="L16" s="17">
        <f t="shared" si="3"/>
        <v>0</v>
      </c>
      <c r="M16" s="28"/>
      <c r="N16" s="2">
        <f t="shared" ref="N16:N17" si="5">D16*(327/365)</f>
        <v>0</v>
      </c>
      <c r="O16" s="2">
        <f t="shared" ref="O16:O17" si="6">D16*(41/365)</f>
        <v>0</v>
      </c>
      <c r="P16" s="2">
        <f t="shared" ref="P16:P30" si="7">C16*J16</f>
        <v>0</v>
      </c>
      <c r="Q16" s="2">
        <f t="shared" ref="Q16:Q31" si="8">J16*0.5*N16</f>
        <v>0</v>
      </c>
      <c r="R16" s="2">
        <f t="shared" ref="R16:R17" si="9">J16*1.5*D16</f>
        <v>0</v>
      </c>
      <c r="S16" s="2">
        <f t="shared" ref="S16:S31" si="10">SUM(P16:R16)</f>
        <v>0</v>
      </c>
    </row>
    <row r="17" spans="1:19" x14ac:dyDescent="0.25">
      <c r="A17" s="13">
        <v>2</v>
      </c>
      <c r="B17" s="14" t="s">
        <v>25</v>
      </c>
      <c r="C17" s="15">
        <v>0</v>
      </c>
      <c r="D17" s="16"/>
      <c r="E17" s="16"/>
      <c r="F17" s="17">
        <f t="shared" si="0"/>
        <v>0</v>
      </c>
      <c r="G17" s="17">
        <f t="shared" si="4"/>
        <v>0</v>
      </c>
      <c r="H17" s="17"/>
      <c r="I17" s="17">
        <f t="shared" si="1"/>
        <v>0</v>
      </c>
      <c r="J17" s="18">
        <v>0.06</v>
      </c>
      <c r="K17" s="17">
        <f t="shared" si="2"/>
        <v>0</v>
      </c>
      <c r="L17" s="17">
        <f t="shared" si="3"/>
        <v>0</v>
      </c>
      <c r="M17" s="28"/>
      <c r="N17" s="2">
        <f t="shared" si="5"/>
        <v>0</v>
      </c>
      <c r="O17" s="2">
        <f t="shared" si="6"/>
        <v>0</v>
      </c>
      <c r="P17" s="2">
        <f t="shared" si="7"/>
        <v>0</v>
      </c>
      <c r="Q17" s="2">
        <f t="shared" si="8"/>
        <v>0</v>
      </c>
      <c r="R17" s="2">
        <f t="shared" si="9"/>
        <v>0</v>
      </c>
      <c r="S17" s="2">
        <f t="shared" si="10"/>
        <v>0</v>
      </c>
    </row>
    <row r="18" spans="1:19" x14ac:dyDescent="0.25">
      <c r="A18" s="13">
        <v>8</v>
      </c>
      <c r="B18" s="14" t="s">
        <v>4</v>
      </c>
      <c r="C18" s="15">
        <v>115855</v>
      </c>
      <c r="D18" s="16">
        <v>51451</v>
      </c>
      <c r="E18" s="16"/>
      <c r="F18" s="17">
        <f t="shared" si="0"/>
        <v>167306</v>
      </c>
      <c r="G18" s="17">
        <f t="shared" si="4"/>
        <v>25725.5</v>
      </c>
      <c r="H18" s="17"/>
      <c r="I18" s="17">
        <f t="shared" si="1"/>
        <v>141580.5</v>
      </c>
      <c r="J18" s="18">
        <v>0.2</v>
      </c>
      <c r="K18" s="17">
        <f t="shared" si="2"/>
        <v>28316.100000000002</v>
      </c>
      <c r="L18" s="17">
        <f t="shared" si="3"/>
        <v>138989.9</v>
      </c>
      <c r="M18" s="28">
        <f>996/51451</f>
        <v>1.9358224329944995E-2</v>
      </c>
      <c r="N18" s="38">
        <f>D18-O18</f>
        <v>50455</v>
      </c>
      <c r="O18" s="2">
        <f>D18*M18</f>
        <v>996</v>
      </c>
      <c r="P18" s="2">
        <f>C18*J18</f>
        <v>23171</v>
      </c>
      <c r="Q18" s="2">
        <f>J18*0.5*N18</f>
        <v>5045.5</v>
      </c>
      <c r="R18" s="2">
        <f>J18*1.5*O18</f>
        <v>298.80000000000007</v>
      </c>
      <c r="S18" s="2">
        <f t="shared" si="10"/>
        <v>28515.3</v>
      </c>
    </row>
    <row r="19" spans="1:19" x14ac:dyDescent="0.25">
      <c r="A19" s="13">
        <v>10</v>
      </c>
      <c r="B19" s="14" t="s">
        <v>5</v>
      </c>
      <c r="C19" s="15">
        <v>197361</v>
      </c>
      <c r="D19" s="16">
        <v>293225</v>
      </c>
      <c r="E19" s="16">
        <v>-8000</v>
      </c>
      <c r="F19" s="17">
        <f>MAX((SUM(C19:E19)),0)</f>
        <v>482586</v>
      </c>
      <c r="G19" s="17">
        <f>IF((D19+E19)&lt;=0, 0,(D19+E19)*0.5)</f>
        <v>142612.5</v>
      </c>
      <c r="H19" s="17"/>
      <c r="I19" s="17">
        <f>+F19-G19</f>
        <v>339973.5</v>
      </c>
      <c r="J19" s="18">
        <v>0.3</v>
      </c>
      <c r="K19" s="17">
        <f t="shared" si="2"/>
        <v>101992.05</v>
      </c>
      <c r="L19" s="17">
        <f t="shared" si="3"/>
        <v>380593.95</v>
      </c>
      <c r="M19" s="28">
        <f>1051/293225</f>
        <v>3.584278284593742E-3</v>
      </c>
      <c r="N19" s="38">
        <f>D19-O19+E19</f>
        <v>284174</v>
      </c>
      <c r="O19" s="2">
        <f t="shared" ref="O19:O30" si="11">D19*M19</f>
        <v>1051</v>
      </c>
      <c r="P19" s="2">
        <f>C19*J19</f>
        <v>59208.299999999996</v>
      </c>
      <c r="Q19" s="2">
        <f>J19*0.5*N19</f>
        <v>42626.1</v>
      </c>
      <c r="R19" s="2">
        <f t="shared" ref="R19:R31" si="12">J19*1.5*O19</f>
        <v>472.94999999999993</v>
      </c>
      <c r="S19" s="2">
        <f t="shared" si="10"/>
        <v>102307.34999999999</v>
      </c>
    </row>
    <row r="20" spans="1:19" x14ac:dyDescent="0.25">
      <c r="A20" s="13">
        <v>10.1</v>
      </c>
      <c r="B20" s="14" t="s">
        <v>26</v>
      </c>
      <c r="C20" s="15">
        <v>0</v>
      </c>
      <c r="D20" s="16"/>
      <c r="E20" s="16"/>
      <c r="F20" s="17">
        <f t="shared" si="0"/>
        <v>0</v>
      </c>
      <c r="G20" s="17">
        <f t="shared" si="4"/>
        <v>0</v>
      </c>
      <c r="H20" s="17"/>
      <c r="I20" s="17">
        <f t="shared" si="1"/>
        <v>0</v>
      </c>
      <c r="J20" s="18">
        <v>0.3</v>
      </c>
      <c r="K20" s="17">
        <f t="shared" si="2"/>
        <v>0</v>
      </c>
      <c r="L20" s="17">
        <f t="shared" si="3"/>
        <v>0</v>
      </c>
      <c r="M20" s="28"/>
      <c r="N20" s="2">
        <f t="shared" ref="N20:N30" si="13">D20-O20</f>
        <v>0</v>
      </c>
      <c r="O20" s="2">
        <f t="shared" si="11"/>
        <v>0</v>
      </c>
      <c r="P20" s="2">
        <f t="shared" si="7"/>
        <v>0</v>
      </c>
      <c r="Q20" s="2">
        <f t="shared" si="8"/>
        <v>0</v>
      </c>
      <c r="R20" s="2">
        <f t="shared" si="12"/>
        <v>0</v>
      </c>
      <c r="S20" s="2">
        <f t="shared" si="10"/>
        <v>0</v>
      </c>
    </row>
    <row r="21" spans="1:19" x14ac:dyDescent="0.25">
      <c r="A21" s="13">
        <v>12</v>
      </c>
      <c r="B21" s="14" t="s">
        <v>6</v>
      </c>
      <c r="C21" s="15">
        <v>26941</v>
      </c>
      <c r="D21" s="16">
        <v>22371</v>
      </c>
      <c r="E21" s="16"/>
      <c r="F21" s="17">
        <f t="shared" si="0"/>
        <v>49312</v>
      </c>
      <c r="G21" s="17">
        <f t="shared" si="4"/>
        <v>11185.5</v>
      </c>
      <c r="H21" s="17">
        <v>-44758</v>
      </c>
      <c r="I21" s="17">
        <f>+F21-G21+H21</f>
        <v>-6631.5</v>
      </c>
      <c r="J21" s="18">
        <v>1</v>
      </c>
      <c r="K21" s="17">
        <v>0</v>
      </c>
      <c r="L21" s="17">
        <f>MAX(0,+F21-K21+H21)</f>
        <v>4554</v>
      </c>
      <c r="M21" s="28"/>
      <c r="N21" s="2">
        <f t="shared" si="13"/>
        <v>22371</v>
      </c>
      <c r="O21" s="2">
        <f t="shared" si="11"/>
        <v>0</v>
      </c>
      <c r="P21" s="2">
        <f>C21*J21</f>
        <v>26941</v>
      </c>
      <c r="Q21" s="2">
        <f>J21*0.5*N21</f>
        <v>11185.5</v>
      </c>
      <c r="R21" s="2">
        <f t="shared" si="12"/>
        <v>0</v>
      </c>
      <c r="S21" s="2">
        <f t="shared" si="10"/>
        <v>38126.5</v>
      </c>
    </row>
    <row r="22" spans="1:19" x14ac:dyDescent="0.25">
      <c r="A22" s="13">
        <v>45</v>
      </c>
      <c r="B22" s="14" t="s">
        <v>27</v>
      </c>
      <c r="C22" s="15">
        <v>43</v>
      </c>
      <c r="D22" s="16"/>
      <c r="E22" s="16"/>
      <c r="F22" s="17">
        <f t="shared" si="0"/>
        <v>43</v>
      </c>
      <c r="G22" s="17">
        <f t="shared" si="4"/>
        <v>0</v>
      </c>
      <c r="H22" s="17"/>
      <c r="I22" s="17">
        <f>+F22-G22+H22</f>
        <v>43</v>
      </c>
      <c r="J22" s="18">
        <v>0.45</v>
      </c>
      <c r="K22" s="17">
        <f t="shared" si="2"/>
        <v>19.350000000000001</v>
      </c>
      <c r="L22" s="17">
        <f t="shared" si="3"/>
        <v>23.65</v>
      </c>
      <c r="M22" s="28"/>
      <c r="N22" s="2">
        <f t="shared" si="13"/>
        <v>0</v>
      </c>
      <c r="O22" s="2">
        <f t="shared" si="11"/>
        <v>0</v>
      </c>
      <c r="P22" s="2">
        <f>C22*J22</f>
        <v>19.350000000000001</v>
      </c>
      <c r="Q22" s="2">
        <f t="shared" si="8"/>
        <v>0</v>
      </c>
      <c r="R22" s="2">
        <f t="shared" si="12"/>
        <v>0</v>
      </c>
      <c r="S22" s="2">
        <f t="shared" si="10"/>
        <v>19.350000000000001</v>
      </c>
    </row>
    <row r="23" spans="1:19" x14ac:dyDescent="0.25">
      <c r="A23" s="13">
        <v>46</v>
      </c>
      <c r="B23" s="14" t="s">
        <v>28</v>
      </c>
      <c r="C23" s="15">
        <v>0</v>
      </c>
      <c r="D23" s="16"/>
      <c r="E23" s="16"/>
      <c r="F23" s="17">
        <f t="shared" si="0"/>
        <v>0</v>
      </c>
      <c r="G23" s="17">
        <f t="shared" si="4"/>
        <v>0</v>
      </c>
      <c r="H23" s="17"/>
      <c r="I23" s="17">
        <f t="shared" si="1"/>
        <v>0</v>
      </c>
      <c r="J23" s="18">
        <v>0.3</v>
      </c>
      <c r="K23" s="17">
        <f t="shared" si="2"/>
        <v>0</v>
      </c>
      <c r="L23" s="17">
        <f t="shared" si="3"/>
        <v>0</v>
      </c>
      <c r="M23" s="28"/>
      <c r="N23" s="2">
        <f t="shared" si="13"/>
        <v>0</v>
      </c>
      <c r="O23" s="2">
        <f t="shared" si="11"/>
        <v>0</v>
      </c>
      <c r="P23" s="2">
        <f t="shared" si="7"/>
        <v>0</v>
      </c>
      <c r="Q23" s="2">
        <f t="shared" si="8"/>
        <v>0</v>
      </c>
      <c r="R23" s="2">
        <f t="shared" si="12"/>
        <v>0</v>
      </c>
      <c r="S23" s="2">
        <f t="shared" si="10"/>
        <v>0</v>
      </c>
    </row>
    <row r="24" spans="1:19" x14ac:dyDescent="0.25">
      <c r="A24" s="13">
        <v>47</v>
      </c>
      <c r="B24" s="14" t="s">
        <v>7</v>
      </c>
      <c r="C24" s="15">
        <v>9699544</v>
      </c>
      <c r="D24" s="16">
        <v>1131362</v>
      </c>
      <c r="E24" s="16">
        <v>-20036</v>
      </c>
      <c r="F24" s="17">
        <f t="shared" si="0"/>
        <v>10810870</v>
      </c>
      <c r="G24" s="17">
        <f t="shared" si="4"/>
        <v>555663</v>
      </c>
      <c r="H24" s="17">
        <v>-314295</v>
      </c>
      <c r="I24" s="17">
        <f>+F24-G24+H24</f>
        <v>9940912</v>
      </c>
      <c r="J24" s="18">
        <v>0.08</v>
      </c>
      <c r="K24" s="17">
        <f>IF(+I24&lt;0,+I24,+I24*J24)</f>
        <v>795272.96</v>
      </c>
      <c r="L24" s="17">
        <f>MAX(0,+F24-K24+H24)</f>
        <v>9701302.0399999991</v>
      </c>
      <c r="M24" s="28">
        <f>678373/1131362</f>
        <v>0.59960737588853086</v>
      </c>
      <c r="N24" s="38">
        <f>D24-O24+E24</f>
        <v>432953</v>
      </c>
      <c r="O24" s="2">
        <f t="shared" si="11"/>
        <v>678373</v>
      </c>
      <c r="P24" s="2">
        <f>C24*J24</f>
        <v>775963.52</v>
      </c>
      <c r="Q24" s="2">
        <f>J24*0.5*N24</f>
        <v>17318.12</v>
      </c>
      <c r="R24" s="2">
        <f t="shared" si="12"/>
        <v>81404.759999999995</v>
      </c>
      <c r="S24" s="2">
        <f t="shared" si="10"/>
        <v>874686.4</v>
      </c>
    </row>
    <row r="25" spans="1:19" x14ac:dyDescent="0.25">
      <c r="A25" s="13">
        <v>50</v>
      </c>
      <c r="B25" s="14" t="s">
        <v>8</v>
      </c>
      <c r="C25" s="15">
        <v>19712</v>
      </c>
      <c r="D25" s="16">
        <v>13899</v>
      </c>
      <c r="E25" s="16">
        <v>-286</v>
      </c>
      <c r="F25" s="17">
        <f t="shared" si="0"/>
        <v>33325</v>
      </c>
      <c r="G25" s="17">
        <f t="shared" si="4"/>
        <v>6806.5</v>
      </c>
      <c r="H25" s="17">
        <v>-4851</v>
      </c>
      <c r="I25" s="17">
        <f>+F25-G25+H25</f>
        <v>21667.5</v>
      </c>
      <c r="J25" s="18">
        <v>0.55000000000000004</v>
      </c>
      <c r="K25" s="17">
        <f t="shared" si="2"/>
        <v>11917.125000000002</v>
      </c>
      <c r="L25" s="17">
        <f>MAX(0,+F25-K25+H25)</f>
        <v>16556.875</v>
      </c>
      <c r="M25" s="28">
        <f>4769/13899</f>
        <v>0.34311820994316139</v>
      </c>
      <c r="N25" s="2">
        <f t="shared" si="13"/>
        <v>9130</v>
      </c>
      <c r="O25" s="2">
        <f t="shared" si="11"/>
        <v>4769</v>
      </c>
      <c r="P25" s="2">
        <f>C25*J25</f>
        <v>10841.6</v>
      </c>
      <c r="Q25" s="2">
        <f>J25*0.5*N25</f>
        <v>2510.75</v>
      </c>
      <c r="R25" s="2">
        <f t="shared" si="12"/>
        <v>3934.4250000000002</v>
      </c>
      <c r="S25" s="2">
        <f t="shared" si="10"/>
        <v>17286.775000000001</v>
      </c>
    </row>
    <row r="26" spans="1:19" x14ac:dyDescent="0.25">
      <c r="A26" s="13">
        <v>43.2</v>
      </c>
      <c r="B26" s="14" t="s">
        <v>64</v>
      </c>
      <c r="C26" s="15">
        <v>879</v>
      </c>
      <c r="D26" s="16">
        <v>0</v>
      </c>
      <c r="E26" s="16"/>
      <c r="F26" s="17">
        <f t="shared" ref="F26" si="14">MAX((SUM(C26:E26)),0)</f>
        <v>879</v>
      </c>
      <c r="G26" s="17">
        <f t="shared" ref="G26" si="15">IF((D26+E26)&lt;=0, 0,(D26+E26)*0.5)</f>
        <v>0</v>
      </c>
      <c r="H26" s="17"/>
      <c r="I26" s="17">
        <f t="shared" ref="I26" si="16">+F26-G26</f>
        <v>879</v>
      </c>
      <c r="J26" s="18">
        <v>0.55000000000000004</v>
      </c>
      <c r="K26" s="17">
        <f t="shared" ref="K26" si="17">IF(+I26&lt;0,+I26,+I26*J26)</f>
        <v>483.45000000000005</v>
      </c>
      <c r="L26" s="17">
        <f t="shared" ref="L26" si="18">MAX(0,+F26-K26)</f>
        <v>395.54999999999995</v>
      </c>
      <c r="M26" s="28"/>
      <c r="N26" s="2"/>
      <c r="O26" s="2"/>
      <c r="P26" s="2"/>
      <c r="Q26" s="2"/>
      <c r="R26" s="2"/>
      <c r="S26" s="2"/>
    </row>
    <row r="27" spans="1:19" x14ac:dyDescent="0.25">
      <c r="A27" s="13">
        <v>14.1</v>
      </c>
      <c r="B27" s="14" t="s">
        <v>65</v>
      </c>
      <c r="C27" s="15">
        <v>133072</v>
      </c>
      <c r="D27" s="16"/>
      <c r="E27" s="16"/>
      <c r="F27" s="17">
        <f t="shared" si="0"/>
        <v>133072</v>
      </c>
      <c r="G27" s="17">
        <f t="shared" si="4"/>
        <v>0</v>
      </c>
      <c r="H27" s="17"/>
      <c r="I27" s="17">
        <f t="shared" si="1"/>
        <v>133072</v>
      </c>
      <c r="J27" s="18">
        <v>0.05</v>
      </c>
      <c r="K27" s="17">
        <f t="shared" si="2"/>
        <v>6653.6</v>
      </c>
      <c r="L27" s="17">
        <f t="shared" si="3"/>
        <v>126418.4</v>
      </c>
      <c r="M27" s="28"/>
      <c r="N27" s="2">
        <f t="shared" si="13"/>
        <v>0</v>
      </c>
      <c r="O27" s="2">
        <f t="shared" si="11"/>
        <v>0</v>
      </c>
      <c r="P27" s="2">
        <f t="shared" si="7"/>
        <v>6653.6</v>
      </c>
      <c r="Q27" s="2">
        <f t="shared" si="8"/>
        <v>0</v>
      </c>
      <c r="R27" s="2">
        <f t="shared" si="12"/>
        <v>0</v>
      </c>
      <c r="S27" s="2">
        <f t="shared" si="10"/>
        <v>6653.6</v>
      </c>
    </row>
    <row r="28" spans="1:19" x14ac:dyDescent="0.25">
      <c r="A28" s="13" t="s">
        <v>66</v>
      </c>
      <c r="B28" s="14"/>
      <c r="C28" s="15">
        <v>6439</v>
      </c>
      <c r="D28" s="16"/>
      <c r="E28" s="16"/>
      <c r="F28" s="17">
        <f t="shared" si="0"/>
        <v>6439</v>
      </c>
      <c r="G28" s="17">
        <f t="shared" si="4"/>
        <v>0</v>
      </c>
      <c r="H28" s="17"/>
      <c r="I28" s="17">
        <f t="shared" si="1"/>
        <v>6439</v>
      </c>
      <c r="J28" s="18">
        <v>0.06</v>
      </c>
      <c r="K28" s="17">
        <f t="shared" si="2"/>
        <v>386.34</v>
      </c>
      <c r="L28" s="17">
        <f t="shared" si="3"/>
        <v>6052.66</v>
      </c>
      <c r="M28" s="28"/>
      <c r="N28" s="2"/>
      <c r="O28" s="2"/>
      <c r="P28" s="2"/>
      <c r="Q28" s="2"/>
      <c r="R28" s="2"/>
      <c r="S28" s="2"/>
    </row>
    <row r="29" spans="1:19" x14ac:dyDescent="0.25">
      <c r="A29" s="13" t="s">
        <v>66</v>
      </c>
      <c r="B29" s="14" t="s">
        <v>67</v>
      </c>
      <c r="C29" s="15">
        <v>0</v>
      </c>
      <c r="D29" s="16">
        <v>69750</v>
      </c>
      <c r="E29" s="16"/>
      <c r="F29" s="17">
        <f t="shared" ref="F29" si="19">MAX((SUM(C29:E29)),0)</f>
        <v>69750</v>
      </c>
      <c r="G29" s="17">
        <f t="shared" ref="G29" si="20">IF((D29+E29)&lt;=0, 0,(D29+E29)*0.5)</f>
        <v>34875</v>
      </c>
      <c r="H29" s="17"/>
      <c r="I29" s="17">
        <f t="shared" ref="I29" si="21">+F29-G29</f>
        <v>34875</v>
      </c>
      <c r="J29" s="18">
        <v>0.06</v>
      </c>
      <c r="K29" s="17">
        <f t="shared" ref="K29" si="22">IF(+I29&lt;0,+I29,+I29*J29)</f>
        <v>2092.5</v>
      </c>
      <c r="L29" s="17">
        <f t="shared" ref="L29" si="23">MAX(0,+F29-K29)</f>
        <v>67657.5</v>
      </c>
      <c r="M29" s="28"/>
      <c r="N29" s="2"/>
      <c r="O29" s="2"/>
      <c r="P29" s="2"/>
      <c r="Q29" s="2"/>
      <c r="R29" s="2"/>
      <c r="S29" s="2"/>
    </row>
    <row r="30" spans="1:19" x14ac:dyDescent="0.25">
      <c r="A30" s="13">
        <v>95</v>
      </c>
      <c r="B30" s="14" t="s">
        <v>29</v>
      </c>
      <c r="C30" s="15"/>
      <c r="D30" s="16">
        <v>29360</v>
      </c>
      <c r="E30" s="16"/>
      <c r="F30" s="17">
        <f t="shared" si="0"/>
        <v>29360</v>
      </c>
      <c r="G30" s="17">
        <f t="shared" si="4"/>
        <v>14680</v>
      </c>
      <c r="H30" s="17"/>
      <c r="I30" s="17">
        <f t="shared" si="1"/>
        <v>14680</v>
      </c>
      <c r="J30" s="18">
        <v>0</v>
      </c>
      <c r="K30" s="17">
        <f t="shared" si="2"/>
        <v>0</v>
      </c>
      <c r="L30" s="17">
        <f t="shared" si="3"/>
        <v>29360</v>
      </c>
      <c r="M30" s="28"/>
      <c r="N30" s="2">
        <f t="shared" si="13"/>
        <v>29360</v>
      </c>
      <c r="O30" s="2">
        <f t="shared" si="11"/>
        <v>0</v>
      </c>
      <c r="P30" s="2">
        <f t="shared" si="7"/>
        <v>0</v>
      </c>
      <c r="Q30" s="2">
        <f t="shared" si="8"/>
        <v>0</v>
      </c>
      <c r="R30" s="2">
        <f t="shared" si="12"/>
        <v>0</v>
      </c>
      <c r="S30" s="2">
        <f t="shared" si="10"/>
        <v>0</v>
      </c>
    </row>
    <row r="31" spans="1:19" ht="15.75" thickBot="1" x14ac:dyDescent="0.3">
      <c r="A31" s="19"/>
      <c r="B31" s="20"/>
      <c r="C31" s="21"/>
      <c r="D31" s="16"/>
      <c r="E31" s="16"/>
      <c r="F31" s="17">
        <f t="shared" si="0"/>
        <v>0</v>
      </c>
      <c r="G31" s="17">
        <f t="shared" si="4"/>
        <v>0</v>
      </c>
      <c r="H31" s="17"/>
      <c r="I31" s="17">
        <f t="shared" si="1"/>
        <v>0</v>
      </c>
      <c r="J31" s="18"/>
      <c r="K31" s="17">
        <f t="shared" si="2"/>
        <v>0</v>
      </c>
      <c r="L31" s="17">
        <f t="shared" si="3"/>
        <v>0</v>
      </c>
      <c r="M31" s="28"/>
      <c r="N31" s="2"/>
      <c r="O31" s="2"/>
      <c r="P31" s="2"/>
      <c r="Q31" s="2">
        <f t="shared" si="8"/>
        <v>0</v>
      </c>
      <c r="R31" s="2">
        <f t="shared" si="12"/>
        <v>0</v>
      </c>
      <c r="S31" s="2">
        <f t="shared" si="10"/>
        <v>0</v>
      </c>
    </row>
    <row r="32" spans="1:19" ht="15.75" thickBot="1" x14ac:dyDescent="0.3">
      <c r="A32" s="22"/>
      <c r="B32" s="23" t="s">
        <v>22</v>
      </c>
      <c r="C32" s="24">
        <f t="shared" ref="C32:I32" si="24">SUM(C15:C31)</f>
        <v>18868928</v>
      </c>
      <c r="D32" s="24">
        <f t="shared" si="24"/>
        <v>1611418</v>
      </c>
      <c r="E32" s="24">
        <f t="shared" si="24"/>
        <v>-28322</v>
      </c>
      <c r="F32" s="24">
        <f t="shared" si="24"/>
        <v>20452024</v>
      </c>
      <c r="G32" s="24">
        <f t="shared" si="24"/>
        <v>791548</v>
      </c>
      <c r="H32" s="24">
        <f t="shared" si="24"/>
        <v>-363904</v>
      </c>
      <c r="I32" s="24">
        <f t="shared" si="24"/>
        <v>19296572</v>
      </c>
      <c r="J32" s="25"/>
      <c r="K32" s="26">
        <f>SUM(K15:K31)</f>
        <v>1293896.7550000001</v>
      </c>
      <c r="L32" s="26">
        <f>SUM(L15:L31)</f>
        <v>18794223.244999997</v>
      </c>
      <c r="M32" s="28"/>
      <c r="N32" s="27">
        <f>SUM(N15:N31)</f>
        <v>828443</v>
      </c>
      <c r="O32" s="27">
        <f t="shared" ref="O32:R32" si="25">SUM(O15:O31)</f>
        <v>685189</v>
      </c>
      <c r="P32" s="27">
        <f t="shared" si="25"/>
        <v>1249561.6500000001</v>
      </c>
      <c r="Q32" s="27">
        <f t="shared" si="25"/>
        <v>78685.97</v>
      </c>
      <c r="R32" s="27">
        <f t="shared" si="25"/>
        <v>86110.934999999998</v>
      </c>
      <c r="S32" s="27">
        <f>SUM(S15:S31)</f>
        <v>1414358.5549999999</v>
      </c>
    </row>
    <row r="33" spans="1:11" x14ac:dyDescent="0.25">
      <c r="G33" s="33"/>
      <c r="H33" s="33"/>
      <c r="K33" s="33" t="s">
        <v>52</v>
      </c>
    </row>
    <row r="34" spans="1:11" x14ac:dyDescent="0.25">
      <c r="J34" s="39" t="s">
        <v>69</v>
      </c>
      <c r="K34" s="1">
        <v>1355116</v>
      </c>
    </row>
    <row r="35" spans="1:11" x14ac:dyDescent="0.25">
      <c r="K35" s="33" t="s">
        <v>53</v>
      </c>
    </row>
    <row r="37" spans="1:11" x14ac:dyDescent="0.25">
      <c r="F37" t="s">
        <v>9</v>
      </c>
      <c r="H37" s="4">
        <f>K34-K32</f>
        <v>61219.244999999879</v>
      </c>
      <c r="I37" s="34" t="s">
        <v>54</v>
      </c>
    </row>
    <row r="38" spans="1:11" x14ac:dyDescent="0.25">
      <c r="B38" s="37"/>
    </row>
    <row r="39" spans="1:11" x14ac:dyDescent="0.25">
      <c r="F39" t="s">
        <v>10</v>
      </c>
      <c r="G39" s="5">
        <v>0.155</v>
      </c>
      <c r="H39" s="1">
        <f>H37*G39</f>
        <v>9488.9829749999808</v>
      </c>
      <c r="I39" s="35" t="s">
        <v>55</v>
      </c>
    </row>
    <row r="40" spans="1:11" x14ac:dyDescent="0.25">
      <c r="H40" s="1"/>
    </row>
    <row r="41" spans="1:11" x14ac:dyDescent="0.25">
      <c r="F41" t="s">
        <v>11</v>
      </c>
      <c r="H41" s="1">
        <f>H39/(1-G39)</f>
        <v>11229.565650887551</v>
      </c>
      <c r="I41" s="35" t="s">
        <v>56</v>
      </c>
    </row>
    <row r="43" spans="1:11" x14ac:dyDescent="0.25">
      <c r="F43" t="s">
        <v>36</v>
      </c>
      <c r="I43" s="4">
        <f>H41</f>
        <v>11229.565650887551</v>
      </c>
    </row>
    <row r="44" spans="1:11" x14ac:dyDescent="0.25">
      <c r="G44" t="s">
        <v>37</v>
      </c>
      <c r="J44" s="4">
        <f>-I43</f>
        <v>-11229.565650887551</v>
      </c>
    </row>
    <row r="48" spans="1:11" x14ac:dyDescent="0.25">
      <c r="A48" t="s">
        <v>41</v>
      </c>
    </row>
    <row r="49" spans="1:21" ht="20.25" x14ac:dyDescent="0.3">
      <c r="A49" s="6" t="s">
        <v>70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21" ht="23.25" x14ac:dyDescent="0.35">
      <c r="A50" s="7" t="s">
        <v>71</v>
      </c>
      <c r="B50" s="3"/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2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2" t="s">
        <v>0</v>
      </c>
      <c r="O51" s="2"/>
      <c r="P51" s="1" t="s">
        <v>30</v>
      </c>
      <c r="Q51" s="1" t="s">
        <v>31</v>
      </c>
      <c r="R51" s="1" t="s">
        <v>31</v>
      </c>
      <c r="S51" s="2"/>
    </row>
    <row r="52" spans="1:21" ht="48" x14ac:dyDescent="0.25">
      <c r="A52" s="9" t="s">
        <v>12</v>
      </c>
      <c r="B52" s="10" t="s">
        <v>13</v>
      </c>
      <c r="C52" s="11" t="s">
        <v>14</v>
      </c>
      <c r="D52" s="11" t="s">
        <v>0</v>
      </c>
      <c r="E52" s="11" t="s">
        <v>15</v>
      </c>
      <c r="F52" s="11" t="s">
        <v>16</v>
      </c>
      <c r="G52" s="11" t="s">
        <v>17</v>
      </c>
      <c r="H52" s="11"/>
      <c r="I52" s="11" t="s">
        <v>18</v>
      </c>
      <c r="J52" s="12" t="s">
        <v>19</v>
      </c>
      <c r="K52" s="11" t="s">
        <v>20</v>
      </c>
      <c r="L52" s="11" t="s">
        <v>21</v>
      </c>
      <c r="M52" s="29" t="s">
        <v>35</v>
      </c>
      <c r="N52" s="30" t="s">
        <v>32</v>
      </c>
      <c r="O52" s="30" t="s">
        <v>33</v>
      </c>
      <c r="P52" s="30" t="s">
        <v>1</v>
      </c>
      <c r="Q52" s="30" t="s">
        <v>34</v>
      </c>
      <c r="R52" s="30" t="s">
        <v>2</v>
      </c>
      <c r="S52" s="30"/>
      <c r="U52" s="36" t="s">
        <v>9</v>
      </c>
    </row>
    <row r="53" spans="1:21" x14ac:dyDescent="0.25">
      <c r="A53" s="13">
        <v>1</v>
      </c>
      <c r="B53" s="14" t="s">
        <v>3</v>
      </c>
      <c r="C53" s="15">
        <f>L15</f>
        <v>8322318.7199999997</v>
      </c>
      <c r="D53" s="16"/>
      <c r="E53" s="16"/>
      <c r="F53" s="17">
        <f t="shared" ref="F53:F71" si="26">MAX((SUM(C53:E53)),0)</f>
        <v>8322318.7199999997</v>
      </c>
      <c r="G53" s="17">
        <f>IF((D53+E53)&lt;=0, 0,(D53+E53)*0.5)</f>
        <v>0</v>
      </c>
      <c r="H53" s="17"/>
      <c r="I53" s="17">
        <f t="shared" ref="I53:I61" si="27">+F53-G53</f>
        <v>8322318.7199999997</v>
      </c>
      <c r="J53" s="18">
        <v>0.04</v>
      </c>
      <c r="K53" s="17">
        <f t="shared" ref="K53:K61" si="28">IF(+I53&lt;0,+I53,+I53*J53)</f>
        <v>332892.7488</v>
      </c>
      <c r="L53" s="17">
        <f t="shared" ref="L53:L71" si="29">MAX(0,+F53-K53)</f>
        <v>7989425.9711999996</v>
      </c>
      <c r="M53" s="28"/>
      <c r="N53" s="2">
        <f>D53*(327/365)</f>
        <v>0</v>
      </c>
      <c r="O53" s="2">
        <f>D53*(41/365)</f>
        <v>0</v>
      </c>
      <c r="P53" s="2">
        <f>C53*J53</f>
        <v>332892.7488</v>
      </c>
      <c r="Q53" s="2">
        <f>J53*0.5*N53</f>
        <v>0</v>
      </c>
      <c r="R53" s="2">
        <f>J53*1.5*D53</f>
        <v>0</v>
      </c>
      <c r="S53" s="2">
        <f>SUM(P53:R53)</f>
        <v>332892.7488</v>
      </c>
      <c r="U53" s="4">
        <f>S53-K53</f>
        <v>0</v>
      </c>
    </row>
    <row r="54" spans="1:21" x14ac:dyDescent="0.25">
      <c r="A54" s="13" t="s">
        <v>23</v>
      </c>
      <c r="B54" s="14" t="s">
        <v>24</v>
      </c>
      <c r="C54" s="15">
        <f t="shared" ref="C54:C63" si="30">L16</f>
        <v>0</v>
      </c>
      <c r="D54" s="16"/>
      <c r="E54" s="16"/>
      <c r="F54" s="17">
        <f t="shared" si="26"/>
        <v>0</v>
      </c>
      <c r="G54" s="17">
        <f t="shared" ref="G54:G71" si="31">IF((D54+E54)&lt;=0, 0,(D54+E54)*0.5)</f>
        <v>0</v>
      </c>
      <c r="H54" s="17"/>
      <c r="I54" s="17">
        <f t="shared" si="27"/>
        <v>0</v>
      </c>
      <c r="J54" s="18">
        <v>0.06</v>
      </c>
      <c r="K54" s="17">
        <f t="shared" si="28"/>
        <v>0</v>
      </c>
      <c r="L54" s="17">
        <f t="shared" si="29"/>
        <v>0</v>
      </c>
      <c r="M54" s="28"/>
      <c r="N54" s="2">
        <f t="shared" ref="N54:N55" si="32">D54*(327/365)</f>
        <v>0</v>
      </c>
      <c r="O54" s="2">
        <f t="shared" ref="O54:O55" si="33">D54*(41/365)</f>
        <v>0</v>
      </c>
      <c r="P54" s="2">
        <f t="shared" ref="P54:P59" si="34">C54*J54</f>
        <v>0</v>
      </c>
      <c r="Q54" s="2">
        <f t="shared" ref="Q54:Q56" si="35">J54*0.5*N54</f>
        <v>0</v>
      </c>
      <c r="R54" s="2">
        <f t="shared" ref="R54:R55" si="36">J54*1.5*D54</f>
        <v>0</v>
      </c>
      <c r="S54" s="2">
        <f t="shared" ref="S54:S71" si="37">SUM(P54:R54)</f>
        <v>0</v>
      </c>
      <c r="U54" s="4">
        <f t="shared" ref="U54:U71" si="38">S54-K54</f>
        <v>0</v>
      </c>
    </row>
    <row r="55" spans="1:21" x14ac:dyDescent="0.25">
      <c r="A55" s="13">
        <v>2</v>
      </c>
      <c r="B55" s="14" t="s">
        <v>25</v>
      </c>
      <c r="C55" s="15">
        <f t="shared" si="30"/>
        <v>0</v>
      </c>
      <c r="D55" s="16"/>
      <c r="E55" s="16"/>
      <c r="F55" s="17">
        <f t="shared" si="26"/>
        <v>0</v>
      </c>
      <c r="G55" s="17">
        <f t="shared" si="31"/>
        <v>0</v>
      </c>
      <c r="H55" s="17"/>
      <c r="I55" s="17">
        <f t="shared" si="27"/>
        <v>0</v>
      </c>
      <c r="J55" s="18">
        <v>0.06</v>
      </c>
      <c r="K55" s="17">
        <f t="shared" si="28"/>
        <v>0</v>
      </c>
      <c r="L55" s="17">
        <f t="shared" si="29"/>
        <v>0</v>
      </c>
      <c r="M55" s="28"/>
      <c r="N55" s="2">
        <f t="shared" si="32"/>
        <v>0</v>
      </c>
      <c r="O55" s="2">
        <f t="shared" si="33"/>
        <v>0</v>
      </c>
      <c r="P55" s="2">
        <f t="shared" si="34"/>
        <v>0</v>
      </c>
      <c r="Q55" s="2">
        <f t="shared" si="35"/>
        <v>0</v>
      </c>
      <c r="R55" s="2">
        <f t="shared" si="36"/>
        <v>0</v>
      </c>
      <c r="S55" s="2">
        <f t="shared" si="37"/>
        <v>0</v>
      </c>
      <c r="U55" s="4">
        <f t="shared" si="38"/>
        <v>0</v>
      </c>
    </row>
    <row r="56" spans="1:21" x14ac:dyDescent="0.25">
      <c r="A56" s="13">
        <v>8</v>
      </c>
      <c r="B56" s="14" t="s">
        <v>4</v>
      </c>
      <c r="C56" s="15">
        <f t="shared" si="30"/>
        <v>138989.9</v>
      </c>
      <c r="D56" s="16">
        <v>23461</v>
      </c>
      <c r="E56" s="16"/>
      <c r="F56" s="17">
        <f t="shared" si="26"/>
        <v>162450.9</v>
      </c>
      <c r="G56" s="17">
        <f t="shared" si="31"/>
        <v>11730.5</v>
      </c>
      <c r="H56" s="17"/>
      <c r="I56" s="17">
        <f t="shared" si="27"/>
        <v>150720.4</v>
      </c>
      <c r="J56" s="18">
        <v>0.2</v>
      </c>
      <c r="K56" s="17">
        <f t="shared" si="28"/>
        <v>30144.080000000002</v>
      </c>
      <c r="L56" s="17">
        <f t="shared" si="29"/>
        <v>132306.82</v>
      </c>
      <c r="M56" s="28">
        <v>1</v>
      </c>
      <c r="N56" s="2">
        <f>D56-O56</f>
        <v>0</v>
      </c>
      <c r="O56" s="2">
        <f>D56*M56</f>
        <v>23461</v>
      </c>
      <c r="P56" s="2">
        <f t="shared" si="34"/>
        <v>27797.98</v>
      </c>
      <c r="Q56" s="2">
        <f t="shared" si="35"/>
        <v>0</v>
      </c>
      <c r="R56" s="2">
        <f>J56*1.5*O56</f>
        <v>7038.3000000000011</v>
      </c>
      <c r="S56" s="2">
        <f t="shared" si="37"/>
        <v>34836.28</v>
      </c>
      <c r="U56" s="4">
        <f t="shared" si="38"/>
        <v>4692.1999999999971</v>
      </c>
    </row>
    <row r="57" spans="1:21" x14ac:dyDescent="0.25">
      <c r="A57" s="13">
        <v>10</v>
      </c>
      <c r="B57" s="14" t="s">
        <v>5</v>
      </c>
      <c r="C57" s="15">
        <f t="shared" si="30"/>
        <v>380593.95</v>
      </c>
      <c r="D57" s="16">
        <v>32823</v>
      </c>
      <c r="E57" s="16"/>
      <c r="F57" s="17">
        <f t="shared" si="26"/>
        <v>413416.95</v>
      </c>
      <c r="G57" s="17">
        <f t="shared" si="31"/>
        <v>16411.5</v>
      </c>
      <c r="H57" s="17"/>
      <c r="I57" s="17">
        <f t="shared" si="27"/>
        <v>397005.45</v>
      </c>
      <c r="J57" s="18">
        <v>0.3</v>
      </c>
      <c r="K57" s="17">
        <f t="shared" si="28"/>
        <v>119101.63499999999</v>
      </c>
      <c r="L57" s="17">
        <f t="shared" si="29"/>
        <v>294315.315</v>
      </c>
      <c r="M57" s="28">
        <v>1</v>
      </c>
      <c r="N57" s="2">
        <v>0</v>
      </c>
      <c r="O57" s="2">
        <f>(D57+E57)*M57</f>
        <v>32823</v>
      </c>
      <c r="P57" s="2">
        <f t="shared" si="34"/>
        <v>114178.185</v>
      </c>
      <c r="Q57" s="2">
        <f>J57*0.5*N57</f>
        <v>0</v>
      </c>
      <c r="R57" s="2">
        <f>J57*1.5*O57</f>
        <v>14770.349999999999</v>
      </c>
      <c r="S57" s="2">
        <f t="shared" si="37"/>
        <v>128948.535</v>
      </c>
      <c r="U57" s="4">
        <f t="shared" si="38"/>
        <v>9846.9000000000087</v>
      </c>
    </row>
    <row r="58" spans="1:21" x14ac:dyDescent="0.25">
      <c r="A58" s="13">
        <v>10.1</v>
      </c>
      <c r="B58" s="14" t="s">
        <v>26</v>
      </c>
      <c r="C58" s="15">
        <f t="shared" si="30"/>
        <v>0</v>
      </c>
      <c r="D58" s="16"/>
      <c r="E58" s="16"/>
      <c r="F58" s="17">
        <f t="shared" si="26"/>
        <v>0</v>
      </c>
      <c r="G58" s="17">
        <f t="shared" si="31"/>
        <v>0</v>
      </c>
      <c r="H58" s="17"/>
      <c r="I58" s="17">
        <f t="shared" si="27"/>
        <v>0</v>
      </c>
      <c r="J58" s="18">
        <v>0.3</v>
      </c>
      <c r="K58" s="17">
        <f t="shared" si="28"/>
        <v>0</v>
      </c>
      <c r="L58" s="17">
        <f t="shared" si="29"/>
        <v>0</v>
      </c>
      <c r="M58" s="28"/>
      <c r="N58" s="2">
        <f t="shared" ref="N58:N61" si="39">D58-O58</f>
        <v>0</v>
      </c>
      <c r="O58" s="2">
        <f t="shared" ref="O58:O70" si="40">D58*M58</f>
        <v>0</v>
      </c>
      <c r="P58" s="2">
        <f t="shared" si="34"/>
        <v>0</v>
      </c>
      <c r="Q58" s="2">
        <f t="shared" ref="Q58:Q61" si="41">J58*0.5*N58</f>
        <v>0</v>
      </c>
      <c r="R58" s="2">
        <f t="shared" ref="R58:R71" si="42">J58*1.5*O58</f>
        <v>0</v>
      </c>
      <c r="S58" s="2">
        <f t="shared" si="37"/>
        <v>0</v>
      </c>
      <c r="U58" s="4">
        <f t="shared" si="38"/>
        <v>0</v>
      </c>
    </row>
    <row r="59" spans="1:21" x14ac:dyDescent="0.25">
      <c r="A59" s="13">
        <v>12</v>
      </c>
      <c r="B59" s="14" t="s">
        <v>6</v>
      </c>
      <c r="C59" s="15">
        <f t="shared" si="30"/>
        <v>4554</v>
      </c>
      <c r="D59" s="16">
        <v>49155</v>
      </c>
      <c r="E59" s="16"/>
      <c r="F59" s="17">
        <f t="shared" si="26"/>
        <v>53709</v>
      </c>
      <c r="G59" s="17">
        <f t="shared" si="31"/>
        <v>24577.5</v>
      </c>
      <c r="H59" s="17"/>
      <c r="I59" s="17">
        <f t="shared" si="27"/>
        <v>29131.5</v>
      </c>
      <c r="J59" s="18">
        <v>1</v>
      </c>
      <c r="K59" s="17">
        <f t="shared" si="28"/>
        <v>29131.5</v>
      </c>
      <c r="L59" s="17">
        <f t="shared" si="29"/>
        <v>24577.5</v>
      </c>
      <c r="M59" s="28">
        <v>1</v>
      </c>
      <c r="N59" s="2">
        <f t="shared" si="39"/>
        <v>0</v>
      </c>
      <c r="O59" s="2">
        <f t="shared" si="40"/>
        <v>49155</v>
      </c>
      <c r="P59" s="2">
        <f t="shared" si="34"/>
        <v>4554</v>
      </c>
      <c r="Q59" s="2">
        <f t="shared" si="41"/>
        <v>0</v>
      </c>
      <c r="R59" s="2">
        <f>J59*1*O59</f>
        <v>49155</v>
      </c>
      <c r="S59" s="2">
        <f t="shared" si="37"/>
        <v>53709</v>
      </c>
      <c r="U59" s="4">
        <f t="shared" si="38"/>
        <v>24577.5</v>
      </c>
    </row>
    <row r="60" spans="1:21" x14ac:dyDescent="0.25">
      <c r="A60" s="13">
        <v>45</v>
      </c>
      <c r="B60" s="14" t="s">
        <v>27</v>
      </c>
      <c r="C60" s="15">
        <f t="shared" si="30"/>
        <v>23.65</v>
      </c>
      <c r="D60" s="16"/>
      <c r="E60" s="16"/>
      <c r="F60" s="17">
        <f t="shared" si="26"/>
        <v>23.65</v>
      </c>
      <c r="G60" s="17">
        <f t="shared" si="31"/>
        <v>0</v>
      </c>
      <c r="H60" s="17"/>
      <c r="I60" s="17">
        <f t="shared" si="27"/>
        <v>23.65</v>
      </c>
      <c r="J60" s="18">
        <v>0.45</v>
      </c>
      <c r="K60" s="17">
        <f t="shared" si="28"/>
        <v>10.6425</v>
      </c>
      <c r="L60" s="17">
        <f t="shared" si="29"/>
        <v>13.007499999999999</v>
      </c>
      <c r="M60" s="28"/>
      <c r="N60" s="2">
        <f t="shared" si="39"/>
        <v>0</v>
      </c>
      <c r="O60" s="2">
        <f t="shared" si="40"/>
        <v>0</v>
      </c>
      <c r="P60" s="2">
        <f>C60*J60</f>
        <v>10.6425</v>
      </c>
      <c r="Q60" s="2">
        <f t="shared" si="41"/>
        <v>0</v>
      </c>
      <c r="R60" s="2">
        <f t="shared" si="42"/>
        <v>0</v>
      </c>
      <c r="S60" s="2">
        <f t="shared" si="37"/>
        <v>10.6425</v>
      </c>
      <c r="U60" s="4">
        <f t="shared" si="38"/>
        <v>0</v>
      </c>
    </row>
    <row r="61" spans="1:21" x14ac:dyDescent="0.25">
      <c r="A61" s="13">
        <v>46</v>
      </c>
      <c r="B61" s="14" t="s">
        <v>28</v>
      </c>
      <c r="C61" s="15">
        <f t="shared" si="30"/>
        <v>0</v>
      </c>
      <c r="D61" s="16"/>
      <c r="E61" s="16"/>
      <c r="F61" s="17">
        <f t="shared" si="26"/>
        <v>0</v>
      </c>
      <c r="G61" s="17">
        <f t="shared" si="31"/>
        <v>0</v>
      </c>
      <c r="H61" s="17"/>
      <c r="I61" s="17">
        <f t="shared" si="27"/>
        <v>0</v>
      </c>
      <c r="J61" s="18">
        <v>0.3</v>
      </c>
      <c r="K61" s="17">
        <f t="shared" si="28"/>
        <v>0</v>
      </c>
      <c r="L61" s="17">
        <f t="shared" si="29"/>
        <v>0</v>
      </c>
      <c r="M61" s="28"/>
      <c r="N61" s="2">
        <f t="shared" si="39"/>
        <v>0</v>
      </c>
      <c r="O61" s="2">
        <f t="shared" si="40"/>
        <v>0</v>
      </c>
      <c r="P61" s="2">
        <f t="shared" ref="P61:P70" si="43">C61*J61</f>
        <v>0</v>
      </c>
      <c r="Q61" s="2">
        <f t="shared" si="41"/>
        <v>0</v>
      </c>
      <c r="R61" s="2">
        <f t="shared" si="42"/>
        <v>0</v>
      </c>
      <c r="S61" s="2">
        <f t="shared" si="37"/>
        <v>0</v>
      </c>
      <c r="U61" s="4">
        <f t="shared" si="38"/>
        <v>0</v>
      </c>
    </row>
    <row r="62" spans="1:21" x14ac:dyDescent="0.25">
      <c r="A62" s="13">
        <v>47</v>
      </c>
      <c r="B62" s="14" t="s">
        <v>7</v>
      </c>
      <c r="C62" s="15">
        <f t="shared" si="30"/>
        <v>9701302.0399999991</v>
      </c>
      <c r="D62" s="16">
        <v>1059343</v>
      </c>
      <c r="E62" s="16">
        <v>-4452</v>
      </c>
      <c r="F62" s="17">
        <f t="shared" si="26"/>
        <v>10756193.039999999</v>
      </c>
      <c r="G62" s="17">
        <f t="shared" si="31"/>
        <v>527445.5</v>
      </c>
      <c r="H62" s="17"/>
      <c r="I62" s="17">
        <f>+F62-G62</f>
        <v>10228747.539999999</v>
      </c>
      <c r="J62" s="18">
        <v>0.08</v>
      </c>
      <c r="K62" s="17">
        <f>IF(+I62&lt;0,+I62,+I62*J62)</f>
        <v>818299.80319999997</v>
      </c>
      <c r="L62" s="17">
        <f t="shared" si="29"/>
        <v>9937893.2368000001</v>
      </c>
      <c r="M62" s="28">
        <v>1</v>
      </c>
      <c r="N62" s="2"/>
      <c r="O62" s="2">
        <f>(D62+E62)*M62</f>
        <v>1054891</v>
      </c>
      <c r="P62" s="2">
        <f t="shared" si="43"/>
        <v>776104.16319999995</v>
      </c>
      <c r="Q62" s="2">
        <f>J62*0.5*N62</f>
        <v>0</v>
      </c>
      <c r="R62" s="2">
        <f>J62*1.5*O62</f>
        <v>126586.92</v>
      </c>
      <c r="S62" s="2">
        <f t="shared" si="37"/>
        <v>902691.08319999999</v>
      </c>
      <c r="U62" s="4">
        <f t="shared" si="38"/>
        <v>84391.280000000028</v>
      </c>
    </row>
    <row r="63" spans="1:21" x14ac:dyDescent="0.25">
      <c r="A63" s="13">
        <v>50</v>
      </c>
      <c r="B63" s="14" t="s">
        <v>8</v>
      </c>
      <c r="C63" s="15">
        <f t="shared" si="30"/>
        <v>16556.875</v>
      </c>
      <c r="D63" s="16">
        <v>30297</v>
      </c>
      <c r="E63" s="16"/>
      <c r="F63" s="17">
        <f t="shared" si="26"/>
        <v>46853.875</v>
      </c>
      <c r="G63" s="17">
        <f t="shared" si="31"/>
        <v>15148.5</v>
      </c>
      <c r="H63" s="17"/>
      <c r="I63" s="17">
        <f t="shared" ref="I63:I71" si="44">+F63-G63</f>
        <v>31705.375</v>
      </c>
      <c r="J63" s="18">
        <v>0.55000000000000004</v>
      </c>
      <c r="K63" s="17">
        <f t="shared" ref="K63:K71" si="45">IF(+I63&lt;0,+I63,+I63*J63)</f>
        <v>17437.956250000003</v>
      </c>
      <c r="L63" s="17">
        <f t="shared" si="29"/>
        <v>29415.918749999997</v>
      </c>
      <c r="M63" s="28">
        <v>1</v>
      </c>
      <c r="N63" s="2">
        <f t="shared" ref="N63:N70" si="46">D63-O63</f>
        <v>0</v>
      </c>
      <c r="O63" s="2">
        <f t="shared" si="40"/>
        <v>30297</v>
      </c>
      <c r="P63" s="2">
        <f t="shared" si="43"/>
        <v>9106.28125</v>
      </c>
      <c r="Q63" s="2">
        <f t="shared" ref="Q63:Q71" si="47">J63*0.5*N63</f>
        <v>0</v>
      </c>
      <c r="R63" s="2">
        <f t="shared" si="42"/>
        <v>24995.025000000001</v>
      </c>
      <c r="S63" s="2">
        <f t="shared" si="37"/>
        <v>34101.306250000001</v>
      </c>
      <c r="U63" s="4">
        <f t="shared" si="38"/>
        <v>16663.349999999999</v>
      </c>
    </row>
    <row r="64" spans="1:21" x14ac:dyDescent="0.25">
      <c r="A64" s="13">
        <v>43.2</v>
      </c>
      <c r="B64" s="14" t="s">
        <v>64</v>
      </c>
      <c r="C64" s="15">
        <f>L26</f>
        <v>395.54999999999995</v>
      </c>
      <c r="D64" s="16">
        <v>0</v>
      </c>
      <c r="E64" s="16"/>
      <c r="F64" s="17">
        <f t="shared" ref="F64" si="48">MAX((SUM(C64:E64)),0)</f>
        <v>395.54999999999995</v>
      </c>
      <c r="G64" s="17">
        <f t="shared" ref="G64" si="49">IF((D64+E64)&lt;=0, 0,(D64+E64)*0.5)</f>
        <v>0</v>
      </c>
      <c r="H64" s="17"/>
      <c r="I64" s="17">
        <f t="shared" ref="I64" si="50">+F64-G64</f>
        <v>395.54999999999995</v>
      </c>
      <c r="J64" s="18">
        <v>0.55000000000000004</v>
      </c>
      <c r="K64" s="17">
        <f t="shared" ref="K64" si="51">IF(+I64&lt;0,+I64,+I64*J64)</f>
        <v>217.55249999999998</v>
      </c>
      <c r="L64" s="17">
        <f t="shared" ref="L64" si="52">MAX(0,+F64-K64)</f>
        <v>177.99749999999997</v>
      </c>
      <c r="M64" s="28"/>
      <c r="N64" s="2"/>
      <c r="O64" s="2"/>
      <c r="P64" s="2"/>
      <c r="Q64" s="2"/>
      <c r="R64" s="2"/>
      <c r="S64" s="2"/>
      <c r="U64" s="4"/>
    </row>
    <row r="65" spans="1:21" x14ac:dyDescent="0.25">
      <c r="A65" s="13">
        <v>14.1</v>
      </c>
      <c r="B65" s="14" t="s">
        <v>65</v>
      </c>
      <c r="C65" s="15">
        <f t="shared" ref="C65:C69" si="53">L27</f>
        <v>126418.4</v>
      </c>
      <c r="D65" s="16"/>
      <c r="E65" s="16"/>
      <c r="F65" s="17">
        <f t="shared" ref="F65:F67" si="54">MAX((SUM(C65:E65)),0)</f>
        <v>126418.4</v>
      </c>
      <c r="G65" s="17">
        <f t="shared" si="31"/>
        <v>0</v>
      </c>
      <c r="H65" s="17"/>
      <c r="I65" s="17">
        <f t="shared" si="44"/>
        <v>126418.4</v>
      </c>
      <c r="J65" s="18">
        <v>0.05</v>
      </c>
      <c r="K65" s="17">
        <f t="shared" si="45"/>
        <v>6320.92</v>
      </c>
      <c r="L65" s="17">
        <f t="shared" si="29"/>
        <v>120097.48</v>
      </c>
      <c r="M65" s="28"/>
      <c r="N65" s="2"/>
      <c r="O65" s="2"/>
      <c r="P65" s="2"/>
      <c r="Q65" s="2"/>
      <c r="R65" s="2"/>
      <c r="S65" s="2"/>
      <c r="U65" s="4"/>
    </row>
    <row r="66" spans="1:21" x14ac:dyDescent="0.25">
      <c r="A66" s="13" t="s">
        <v>66</v>
      </c>
      <c r="B66" s="14"/>
      <c r="C66" s="15">
        <f t="shared" si="53"/>
        <v>6052.66</v>
      </c>
      <c r="D66" s="16"/>
      <c r="E66" s="16"/>
      <c r="F66" s="17">
        <f t="shared" si="54"/>
        <v>6052.66</v>
      </c>
      <c r="G66" s="17">
        <f t="shared" si="31"/>
        <v>0</v>
      </c>
      <c r="H66" s="17"/>
      <c r="I66" s="17">
        <f t="shared" si="44"/>
        <v>6052.66</v>
      </c>
      <c r="J66" s="18">
        <v>0.06</v>
      </c>
      <c r="K66" s="17">
        <f t="shared" si="45"/>
        <v>363.15959999999995</v>
      </c>
      <c r="L66" s="17">
        <f t="shared" si="29"/>
        <v>5689.5003999999999</v>
      </c>
      <c r="M66" s="28"/>
      <c r="N66" s="2"/>
      <c r="O66" s="2"/>
      <c r="P66" s="2"/>
      <c r="Q66" s="2"/>
      <c r="R66" s="2"/>
      <c r="S66" s="2"/>
      <c r="U66" s="4"/>
    </row>
    <row r="67" spans="1:21" x14ac:dyDescent="0.25">
      <c r="A67" s="13" t="s">
        <v>66</v>
      </c>
      <c r="B67" s="14" t="s">
        <v>67</v>
      </c>
      <c r="C67" s="15">
        <f t="shared" si="53"/>
        <v>67657.5</v>
      </c>
      <c r="D67" s="16">
        <v>35528</v>
      </c>
      <c r="E67" s="16"/>
      <c r="F67" s="17">
        <f t="shared" si="54"/>
        <v>103185.5</v>
      </c>
      <c r="G67" s="17">
        <f t="shared" si="31"/>
        <v>17764</v>
      </c>
      <c r="H67" s="17"/>
      <c r="I67" s="17">
        <f t="shared" si="44"/>
        <v>85421.5</v>
      </c>
      <c r="J67" s="18">
        <v>0.06</v>
      </c>
      <c r="K67" s="17">
        <f t="shared" si="45"/>
        <v>5125.29</v>
      </c>
      <c r="L67" s="17">
        <f t="shared" si="29"/>
        <v>98060.21</v>
      </c>
      <c r="M67" s="28"/>
      <c r="N67" s="2"/>
      <c r="O67" s="2"/>
      <c r="P67" s="2"/>
      <c r="Q67" s="2"/>
      <c r="R67" s="2"/>
      <c r="S67" s="2"/>
      <c r="U67" s="4"/>
    </row>
    <row r="68" spans="1:21" x14ac:dyDescent="0.25">
      <c r="A68" s="13"/>
      <c r="B68" s="14"/>
      <c r="C68" s="15"/>
      <c r="D68" s="16"/>
      <c r="E68" s="16"/>
      <c r="F68" s="17"/>
      <c r="G68" s="17"/>
      <c r="H68" s="17"/>
      <c r="I68" s="17"/>
      <c r="J68" s="18"/>
      <c r="K68" s="17"/>
      <c r="L68" s="17"/>
      <c r="M68" s="28"/>
      <c r="N68" s="2"/>
      <c r="O68" s="2"/>
      <c r="P68" s="2"/>
      <c r="Q68" s="2"/>
      <c r="R68" s="2"/>
      <c r="S68" s="2"/>
      <c r="U68" s="4"/>
    </row>
    <row r="69" spans="1:21" x14ac:dyDescent="0.25">
      <c r="A69" s="13"/>
      <c r="B69" s="14"/>
      <c r="C69" s="15">
        <f t="shared" si="53"/>
        <v>0</v>
      </c>
      <c r="D69" s="16"/>
      <c r="E69" s="16"/>
      <c r="F69" s="17"/>
      <c r="G69" s="17"/>
      <c r="H69" s="17"/>
      <c r="I69" s="17"/>
      <c r="J69" s="18"/>
      <c r="K69" s="17"/>
      <c r="L69" s="17"/>
      <c r="M69" s="28"/>
      <c r="N69" s="2"/>
      <c r="O69" s="2"/>
      <c r="P69" s="2"/>
      <c r="Q69" s="2"/>
      <c r="R69" s="2"/>
      <c r="S69" s="2"/>
      <c r="U69" s="4"/>
    </row>
    <row r="70" spans="1:21" x14ac:dyDescent="0.25">
      <c r="A70" s="13">
        <v>95</v>
      </c>
      <c r="B70" s="14" t="s">
        <v>29</v>
      </c>
      <c r="C70" s="15">
        <f>L30</f>
        <v>29360</v>
      </c>
      <c r="D70" s="16"/>
      <c r="E70" s="16"/>
      <c r="F70" s="17">
        <f t="shared" si="26"/>
        <v>29360</v>
      </c>
      <c r="G70" s="17">
        <f t="shared" si="31"/>
        <v>0</v>
      </c>
      <c r="H70" s="17"/>
      <c r="I70" s="17">
        <f t="shared" si="44"/>
        <v>29360</v>
      </c>
      <c r="J70" s="18">
        <v>0</v>
      </c>
      <c r="K70" s="17">
        <f t="shared" si="45"/>
        <v>0</v>
      </c>
      <c r="L70" s="17">
        <f t="shared" si="29"/>
        <v>29360</v>
      </c>
      <c r="M70" s="28"/>
      <c r="N70" s="2">
        <f t="shared" si="46"/>
        <v>0</v>
      </c>
      <c r="O70" s="2">
        <f t="shared" si="40"/>
        <v>0</v>
      </c>
      <c r="P70" s="2">
        <f t="shared" si="43"/>
        <v>0</v>
      </c>
      <c r="Q70" s="2">
        <f t="shared" si="47"/>
        <v>0</v>
      </c>
      <c r="R70" s="2">
        <f t="shared" si="42"/>
        <v>0</v>
      </c>
      <c r="S70" s="2">
        <f t="shared" si="37"/>
        <v>0</v>
      </c>
      <c r="U70" s="4">
        <f t="shared" si="38"/>
        <v>0</v>
      </c>
    </row>
    <row r="71" spans="1:21" ht="15.75" thickBot="1" x14ac:dyDescent="0.3">
      <c r="A71" s="19"/>
      <c r="B71" s="20"/>
      <c r="C71" s="21"/>
      <c r="D71" s="16"/>
      <c r="E71" s="16"/>
      <c r="F71" s="17">
        <f t="shared" si="26"/>
        <v>0</v>
      </c>
      <c r="G71" s="17">
        <f t="shared" si="31"/>
        <v>0</v>
      </c>
      <c r="H71" s="17"/>
      <c r="I71" s="17">
        <f t="shared" si="44"/>
        <v>0</v>
      </c>
      <c r="J71" s="18"/>
      <c r="K71" s="17">
        <f t="shared" si="45"/>
        <v>0</v>
      </c>
      <c r="L71" s="17">
        <f t="shared" si="29"/>
        <v>0</v>
      </c>
      <c r="M71" s="28"/>
      <c r="N71" s="2"/>
      <c r="O71" s="2"/>
      <c r="P71" s="2"/>
      <c r="Q71" s="2">
        <f t="shared" si="47"/>
        <v>0</v>
      </c>
      <c r="R71" s="2">
        <f t="shared" si="42"/>
        <v>0</v>
      </c>
      <c r="S71" s="2">
        <f t="shared" si="37"/>
        <v>0</v>
      </c>
      <c r="U71" s="4">
        <f t="shared" si="38"/>
        <v>0</v>
      </c>
    </row>
    <row r="72" spans="1:21" ht="15.75" thickBot="1" x14ac:dyDescent="0.3">
      <c r="A72" s="22"/>
      <c r="B72" s="23" t="s">
        <v>22</v>
      </c>
      <c r="C72" s="24">
        <f>SUM(C53:C71)</f>
        <v>18794223.244999997</v>
      </c>
      <c r="D72" s="24">
        <f>SUM(D53:D71)</f>
        <v>1230607</v>
      </c>
      <c r="E72" s="24">
        <f>SUM(E53:E71)</f>
        <v>-4452</v>
      </c>
      <c r="F72" s="24">
        <f>SUM(F53:F71)</f>
        <v>20020378.244999997</v>
      </c>
      <c r="G72" s="24">
        <f>SUM(G53:G71)</f>
        <v>613077.5</v>
      </c>
      <c r="H72" s="24"/>
      <c r="I72" s="24">
        <f>SUM(I53:I71)</f>
        <v>19407300.744999997</v>
      </c>
      <c r="J72" s="25"/>
      <c r="K72" s="26">
        <f>SUM(K53:K71)</f>
        <v>1359045.28785</v>
      </c>
      <c r="L72" s="26">
        <f>SUM(L53:L71)</f>
        <v>18661332.957150001</v>
      </c>
      <c r="M72" s="28"/>
      <c r="N72" s="27">
        <f t="shared" ref="N72:S72" si="55">SUM(N53:N71)</f>
        <v>0</v>
      </c>
      <c r="O72" s="27">
        <f t="shared" si="55"/>
        <v>1190627</v>
      </c>
      <c r="P72" s="27">
        <f t="shared" si="55"/>
        <v>1264644.0007499999</v>
      </c>
      <c r="Q72" s="27">
        <f t="shared" si="55"/>
        <v>0</v>
      </c>
      <c r="R72" s="27">
        <f t="shared" si="55"/>
        <v>222545.595</v>
      </c>
      <c r="S72" s="27">
        <f t="shared" si="55"/>
        <v>1487189.5957499999</v>
      </c>
      <c r="U72" s="4">
        <f>SUM(U53:U71)</f>
        <v>140171.23000000004</v>
      </c>
    </row>
    <row r="73" spans="1:21" x14ac:dyDescent="0.25">
      <c r="H73" s="33"/>
      <c r="K73" s="33" t="s">
        <v>52</v>
      </c>
    </row>
    <row r="74" spans="1:21" x14ac:dyDescent="0.25">
      <c r="J74" s="39" t="s">
        <v>69</v>
      </c>
      <c r="K74" s="1">
        <v>1497657</v>
      </c>
      <c r="L74" s="1"/>
    </row>
    <row r="75" spans="1:21" x14ac:dyDescent="0.25">
      <c r="K75" s="33" t="s">
        <v>53</v>
      </c>
    </row>
    <row r="77" spans="1:21" x14ac:dyDescent="0.25">
      <c r="F77" t="s">
        <v>9</v>
      </c>
      <c r="H77" s="4">
        <f>K74-K72</f>
        <v>138611.71215000004</v>
      </c>
      <c r="I77" s="34" t="s">
        <v>54</v>
      </c>
    </row>
    <row r="79" spans="1:21" x14ac:dyDescent="0.25">
      <c r="F79" t="s">
        <v>10</v>
      </c>
      <c r="G79" s="5">
        <v>0.155</v>
      </c>
      <c r="H79" s="1">
        <f>H77*G79</f>
        <v>21484.815383250007</v>
      </c>
      <c r="I79" s="35" t="s">
        <v>55</v>
      </c>
    </row>
    <row r="80" spans="1:21" x14ac:dyDescent="0.25">
      <c r="H80" s="1"/>
    </row>
    <row r="81" spans="1:12" x14ac:dyDescent="0.25">
      <c r="F81" t="s">
        <v>11</v>
      </c>
      <c r="H81" s="1">
        <f>H79/(1-G79)</f>
        <v>25425.817021597642</v>
      </c>
      <c r="I81" s="35" t="s">
        <v>56</v>
      </c>
    </row>
    <row r="83" spans="1:12" x14ac:dyDescent="0.25">
      <c r="F83" t="s">
        <v>36</v>
      </c>
      <c r="I83" s="4">
        <f>H81</f>
        <v>25425.817021597642</v>
      </c>
    </row>
    <row r="84" spans="1:12" x14ac:dyDescent="0.25">
      <c r="G84" t="s">
        <v>37</v>
      </c>
      <c r="J84" s="4">
        <f>-I83</f>
        <v>-25425.817021597642</v>
      </c>
    </row>
    <row r="87" spans="1:12" x14ac:dyDescent="0.25">
      <c r="A87" t="s">
        <v>72</v>
      </c>
    </row>
    <row r="88" spans="1:12" ht="20.25" x14ac:dyDescent="0.3">
      <c r="A88" s="6" t="s">
        <v>70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 ht="23.25" x14ac:dyDescent="0.35">
      <c r="A89" s="7" t="s">
        <v>71</v>
      </c>
      <c r="B89" s="3"/>
      <c r="C89" s="8"/>
      <c r="D89" s="7"/>
      <c r="E89" s="7"/>
      <c r="F89" s="7"/>
      <c r="G89" s="7"/>
      <c r="H89" s="7"/>
      <c r="I89" s="7"/>
      <c r="J89" s="7"/>
      <c r="K89" s="7"/>
      <c r="L89" s="7"/>
    </row>
    <row r="90" spans="1:12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t="48" x14ac:dyDescent="0.25">
      <c r="A91" s="9" t="s">
        <v>12</v>
      </c>
      <c r="B91" s="10" t="s">
        <v>13</v>
      </c>
      <c r="C91" s="11" t="s">
        <v>61</v>
      </c>
      <c r="D91" s="11" t="s">
        <v>0</v>
      </c>
      <c r="E91" s="11" t="s">
        <v>15</v>
      </c>
      <c r="F91" s="11" t="s">
        <v>16</v>
      </c>
      <c r="G91" s="11" t="s">
        <v>17</v>
      </c>
      <c r="H91" s="11"/>
      <c r="I91" s="11" t="s">
        <v>18</v>
      </c>
      <c r="J91" s="12" t="s">
        <v>19</v>
      </c>
      <c r="K91" s="11" t="s">
        <v>20</v>
      </c>
      <c r="L91" s="11" t="s">
        <v>21</v>
      </c>
    </row>
    <row r="92" spans="1:12" x14ac:dyDescent="0.25">
      <c r="A92" s="13">
        <v>1</v>
      </c>
      <c r="B92" s="14" t="s">
        <v>3</v>
      </c>
      <c r="C92" s="15">
        <f>L53</f>
        <v>7989425.9711999996</v>
      </c>
      <c r="D92" s="16"/>
      <c r="E92" s="16"/>
      <c r="F92" s="17">
        <f t="shared" ref="F92:F102" si="56">MAX((SUM(C92:E92)),0)</f>
        <v>7989425.9711999996</v>
      </c>
      <c r="G92" s="17">
        <f>IF((D92+E92)&lt;=0, 0,(D92+E92)*0.5)</f>
        <v>0</v>
      </c>
      <c r="H92" s="17"/>
      <c r="I92" s="17">
        <f t="shared" ref="I92:I100" si="57">+F92-G92</f>
        <v>7989425.9711999996</v>
      </c>
      <c r="J92" s="18">
        <v>0.04</v>
      </c>
      <c r="K92" s="17">
        <f>IF(+I92&lt;0,+I92,+I92*J92)</f>
        <v>319577.038848</v>
      </c>
      <c r="L92" s="17">
        <f t="shared" ref="L92:L106" si="58">MAX(0,+F92-K92)</f>
        <v>7669848.9323519999</v>
      </c>
    </row>
    <row r="93" spans="1:12" x14ac:dyDescent="0.25">
      <c r="A93" s="13" t="s">
        <v>23</v>
      </c>
      <c r="B93" s="14" t="s">
        <v>24</v>
      </c>
      <c r="C93" s="15">
        <f t="shared" ref="C93:C109" si="59">L54</f>
        <v>0</v>
      </c>
      <c r="D93" s="16"/>
      <c r="E93" s="16"/>
      <c r="F93" s="17">
        <f t="shared" si="56"/>
        <v>0</v>
      </c>
      <c r="G93" s="17">
        <f t="shared" ref="G93:G106" si="60">IF((D93+E93)&lt;=0, 0,(D93+E93)*0.5)</f>
        <v>0</v>
      </c>
      <c r="H93" s="17"/>
      <c r="I93" s="17">
        <f t="shared" si="57"/>
        <v>0</v>
      </c>
      <c r="J93" s="18">
        <v>0.06</v>
      </c>
      <c r="K93" s="17">
        <f t="shared" ref="K93:K100" si="61">IF(+I93&lt;0,+I93,+I93*J93)</f>
        <v>0</v>
      </c>
      <c r="L93" s="17">
        <f t="shared" si="58"/>
        <v>0</v>
      </c>
    </row>
    <row r="94" spans="1:12" x14ac:dyDescent="0.25">
      <c r="A94" s="13">
        <v>2</v>
      </c>
      <c r="B94" s="14" t="s">
        <v>25</v>
      </c>
      <c r="C94" s="15">
        <f t="shared" si="59"/>
        <v>0</v>
      </c>
      <c r="D94" s="16"/>
      <c r="E94" s="16"/>
      <c r="F94" s="17">
        <f t="shared" si="56"/>
        <v>0</v>
      </c>
      <c r="G94" s="17">
        <f t="shared" si="60"/>
        <v>0</v>
      </c>
      <c r="H94" s="17"/>
      <c r="I94" s="17">
        <f t="shared" si="57"/>
        <v>0</v>
      </c>
      <c r="J94" s="18">
        <v>0.06</v>
      </c>
      <c r="K94" s="17">
        <f t="shared" si="61"/>
        <v>0</v>
      </c>
      <c r="L94" s="17">
        <f t="shared" si="58"/>
        <v>0</v>
      </c>
    </row>
    <row r="95" spans="1:12" x14ac:dyDescent="0.25">
      <c r="A95" s="13">
        <v>8</v>
      </c>
      <c r="B95" s="14" t="s">
        <v>4</v>
      </c>
      <c r="C95" s="15">
        <f t="shared" si="59"/>
        <v>132306.82</v>
      </c>
      <c r="D95" s="16">
        <v>3769</v>
      </c>
      <c r="E95" s="16"/>
      <c r="F95" s="17">
        <f t="shared" si="56"/>
        <v>136075.82</v>
      </c>
      <c r="G95" s="17">
        <f t="shared" si="60"/>
        <v>1884.5</v>
      </c>
      <c r="H95" s="17"/>
      <c r="I95" s="17">
        <f t="shared" si="57"/>
        <v>134191.32</v>
      </c>
      <c r="J95" s="18">
        <v>0.2</v>
      </c>
      <c r="K95" s="17">
        <f t="shared" si="61"/>
        <v>26838.264000000003</v>
      </c>
      <c r="L95" s="17">
        <f t="shared" si="58"/>
        <v>109237.55600000001</v>
      </c>
    </row>
    <row r="96" spans="1:12" x14ac:dyDescent="0.25">
      <c r="A96" s="13">
        <v>10</v>
      </c>
      <c r="B96" s="14" t="s">
        <v>5</v>
      </c>
      <c r="C96" s="15">
        <f t="shared" si="59"/>
        <v>294315.315</v>
      </c>
      <c r="D96" s="16">
        <v>181741</v>
      </c>
      <c r="E96" s="16">
        <v>-18500</v>
      </c>
      <c r="F96" s="17">
        <f t="shared" si="56"/>
        <v>457556.315</v>
      </c>
      <c r="G96" s="17">
        <f t="shared" si="60"/>
        <v>81620.5</v>
      </c>
      <c r="H96" s="17"/>
      <c r="I96" s="17">
        <f t="shared" si="57"/>
        <v>375935.815</v>
      </c>
      <c r="J96" s="18">
        <v>0.3</v>
      </c>
      <c r="K96" s="17">
        <f t="shared" si="61"/>
        <v>112780.7445</v>
      </c>
      <c r="L96" s="17">
        <f t="shared" si="58"/>
        <v>344775.57050000003</v>
      </c>
    </row>
    <row r="97" spans="1:12" x14ac:dyDescent="0.25">
      <c r="A97" s="13">
        <v>10.1</v>
      </c>
      <c r="B97" s="14" t="s">
        <v>26</v>
      </c>
      <c r="C97" s="15">
        <f t="shared" si="59"/>
        <v>0</v>
      </c>
      <c r="D97" s="16"/>
      <c r="E97" s="16"/>
      <c r="F97" s="17">
        <f t="shared" si="56"/>
        <v>0</v>
      </c>
      <c r="G97" s="17">
        <f t="shared" si="60"/>
        <v>0</v>
      </c>
      <c r="H97" s="17"/>
      <c r="I97" s="17">
        <f t="shared" si="57"/>
        <v>0</v>
      </c>
      <c r="J97" s="18">
        <v>0.3</v>
      </c>
      <c r="K97" s="17">
        <f t="shared" si="61"/>
        <v>0</v>
      </c>
      <c r="L97" s="17">
        <f t="shared" si="58"/>
        <v>0</v>
      </c>
    </row>
    <row r="98" spans="1:12" x14ac:dyDescent="0.25">
      <c r="A98" s="13">
        <v>12</v>
      </c>
      <c r="B98" s="14" t="s">
        <v>6</v>
      </c>
      <c r="C98" s="15">
        <f t="shared" si="59"/>
        <v>24577.5</v>
      </c>
      <c r="D98" s="16">
        <v>21059</v>
      </c>
      <c r="E98" s="16"/>
      <c r="F98" s="17">
        <f t="shared" si="56"/>
        <v>45636.5</v>
      </c>
      <c r="G98" s="17">
        <f t="shared" si="60"/>
        <v>10529.5</v>
      </c>
      <c r="H98" s="17"/>
      <c r="I98" s="17">
        <f t="shared" si="57"/>
        <v>35107</v>
      </c>
      <c r="J98" s="18">
        <v>1</v>
      </c>
      <c r="K98" s="17">
        <f t="shared" si="61"/>
        <v>35107</v>
      </c>
      <c r="L98" s="17">
        <f t="shared" si="58"/>
        <v>10529.5</v>
      </c>
    </row>
    <row r="99" spans="1:12" x14ac:dyDescent="0.25">
      <c r="A99" s="13">
        <v>45</v>
      </c>
      <c r="B99" s="14" t="s">
        <v>27</v>
      </c>
      <c r="C99" s="15">
        <f t="shared" si="59"/>
        <v>13.007499999999999</v>
      </c>
      <c r="D99" s="16"/>
      <c r="E99" s="16"/>
      <c r="F99" s="17">
        <f t="shared" si="56"/>
        <v>13.007499999999999</v>
      </c>
      <c r="G99" s="17">
        <f t="shared" si="60"/>
        <v>0</v>
      </c>
      <c r="H99" s="17"/>
      <c r="I99" s="17">
        <f t="shared" si="57"/>
        <v>13.007499999999999</v>
      </c>
      <c r="J99" s="18">
        <v>0.45</v>
      </c>
      <c r="K99" s="17">
        <f t="shared" si="61"/>
        <v>5.8533749999999998</v>
      </c>
      <c r="L99" s="17">
        <f t="shared" si="58"/>
        <v>7.1541249999999987</v>
      </c>
    </row>
    <row r="100" spans="1:12" x14ac:dyDescent="0.25">
      <c r="A100" s="13">
        <v>46</v>
      </c>
      <c r="B100" s="14" t="s">
        <v>28</v>
      </c>
      <c r="C100" s="15">
        <f t="shared" si="59"/>
        <v>0</v>
      </c>
      <c r="D100" s="16"/>
      <c r="E100" s="16"/>
      <c r="F100" s="17">
        <f t="shared" si="56"/>
        <v>0</v>
      </c>
      <c r="G100" s="17">
        <f t="shared" si="60"/>
        <v>0</v>
      </c>
      <c r="H100" s="17"/>
      <c r="I100" s="17">
        <f t="shared" si="57"/>
        <v>0</v>
      </c>
      <c r="J100" s="18">
        <v>0.3</v>
      </c>
      <c r="K100" s="17">
        <f t="shared" si="61"/>
        <v>0</v>
      </c>
      <c r="L100" s="17">
        <f t="shared" si="58"/>
        <v>0</v>
      </c>
    </row>
    <row r="101" spans="1:12" x14ac:dyDescent="0.25">
      <c r="A101" s="13">
        <v>47</v>
      </c>
      <c r="B101" s="14" t="s">
        <v>7</v>
      </c>
      <c r="C101" s="15">
        <f t="shared" si="59"/>
        <v>9937893.2368000001</v>
      </c>
      <c r="D101" s="16">
        <v>1404435</v>
      </c>
      <c r="E101" s="16">
        <v>-3570</v>
      </c>
      <c r="F101" s="17">
        <f t="shared" si="56"/>
        <v>11338758.2368</v>
      </c>
      <c r="G101" s="17">
        <f t="shared" si="60"/>
        <v>700432.5</v>
      </c>
      <c r="H101" s="17"/>
      <c r="I101" s="17">
        <f>+F101-G101</f>
        <v>10638325.7368</v>
      </c>
      <c r="J101" s="18">
        <v>0.08</v>
      </c>
      <c r="K101" s="17">
        <f>IF(+I101&lt;0,+I101,+I101*J101)</f>
        <v>851066.05894400005</v>
      </c>
      <c r="L101" s="17">
        <f t="shared" si="58"/>
        <v>10487692.177856</v>
      </c>
    </row>
    <row r="102" spans="1:12" x14ac:dyDescent="0.25">
      <c r="A102" s="13">
        <v>50</v>
      </c>
      <c r="B102" s="14" t="s">
        <v>8</v>
      </c>
      <c r="C102" s="15">
        <f t="shared" si="59"/>
        <v>29415.918749999997</v>
      </c>
      <c r="D102" s="16">
        <v>44717</v>
      </c>
      <c r="E102" s="16"/>
      <c r="F102" s="17">
        <f t="shared" si="56"/>
        <v>74132.918749999997</v>
      </c>
      <c r="G102" s="17">
        <f t="shared" si="60"/>
        <v>22358.5</v>
      </c>
      <c r="H102" s="17"/>
      <c r="I102" s="17">
        <f t="shared" ref="I102:I106" si="62">+F102-G102</f>
        <v>51774.418749999997</v>
      </c>
      <c r="J102" s="18">
        <v>0.55000000000000004</v>
      </c>
      <c r="K102" s="17">
        <f t="shared" ref="K102:K106" si="63">IF(+I102&lt;0,+I102,+I102*J102)</f>
        <v>28475.930312500001</v>
      </c>
      <c r="L102" s="17">
        <f t="shared" si="58"/>
        <v>45656.988437499997</v>
      </c>
    </row>
    <row r="103" spans="1:12" x14ac:dyDescent="0.25">
      <c r="A103" s="13">
        <v>43.2</v>
      </c>
      <c r="B103" s="14" t="s">
        <v>64</v>
      </c>
      <c r="C103" s="15">
        <f t="shared" si="59"/>
        <v>177.99749999999997</v>
      </c>
      <c r="D103" s="16">
        <v>0</v>
      </c>
      <c r="E103" s="16"/>
      <c r="F103" s="17">
        <f t="shared" ref="F103" si="64">MAX((SUM(C103:E103)),0)</f>
        <v>177.99749999999997</v>
      </c>
      <c r="G103" s="17">
        <f t="shared" si="60"/>
        <v>0</v>
      </c>
      <c r="H103" s="17"/>
      <c r="I103" s="17">
        <f t="shared" si="62"/>
        <v>177.99749999999997</v>
      </c>
      <c r="J103" s="18">
        <v>0.55000000000000004</v>
      </c>
      <c r="K103" s="17">
        <f t="shared" si="63"/>
        <v>97.898624999999996</v>
      </c>
      <c r="L103" s="17">
        <f t="shared" si="58"/>
        <v>80.098874999999978</v>
      </c>
    </row>
    <row r="104" spans="1:12" x14ac:dyDescent="0.25">
      <c r="A104" s="13">
        <v>14.1</v>
      </c>
      <c r="B104" s="14" t="s">
        <v>65</v>
      </c>
      <c r="C104" s="15">
        <f t="shared" si="59"/>
        <v>120097.48</v>
      </c>
      <c r="D104" s="16"/>
      <c r="E104" s="16"/>
      <c r="F104" s="17">
        <f t="shared" ref="F104:F106" si="65">MAX((SUM(C104:E104)),0)</f>
        <v>120097.48</v>
      </c>
      <c r="G104" s="17">
        <f t="shared" si="60"/>
        <v>0</v>
      </c>
      <c r="H104" s="17"/>
      <c r="I104" s="17">
        <f t="shared" si="62"/>
        <v>120097.48</v>
      </c>
      <c r="J104" s="18">
        <v>0.05</v>
      </c>
      <c r="K104" s="17">
        <f t="shared" si="63"/>
        <v>6004.8739999999998</v>
      </c>
      <c r="L104" s="17">
        <f t="shared" si="58"/>
        <v>114092.606</v>
      </c>
    </row>
    <row r="105" spans="1:12" x14ac:dyDescent="0.25">
      <c r="A105" s="13" t="s">
        <v>66</v>
      </c>
      <c r="B105" s="14"/>
      <c r="C105" s="15">
        <f t="shared" si="59"/>
        <v>5689.5003999999999</v>
      </c>
      <c r="D105" s="16"/>
      <c r="E105" s="16"/>
      <c r="F105" s="17">
        <f t="shared" si="65"/>
        <v>5689.5003999999999</v>
      </c>
      <c r="G105" s="17">
        <f t="shared" si="60"/>
        <v>0</v>
      </c>
      <c r="H105" s="17"/>
      <c r="I105" s="17">
        <f t="shared" si="62"/>
        <v>5689.5003999999999</v>
      </c>
      <c r="J105" s="18">
        <v>0.06</v>
      </c>
      <c r="K105" s="17">
        <f t="shared" si="63"/>
        <v>341.370024</v>
      </c>
      <c r="L105" s="17">
        <f t="shared" si="58"/>
        <v>5348.1303760000001</v>
      </c>
    </row>
    <row r="106" spans="1:12" x14ac:dyDescent="0.25">
      <c r="A106" s="13" t="s">
        <v>66</v>
      </c>
      <c r="B106" s="14" t="s">
        <v>67</v>
      </c>
      <c r="C106" s="15">
        <f t="shared" si="59"/>
        <v>98060.21</v>
      </c>
      <c r="D106" s="16">
        <v>25149</v>
      </c>
      <c r="E106" s="16"/>
      <c r="F106" s="17">
        <f t="shared" si="65"/>
        <v>123209.21</v>
      </c>
      <c r="G106" s="17">
        <f t="shared" si="60"/>
        <v>12574.5</v>
      </c>
      <c r="H106" s="17"/>
      <c r="I106" s="17">
        <f t="shared" si="62"/>
        <v>110634.71</v>
      </c>
      <c r="J106" s="18">
        <v>0.06</v>
      </c>
      <c r="K106" s="17">
        <f t="shared" si="63"/>
        <v>6638.0825999999997</v>
      </c>
      <c r="L106" s="17">
        <f t="shared" si="58"/>
        <v>116571.12740000001</v>
      </c>
    </row>
    <row r="107" spans="1:12" x14ac:dyDescent="0.25">
      <c r="A107" s="13"/>
      <c r="B107" s="14"/>
      <c r="C107" s="15">
        <f t="shared" si="59"/>
        <v>0</v>
      </c>
      <c r="D107" s="16"/>
      <c r="E107" s="16"/>
      <c r="F107" s="17"/>
      <c r="G107" s="17"/>
      <c r="H107" s="17"/>
      <c r="I107" s="17"/>
      <c r="J107" s="18"/>
      <c r="K107" s="17"/>
      <c r="L107" s="17"/>
    </row>
    <row r="108" spans="1:12" x14ac:dyDescent="0.25">
      <c r="A108" s="13"/>
      <c r="B108" s="14"/>
      <c r="C108" s="15">
        <f t="shared" si="59"/>
        <v>0</v>
      </c>
      <c r="D108" s="16"/>
      <c r="E108" s="16"/>
      <c r="F108" s="17"/>
      <c r="G108" s="17"/>
      <c r="H108" s="17"/>
      <c r="I108" s="17"/>
      <c r="J108" s="18"/>
      <c r="K108" s="17"/>
      <c r="L108" s="17"/>
    </row>
    <row r="109" spans="1:12" x14ac:dyDescent="0.25">
      <c r="A109" s="13">
        <v>95</v>
      </c>
      <c r="B109" s="14" t="s">
        <v>29</v>
      </c>
      <c r="C109" s="15">
        <f t="shared" si="59"/>
        <v>29360</v>
      </c>
      <c r="D109" s="16"/>
      <c r="E109" s="16"/>
      <c r="F109" s="17">
        <f t="shared" ref="F109:F110" si="66">MAX((SUM(C109:E109)),0)</f>
        <v>29360</v>
      </c>
      <c r="G109" s="17">
        <f t="shared" ref="G109:G110" si="67">IF((D109+E109)&lt;=0, 0,(D109+E109)*0.5)</f>
        <v>0</v>
      </c>
      <c r="H109" s="17"/>
      <c r="I109" s="17">
        <f t="shared" ref="I109:I110" si="68">+F109-G109</f>
        <v>29360</v>
      </c>
      <c r="J109" s="18">
        <v>0</v>
      </c>
      <c r="K109" s="17">
        <f t="shared" ref="K109:K110" si="69">IF(+I109&lt;0,+I109,+I109*J109)</f>
        <v>0</v>
      </c>
      <c r="L109" s="17">
        <f t="shared" ref="L109:L110" si="70">MAX(0,+F109-K109)</f>
        <v>29360</v>
      </c>
    </row>
    <row r="110" spans="1:12" ht="15.75" thickBot="1" x14ac:dyDescent="0.3">
      <c r="A110" s="19"/>
      <c r="B110" s="20"/>
      <c r="C110" s="21"/>
      <c r="D110" s="16"/>
      <c r="E110" s="16"/>
      <c r="F110" s="17">
        <f t="shared" si="66"/>
        <v>0</v>
      </c>
      <c r="G110" s="17">
        <f t="shared" si="67"/>
        <v>0</v>
      </c>
      <c r="H110" s="17"/>
      <c r="I110" s="17">
        <f t="shared" si="68"/>
        <v>0</v>
      </c>
      <c r="J110" s="18"/>
      <c r="K110" s="17">
        <f t="shared" si="69"/>
        <v>0</v>
      </c>
      <c r="L110" s="17">
        <f t="shared" si="70"/>
        <v>0</v>
      </c>
    </row>
    <row r="111" spans="1:12" ht="15.75" thickBot="1" x14ac:dyDescent="0.3">
      <c r="A111" s="22"/>
      <c r="B111" s="23" t="s">
        <v>22</v>
      </c>
      <c r="C111" s="24">
        <f>SUM(C92:C110)</f>
        <v>18661332.957150001</v>
      </c>
      <c r="D111" s="24">
        <f>SUM(D92:D110)</f>
        <v>1680870</v>
      </c>
      <c r="E111" s="24">
        <f>SUM(E92:E110)</f>
        <v>-22070</v>
      </c>
      <c r="F111" s="24">
        <f>SUM(F92:F110)</f>
        <v>20320132.957150001</v>
      </c>
      <c r="G111" s="24">
        <f>SUM(G92:G110)</f>
        <v>829400</v>
      </c>
      <c r="H111" s="24"/>
      <c r="I111" s="24">
        <f>SUM(I92:I110)</f>
        <v>19490732.957150001</v>
      </c>
      <c r="J111" s="25"/>
      <c r="K111" s="26">
        <f>SUM(K92:K110)</f>
        <v>1386933.1152285002</v>
      </c>
      <c r="L111" s="26">
        <f>SUM(L92:L110)</f>
        <v>18933199.841921501</v>
      </c>
    </row>
    <row r="112" spans="1:12" x14ac:dyDescent="0.25">
      <c r="H112" s="33"/>
      <c r="K112" s="33" t="s">
        <v>52</v>
      </c>
    </row>
    <row r="113" spans="1:12" x14ac:dyDescent="0.25">
      <c r="J113" s="39" t="s">
        <v>69</v>
      </c>
      <c r="K113" s="1">
        <v>1538071</v>
      </c>
      <c r="L113" s="1"/>
    </row>
    <row r="114" spans="1:12" x14ac:dyDescent="0.25">
      <c r="K114" s="33" t="s">
        <v>53</v>
      </c>
    </row>
    <row r="116" spans="1:12" x14ac:dyDescent="0.25">
      <c r="F116" t="s">
        <v>9</v>
      </c>
      <c r="H116" s="4">
        <f>K113-K111</f>
        <v>151137.88477149978</v>
      </c>
      <c r="I116" s="34" t="s">
        <v>54</v>
      </c>
    </row>
    <row r="118" spans="1:12" x14ac:dyDescent="0.25">
      <c r="F118" t="s">
        <v>10</v>
      </c>
      <c r="G118" s="5">
        <v>0.155</v>
      </c>
      <c r="H118" s="1">
        <f>H116*G118</f>
        <v>23426.372139582465</v>
      </c>
      <c r="I118" s="35" t="s">
        <v>55</v>
      </c>
    </row>
    <row r="119" spans="1:12" x14ac:dyDescent="0.25">
      <c r="H119" s="1"/>
    </row>
    <row r="120" spans="1:12" x14ac:dyDescent="0.25">
      <c r="F120" t="s">
        <v>11</v>
      </c>
      <c r="H120" s="1">
        <f>H118/(1-G118)</f>
        <v>27723.517324949662</v>
      </c>
      <c r="I120" s="35" t="s">
        <v>56</v>
      </c>
    </row>
    <row r="122" spans="1:12" x14ac:dyDescent="0.25">
      <c r="F122" t="s">
        <v>36</v>
      </c>
      <c r="I122" s="4">
        <f>H120</f>
        <v>27723.517324949662</v>
      </c>
    </row>
    <row r="123" spans="1:12" x14ac:dyDescent="0.25">
      <c r="G123" t="s">
        <v>37</v>
      </c>
      <c r="J123" s="4">
        <f>-I122</f>
        <v>-27723.517324949662</v>
      </c>
    </row>
    <row r="126" spans="1:12" x14ac:dyDescent="0.25">
      <c r="A126" t="s">
        <v>77</v>
      </c>
    </row>
    <row r="127" spans="1:12" ht="20.25" x14ac:dyDescent="0.3">
      <c r="A127" s="6" t="s">
        <v>70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1:12" ht="23.25" x14ac:dyDescent="0.35">
      <c r="A128" s="7" t="s">
        <v>71</v>
      </c>
      <c r="B128" s="3"/>
      <c r="C128" s="8"/>
      <c r="D128" s="7"/>
      <c r="E128" s="7"/>
      <c r="F128" s="7"/>
      <c r="G128" s="7"/>
      <c r="H128" s="7"/>
      <c r="I128" s="7"/>
      <c r="J128" s="7"/>
      <c r="K128" s="7"/>
      <c r="L128" s="7"/>
    </row>
    <row r="129" spans="1:12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</row>
    <row r="130" spans="1:12" ht="48" x14ac:dyDescent="0.25">
      <c r="A130" s="9" t="s">
        <v>12</v>
      </c>
      <c r="B130" s="10" t="s">
        <v>13</v>
      </c>
      <c r="C130" s="11" t="s">
        <v>61</v>
      </c>
      <c r="D130" s="11" t="s">
        <v>0</v>
      </c>
      <c r="E130" s="11" t="s">
        <v>15</v>
      </c>
      <c r="F130" s="11" t="s">
        <v>16</v>
      </c>
      <c r="G130" s="11" t="s">
        <v>17</v>
      </c>
      <c r="H130" s="11"/>
      <c r="I130" s="11" t="s">
        <v>18</v>
      </c>
      <c r="J130" s="12" t="s">
        <v>19</v>
      </c>
      <c r="K130" s="11" t="s">
        <v>20</v>
      </c>
      <c r="L130" s="11" t="s">
        <v>21</v>
      </c>
    </row>
    <row r="131" spans="1:12" x14ac:dyDescent="0.25">
      <c r="A131" s="13">
        <v>1</v>
      </c>
      <c r="B131" s="14" t="s">
        <v>3</v>
      </c>
      <c r="C131" s="15">
        <f>L92</f>
        <v>7669848.9323519999</v>
      </c>
      <c r="D131" s="16"/>
      <c r="E131" s="16"/>
      <c r="F131" s="17">
        <f t="shared" ref="F131:F141" si="71">MAX((SUM(C131:E131)),0)</f>
        <v>7669848.9323519999</v>
      </c>
      <c r="G131" s="17">
        <f>IF((D131+E131)&lt;=0, 0,(D131+E131)*0.5)</f>
        <v>0</v>
      </c>
      <c r="H131" s="17"/>
      <c r="I131" s="17">
        <f t="shared" ref="I131:I139" si="72">+F131-G131</f>
        <v>7669848.9323519999</v>
      </c>
      <c r="J131" s="18">
        <v>0.04</v>
      </c>
      <c r="K131" s="17">
        <f t="shared" ref="K131:K139" si="73">IF(+I131&lt;0,+I131,+I131*J131)</f>
        <v>306793.95729408</v>
      </c>
      <c r="L131" s="17">
        <f t="shared" ref="L131:L145" si="74">MAX(0,+F131-K131)</f>
        <v>7363054.9750579195</v>
      </c>
    </row>
    <row r="132" spans="1:12" x14ac:dyDescent="0.25">
      <c r="A132" s="13" t="s">
        <v>23</v>
      </c>
      <c r="B132" s="14" t="s">
        <v>24</v>
      </c>
      <c r="C132" s="15">
        <f t="shared" ref="C132:C147" si="75">L93</f>
        <v>0</v>
      </c>
      <c r="D132" s="16"/>
      <c r="E132" s="16"/>
      <c r="F132" s="17">
        <f t="shared" si="71"/>
        <v>0</v>
      </c>
      <c r="G132" s="17">
        <f t="shared" ref="G132:G145" si="76">IF((D132+E132)&lt;=0, 0,(D132+E132)*0.5)</f>
        <v>0</v>
      </c>
      <c r="H132" s="17"/>
      <c r="I132" s="17">
        <f t="shared" si="72"/>
        <v>0</v>
      </c>
      <c r="J132" s="18">
        <v>0.06</v>
      </c>
      <c r="K132" s="17">
        <f t="shared" si="73"/>
        <v>0</v>
      </c>
      <c r="L132" s="17">
        <f t="shared" si="74"/>
        <v>0</v>
      </c>
    </row>
    <row r="133" spans="1:12" x14ac:dyDescent="0.25">
      <c r="A133" s="13">
        <v>2</v>
      </c>
      <c r="B133" s="14" t="s">
        <v>25</v>
      </c>
      <c r="C133" s="15">
        <f t="shared" si="75"/>
        <v>0</v>
      </c>
      <c r="D133" s="16"/>
      <c r="E133" s="16"/>
      <c r="F133" s="17">
        <f t="shared" si="71"/>
        <v>0</v>
      </c>
      <c r="G133" s="17">
        <f t="shared" si="76"/>
        <v>0</v>
      </c>
      <c r="H133" s="17"/>
      <c r="I133" s="17">
        <f t="shared" si="72"/>
        <v>0</v>
      </c>
      <c r="J133" s="18">
        <v>0.06</v>
      </c>
      <c r="K133" s="17">
        <f t="shared" si="73"/>
        <v>0</v>
      </c>
      <c r="L133" s="17">
        <f t="shared" si="74"/>
        <v>0</v>
      </c>
    </row>
    <row r="134" spans="1:12" x14ac:dyDescent="0.25">
      <c r="A134" s="13">
        <v>8</v>
      </c>
      <c r="B134" s="14" t="s">
        <v>4</v>
      </c>
      <c r="C134" s="15">
        <f t="shared" si="75"/>
        <v>109237.55600000001</v>
      </c>
      <c r="D134" s="16">
        <v>8696</v>
      </c>
      <c r="E134" s="16"/>
      <c r="F134" s="17">
        <f t="shared" si="71"/>
        <v>117933.55600000001</v>
      </c>
      <c r="G134" s="17">
        <f t="shared" si="76"/>
        <v>4348</v>
      </c>
      <c r="H134" s="17"/>
      <c r="I134" s="17">
        <f t="shared" si="72"/>
        <v>113585.55600000001</v>
      </c>
      <c r="J134" s="18">
        <v>0.2</v>
      </c>
      <c r="K134" s="17">
        <f t="shared" si="73"/>
        <v>22717.111200000003</v>
      </c>
      <c r="L134" s="17">
        <f t="shared" si="74"/>
        <v>95216.444800000012</v>
      </c>
    </row>
    <row r="135" spans="1:12" x14ac:dyDescent="0.25">
      <c r="A135" s="13">
        <v>10</v>
      </c>
      <c r="B135" s="14" t="s">
        <v>5</v>
      </c>
      <c r="C135" s="15">
        <f t="shared" si="75"/>
        <v>344775.57050000003</v>
      </c>
      <c r="D135" s="16">
        <v>0</v>
      </c>
      <c r="E135" s="16">
        <v>-18500</v>
      </c>
      <c r="F135" s="17">
        <f t="shared" si="71"/>
        <v>326275.57050000003</v>
      </c>
      <c r="G135" s="17">
        <f t="shared" si="76"/>
        <v>0</v>
      </c>
      <c r="H135" s="17"/>
      <c r="I135" s="17">
        <f t="shared" si="72"/>
        <v>326275.57050000003</v>
      </c>
      <c r="J135" s="18">
        <v>0.3</v>
      </c>
      <c r="K135" s="17">
        <f t="shared" si="73"/>
        <v>97882.671150000009</v>
      </c>
      <c r="L135" s="17">
        <f t="shared" si="74"/>
        <v>228392.89935000002</v>
      </c>
    </row>
    <row r="136" spans="1:12" x14ac:dyDescent="0.25">
      <c r="A136" s="13">
        <v>10.1</v>
      </c>
      <c r="B136" s="14" t="s">
        <v>26</v>
      </c>
      <c r="C136" s="15">
        <f t="shared" si="75"/>
        <v>0</v>
      </c>
      <c r="D136" s="16"/>
      <c r="E136" s="16"/>
      <c r="F136" s="17">
        <f t="shared" si="71"/>
        <v>0</v>
      </c>
      <c r="G136" s="17">
        <f t="shared" si="76"/>
        <v>0</v>
      </c>
      <c r="H136" s="17"/>
      <c r="I136" s="17">
        <f t="shared" si="72"/>
        <v>0</v>
      </c>
      <c r="J136" s="18">
        <v>0.3</v>
      </c>
      <c r="K136" s="17">
        <f t="shared" si="73"/>
        <v>0</v>
      </c>
      <c r="L136" s="17">
        <f t="shared" si="74"/>
        <v>0</v>
      </c>
    </row>
    <row r="137" spans="1:12" x14ac:dyDescent="0.25">
      <c r="A137" s="13">
        <v>12</v>
      </c>
      <c r="B137" s="14" t="s">
        <v>6</v>
      </c>
      <c r="C137" s="15">
        <f t="shared" si="75"/>
        <v>10529.5</v>
      </c>
      <c r="D137" s="16">
        <v>22675</v>
      </c>
      <c r="E137" s="16"/>
      <c r="F137" s="17">
        <f t="shared" si="71"/>
        <v>33204.5</v>
      </c>
      <c r="G137" s="17">
        <f t="shared" si="76"/>
        <v>11337.5</v>
      </c>
      <c r="H137" s="17"/>
      <c r="I137" s="17">
        <f t="shared" si="72"/>
        <v>21867</v>
      </c>
      <c r="J137" s="18">
        <v>1</v>
      </c>
      <c r="K137" s="17">
        <f t="shared" si="73"/>
        <v>21867</v>
      </c>
      <c r="L137" s="17">
        <f t="shared" si="74"/>
        <v>11337.5</v>
      </c>
    </row>
    <row r="138" spans="1:12" x14ac:dyDescent="0.25">
      <c r="A138" s="13">
        <v>45</v>
      </c>
      <c r="B138" s="14" t="s">
        <v>27</v>
      </c>
      <c r="C138" s="15">
        <f t="shared" si="75"/>
        <v>7.1541249999999987</v>
      </c>
      <c r="D138" s="16"/>
      <c r="E138" s="16"/>
      <c r="F138" s="17">
        <f t="shared" si="71"/>
        <v>7.1541249999999987</v>
      </c>
      <c r="G138" s="17">
        <f t="shared" si="76"/>
        <v>0</v>
      </c>
      <c r="H138" s="17"/>
      <c r="I138" s="17">
        <f t="shared" si="72"/>
        <v>7.1541249999999987</v>
      </c>
      <c r="J138" s="18">
        <v>0.45</v>
      </c>
      <c r="K138" s="17">
        <f t="shared" si="73"/>
        <v>3.2193562499999997</v>
      </c>
      <c r="L138" s="17">
        <f t="shared" si="74"/>
        <v>3.934768749999999</v>
      </c>
    </row>
    <row r="139" spans="1:12" x14ac:dyDescent="0.25">
      <c r="A139" s="13">
        <v>46</v>
      </c>
      <c r="B139" s="14" t="s">
        <v>28</v>
      </c>
      <c r="C139" s="15">
        <f t="shared" si="75"/>
        <v>0</v>
      </c>
      <c r="D139" s="16"/>
      <c r="E139" s="16"/>
      <c r="F139" s="17">
        <f t="shared" si="71"/>
        <v>0</v>
      </c>
      <c r="G139" s="17">
        <f t="shared" si="76"/>
        <v>0</v>
      </c>
      <c r="H139" s="17"/>
      <c r="I139" s="17">
        <f t="shared" si="72"/>
        <v>0</v>
      </c>
      <c r="J139" s="18">
        <v>0.3</v>
      </c>
      <c r="K139" s="17">
        <f t="shared" si="73"/>
        <v>0</v>
      </c>
      <c r="L139" s="17">
        <f t="shared" si="74"/>
        <v>0</v>
      </c>
    </row>
    <row r="140" spans="1:12" x14ac:dyDescent="0.25">
      <c r="A140" s="13">
        <v>47</v>
      </c>
      <c r="B140" s="14" t="s">
        <v>7</v>
      </c>
      <c r="C140" s="15">
        <f t="shared" si="75"/>
        <v>10487692.177856</v>
      </c>
      <c r="D140" s="16">
        <v>1842794</v>
      </c>
      <c r="E140" s="16">
        <v>-3570</v>
      </c>
      <c r="F140" s="17">
        <f t="shared" si="71"/>
        <v>12326916.177856</v>
      </c>
      <c r="G140" s="17">
        <f t="shared" si="76"/>
        <v>919612</v>
      </c>
      <c r="H140" s="17"/>
      <c r="I140" s="17">
        <f>+F140-G140</f>
        <v>11407304.177856</v>
      </c>
      <c r="J140" s="18">
        <v>0.08</v>
      </c>
      <c r="K140" s="17">
        <f>IF(+I140&lt;0,+I140,+I140*J140)</f>
        <v>912584.33422848</v>
      </c>
      <c r="L140" s="17">
        <f t="shared" si="74"/>
        <v>11414331.84362752</v>
      </c>
    </row>
    <row r="141" spans="1:12" x14ac:dyDescent="0.25">
      <c r="A141" s="13">
        <v>50</v>
      </c>
      <c r="B141" s="14" t="s">
        <v>8</v>
      </c>
      <c r="C141" s="15">
        <f t="shared" si="75"/>
        <v>45656.988437499997</v>
      </c>
      <c r="D141" s="16">
        <v>29188</v>
      </c>
      <c r="E141" s="16"/>
      <c r="F141" s="17">
        <f t="shared" si="71"/>
        <v>74844.988437499997</v>
      </c>
      <c r="G141" s="17">
        <f t="shared" si="76"/>
        <v>14594</v>
      </c>
      <c r="H141" s="17"/>
      <c r="I141" s="17">
        <f t="shared" ref="I141:I145" si="77">+F141-G141</f>
        <v>60250.988437499997</v>
      </c>
      <c r="J141" s="18">
        <v>0.55000000000000004</v>
      </c>
      <c r="K141" s="17">
        <f t="shared" ref="K141:K145" si="78">IF(+I141&lt;0,+I141,+I141*J141)</f>
        <v>33138.043640625001</v>
      </c>
      <c r="L141" s="17">
        <f t="shared" si="74"/>
        <v>41706.944796874996</v>
      </c>
    </row>
    <row r="142" spans="1:12" x14ac:dyDescent="0.25">
      <c r="A142" s="13">
        <v>43.2</v>
      </c>
      <c r="B142" s="14" t="s">
        <v>64</v>
      </c>
      <c r="C142" s="15">
        <f t="shared" si="75"/>
        <v>80.098874999999978</v>
      </c>
      <c r="D142" s="16">
        <v>7110</v>
      </c>
      <c r="E142" s="16"/>
      <c r="F142" s="17">
        <f t="shared" ref="F142" si="79">MAX((SUM(C142:E142)),0)</f>
        <v>7190.0988749999997</v>
      </c>
      <c r="G142" s="17">
        <f t="shared" si="76"/>
        <v>3555</v>
      </c>
      <c r="H142" s="17"/>
      <c r="I142" s="17">
        <f t="shared" si="77"/>
        <v>3635.0988749999997</v>
      </c>
      <c r="J142" s="18">
        <v>0.55000000000000004</v>
      </c>
      <c r="K142" s="17">
        <f t="shared" si="78"/>
        <v>1999.30438125</v>
      </c>
      <c r="L142" s="17">
        <f t="shared" si="74"/>
        <v>5190.7944937499997</v>
      </c>
    </row>
    <row r="143" spans="1:12" x14ac:dyDescent="0.25">
      <c r="A143" s="13">
        <v>14.1</v>
      </c>
      <c r="B143" s="14" t="s">
        <v>65</v>
      </c>
      <c r="C143" s="15">
        <f t="shared" si="75"/>
        <v>114092.606</v>
      </c>
      <c r="D143" s="16"/>
      <c r="E143" s="16"/>
      <c r="F143" s="17">
        <f t="shared" ref="F143:F145" si="80">MAX((SUM(C143:E143)),0)</f>
        <v>114092.606</v>
      </c>
      <c r="G143" s="17">
        <f t="shared" si="76"/>
        <v>0</v>
      </c>
      <c r="H143" s="17"/>
      <c r="I143" s="17">
        <f t="shared" si="77"/>
        <v>114092.606</v>
      </c>
      <c r="J143" s="18">
        <v>0.05</v>
      </c>
      <c r="K143" s="17">
        <f t="shared" si="78"/>
        <v>5704.6303000000007</v>
      </c>
      <c r="L143" s="17">
        <f t="shared" si="74"/>
        <v>108387.9757</v>
      </c>
    </row>
    <row r="144" spans="1:12" x14ac:dyDescent="0.25">
      <c r="A144" s="13" t="s">
        <v>66</v>
      </c>
      <c r="B144" s="14"/>
      <c r="C144" s="15">
        <f t="shared" si="75"/>
        <v>5348.1303760000001</v>
      </c>
      <c r="D144" s="16"/>
      <c r="E144" s="16"/>
      <c r="F144" s="17">
        <f t="shared" si="80"/>
        <v>5348.1303760000001</v>
      </c>
      <c r="G144" s="17">
        <f t="shared" si="76"/>
        <v>0</v>
      </c>
      <c r="H144" s="17"/>
      <c r="I144" s="17">
        <f t="shared" si="77"/>
        <v>5348.1303760000001</v>
      </c>
      <c r="J144" s="18">
        <v>0.06</v>
      </c>
      <c r="K144" s="17">
        <f t="shared" si="78"/>
        <v>320.88782256000002</v>
      </c>
      <c r="L144" s="17">
        <f t="shared" si="74"/>
        <v>5027.2425534399999</v>
      </c>
    </row>
    <row r="145" spans="1:12" x14ac:dyDescent="0.25">
      <c r="A145" s="13" t="s">
        <v>66</v>
      </c>
      <c r="B145" s="14" t="s">
        <v>67</v>
      </c>
      <c r="C145" s="15">
        <f t="shared" si="75"/>
        <v>116571.12740000001</v>
      </c>
      <c r="D145" s="16">
        <v>5633</v>
      </c>
      <c r="E145" s="16"/>
      <c r="F145" s="17">
        <f t="shared" si="80"/>
        <v>122204.12740000001</v>
      </c>
      <c r="G145" s="17">
        <f t="shared" si="76"/>
        <v>2816.5</v>
      </c>
      <c r="H145" s="17"/>
      <c r="I145" s="17">
        <f t="shared" si="77"/>
        <v>119387.62740000001</v>
      </c>
      <c r="J145" s="18">
        <v>0.06</v>
      </c>
      <c r="K145" s="17">
        <f t="shared" si="78"/>
        <v>7163.2576440000003</v>
      </c>
      <c r="L145" s="17">
        <f t="shared" si="74"/>
        <v>115040.86975600001</v>
      </c>
    </row>
    <row r="146" spans="1:12" x14ac:dyDescent="0.25">
      <c r="A146" s="13"/>
      <c r="B146" s="14"/>
      <c r="C146" s="15">
        <f t="shared" si="75"/>
        <v>0</v>
      </c>
      <c r="D146" s="16"/>
      <c r="E146" s="16"/>
      <c r="F146" s="17"/>
      <c r="G146" s="17"/>
      <c r="H146" s="17"/>
      <c r="I146" s="17"/>
      <c r="J146" s="18"/>
      <c r="K146" s="17"/>
      <c r="L146" s="17"/>
    </row>
    <row r="147" spans="1:12" x14ac:dyDescent="0.25">
      <c r="A147" s="13"/>
      <c r="B147" s="14"/>
      <c r="C147" s="15">
        <f t="shared" si="75"/>
        <v>0</v>
      </c>
      <c r="D147" s="16"/>
      <c r="E147" s="16"/>
      <c r="F147" s="17"/>
      <c r="G147" s="17"/>
      <c r="H147" s="17"/>
      <c r="I147" s="17"/>
      <c r="J147" s="18"/>
      <c r="K147" s="17"/>
      <c r="L147" s="17"/>
    </row>
    <row r="148" spans="1:12" x14ac:dyDescent="0.25">
      <c r="A148" s="13">
        <v>95</v>
      </c>
      <c r="B148" s="14" t="s">
        <v>29</v>
      </c>
      <c r="C148" s="15">
        <f>L109</f>
        <v>29360</v>
      </c>
      <c r="D148" s="16">
        <v>21677</v>
      </c>
      <c r="E148" s="16"/>
      <c r="F148" s="17">
        <f t="shared" ref="F148:F149" si="81">MAX((SUM(C148:E148)),0)</f>
        <v>51037</v>
      </c>
      <c r="G148" s="17">
        <f t="shared" ref="G148:G149" si="82">IF((D148+E148)&lt;=0, 0,(D148+E148)*0.5)</f>
        <v>10838.5</v>
      </c>
      <c r="H148" s="17"/>
      <c r="I148" s="17">
        <f t="shared" ref="I148:I149" si="83">+F148-G148</f>
        <v>40198.5</v>
      </c>
      <c r="J148" s="18">
        <v>0</v>
      </c>
      <c r="K148" s="17">
        <f t="shared" ref="K148:K149" si="84">IF(+I148&lt;0,+I148,+I148*J148)</f>
        <v>0</v>
      </c>
      <c r="L148" s="17">
        <f t="shared" ref="L148:L149" si="85">MAX(0,+F148-K148)</f>
        <v>51037</v>
      </c>
    </row>
    <row r="149" spans="1:12" ht="15.75" thickBot="1" x14ac:dyDescent="0.3">
      <c r="A149" s="19"/>
      <c r="B149" s="20"/>
      <c r="C149" s="21"/>
      <c r="D149" s="16"/>
      <c r="E149" s="16"/>
      <c r="F149" s="17">
        <f t="shared" si="81"/>
        <v>0</v>
      </c>
      <c r="G149" s="17">
        <f t="shared" si="82"/>
        <v>0</v>
      </c>
      <c r="H149" s="17"/>
      <c r="I149" s="17">
        <f t="shared" si="83"/>
        <v>0</v>
      </c>
      <c r="J149" s="18"/>
      <c r="K149" s="17">
        <f t="shared" si="84"/>
        <v>0</v>
      </c>
      <c r="L149" s="17">
        <f t="shared" si="85"/>
        <v>0</v>
      </c>
    </row>
    <row r="150" spans="1:12" ht="15.75" thickBot="1" x14ac:dyDescent="0.3">
      <c r="A150" s="22"/>
      <c r="B150" s="23" t="s">
        <v>22</v>
      </c>
      <c r="C150" s="24">
        <f>SUM(C131:C149)</f>
        <v>18933199.841921501</v>
      </c>
      <c r="D150" s="24">
        <f>SUM(D131:D149)</f>
        <v>1937773</v>
      </c>
      <c r="E150" s="24">
        <f>SUM(E131:E149)</f>
        <v>-22070</v>
      </c>
      <c r="F150" s="24">
        <f>SUM(F131:F149)</f>
        <v>20848902.841921501</v>
      </c>
      <c r="G150" s="24">
        <f>SUM(G131:G149)</f>
        <v>967101.5</v>
      </c>
      <c r="H150" s="24"/>
      <c r="I150" s="24">
        <f>SUM(I131:I149)</f>
        <v>19881801.341921501</v>
      </c>
      <c r="J150" s="25"/>
      <c r="K150" s="26">
        <f>SUM(K131:K149)</f>
        <v>1410174.417017245</v>
      </c>
      <c r="L150" s="26">
        <f>SUM(L131:L149)</f>
        <v>19438728.42490425</v>
      </c>
    </row>
    <row r="151" spans="1:12" x14ac:dyDescent="0.25">
      <c r="H151" s="33"/>
      <c r="K151" s="33" t="s">
        <v>52</v>
      </c>
    </row>
    <row r="152" spans="1:12" x14ac:dyDescent="0.25">
      <c r="J152" s="39" t="s">
        <v>69</v>
      </c>
      <c r="K152" s="1">
        <v>1538071</v>
      </c>
      <c r="L152" s="1"/>
    </row>
    <row r="153" spans="1:12" x14ac:dyDescent="0.25">
      <c r="K153" s="33" t="s">
        <v>53</v>
      </c>
    </row>
    <row r="155" spans="1:12" x14ac:dyDescent="0.25">
      <c r="F155" t="s">
        <v>9</v>
      </c>
      <c r="H155" s="4">
        <f>K152-K150</f>
        <v>127896.58298275503</v>
      </c>
      <c r="I155" s="34" t="s">
        <v>54</v>
      </c>
    </row>
    <row r="157" spans="1:12" x14ac:dyDescent="0.25">
      <c r="F157" t="s">
        <v>10</v>
      </c>
      <c r="G157" s="5">
        <v>0.155</v>
      </c>
      <c r="H157" s="1">
        <f>H155*G157</f>
        <v>19823.970362327029</v>
      </c>
      <c r="I157" s="35" t="s">
        <v>55</v>
      </c>
    </row>
    <row r="158" spans="1:12" x14ac:dyDescent="0.25">
      <c r="H158" s="1"/>
    </row>
    <row r="159" spans="1:12" x14ac:dyDescent="0.25">
      <c r="F159" t="s">
        <v>11</v>
      </c>
      <c r="H159" s="1">
        <f>H157/(1-G157)</f>
        <v>23460.319955416602</v>
      </c>
      <c r="I159" s="35" t="s">
        <v>56</v>
      </c>
    </row>
    <row r="161" spans="1:12" x14ac:dyDescent="0.25">
      <c r="F161" t="s">
        <v>36</v>
      </c>
      <c r="I161" s="4">
        <f>H159</f>
        <v>23460.319955416602</v>
      </c>
    </row>
    <row r="162" spans="1:12" x14ac:dyDescent="0.25">
      <c r="G162" t="s">
        <v>37</v>
      </c>
      <c r="J162" s="4">
        <f>-I161</f>
        <v>-23460.319955416602</v>
      </c>
    </row>
    <row r="163" spans="1:12" x14ac:dyDescent="0.25">
      <c r="J163" s="4"/>
    </row>
    <row r="164" spans="1:12" x14ac:dyDescent="0.25">
      <c r="A164" t="s">
        <v>78</v>
      </c>
    </row>
    <row r="165" spans="1:12" ht="20.25" x14ac:dyDescent="0.3">
      <c r="A165" s="6" t="s">
        <v>70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ht="23.25" x14ac:dyDescent="0.35">
      <c r="A166" s="7" t="s">
        <v>71</v>
      </c>
      <c r="B166" s="3"/>
      <c r="C166" s="8"/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ht="48" x14ac:dyDescent="0.25">
      <c r="A168" s="9" t="s">
        <v>12</v>
      </c>
      <c r="B168" s="10" t="s">
        <v>13</v>
      </c>
      <c r="C168" s="11" t="s">
        <v>61</v>
      </c>
      <c r="D168" s="11" t="s">
        <v>0</v>
      </c>
      <c r="E168" s="11" t="s">
        <v>15</v>
      </c>
      <c r="F168" s="11" t="s">
        <v>16</v>
      </c>
      <c r="G168" s="11" t="s">
        <v>17</v>
      </c>
      <c r="H168" s="11"/>
      <c r="I168" s="11" t="s">
        <v>18</v>
      </c>
      <c r="J168" s="12" t="s">
        <v>19</v>
      </c>
      <c r="K168" s="11" t="s">
        <v>20</v>
      </c>
      <c r="L168" s="11" t="s">
        <v>21</v>
      </c>
    </row>
    <row r="169" spans="1:12" x14ac:dyDescent="0.25">
      <c r="A169" s="13">
        <v>1</v>
      </c>
      <c r="B169" s="14" t="s">
        <v>3</v>
      </c>
      <c r="C169" s="15">
        <f>L131</f>
        <v>7363054.9750579195</v>
      </c>
      <c r="D169" s="16"/>
      <c r="E169" s="16"/>
      <c r="F169" s="17">
        <f t="shared" ref="F169:F179" si="86">MAX((SUM(C169:E169)),0)</f>
        <v>7363054.9750579195</v>
      </c>
      <c r="G169" s="17">
        <f>IF((D169+E169)&lt;=0, 0,(D169+E169)*0.5)</f>
        <v>0</v>
      </c>
      <c r="H169" s="17"/>
      <c r="I169" s="17">
        <f t="shared" ref="I169:I177" si="87">+F169-G169</f>
        <v>7363054.9750579195</v>
      </c>
      <c r="J169" s="18">
        <v>0.04</v>
      </c>
      <c r="K169" s="17">
        <f t="shared" ref="K169:K177" si="88">IF(+I169&lt;0,+I169,+I169*J169)</f>
        <v>294522.1990023168</v>
      </c>
      <c r="L169" s="17">
        <f t="shared" ref="L169:L183" si="89">MAX(0,+F169-K169)</f>
        <v>7068532.7760556024</v>
      </c>
    </row>
    <row r="170" spans="1:12" x14ac:dyDescent="0.25">
      <c r="A170" s="13" t="s">
        <v>23</v>
      </c>
      <c r="B170" s="14" t="s">
        <v>24</v>
      </c>
      <c r="C170" s="15">
        <f t="shared" ref="C170:C186" si="90">L132</f>
        <v>0</v>
      </c>
      <c r="D170" s="16"/>
      <c r="E170" s="16"/>
      <c r="F170" s="17">
        <f t="shared" si="86"/>
        <v>0</v>
      </c>
      <c r="G170" s="17">
        <f t="shared" ref="G170:G183" si="91">IF((D170+E170)&lt;=0, 0,(D170+E170)*0.5)</f>
        <v>0</v>
      </c>
      <c r="H170" s="17"/>
      <c r="I170" s="17">
        <f t="shared" si="87"/>
        <v>0</v>
      </c>
      <c r="J170" s="18">
        <v>0.06</v>
      </c>
      <c r="K170" s="17">
        <f t="shared" si="88"/>
        <v>0</v>
      </c>
      <c r="L170" s="17">
        <f t="shared" si="89"/>
        <v>0</v>
      </c>
    </row>
    <row r="171" spans="1:12" x14ac:dyDescent="0.25">
      <c r="A171" s="13">
        <v>2</v>
      </c>
      <c r="B171" s="14" t="s">
        <v>25</v>
      </c>
      <c r="C171" s="15">
        <f t="shared" si="90"/>
        <v>0</v>
      </c>
      <c r="D171" s="16"/>
      <c r="E171" s="16"/>
      <c r="F171" s="17">
        <f t="shared" si="86"/>
        <v>0</v>
      </c>
      <c r="G171" s="17">
        <f t="shared" si="91"/>
        <v>0</v>
      </c>
      <c r="H171" s="17"/>
      <c r="I171" s="17">
        <f t="shared" si="87"/>
        <v>0</v>
      </c>
      <c r="J171" s="18">
        <v>0.06</v>
      </c>
      <c r="K171" s="17">
        <f>IF(+I171&lt;0,+I171,+I171*J171)</f>
        <v>0</v>
      </c>
      <c r="L171" s="17">
        <f t="shared" si="89"/>
        <v>0</v>
      </c>
    </row>
    <row r="172" spans="1:12" x14ac:dyDescent="0.25">
      <c r="A172" s="13">
        <v>8</v>
      </c>
      <c r="B172" s="14" t="s">
        <v>4</v>
      </c>
      <c r="C172" s="15">
        <f t="shared" si="90"/>
        <v>95216.444800000012</v>
      </c>
      <c r="D172" s="16">
        <v>29996</v>
      </c>
      <c r="E172" s="16"/>
      <c r="F172" s="17">
        <f t="shared" si="86"/>
        <v>125212.44480000001</v>
      </c>
      <c r="G172" s="17">
        <f t="shared" si="91"/>
        <v>14998</v>
      </c>
      <c r="H172" s="17"/>
      <c r="I172" s="17">
        <f t="shared" si="87"/>
        <v>110214.44480000001</v>
      </c>
      <c r="J172" s="18">
        <v>0.2</v>
      </c>
      <c r="K172" s="17">
        <f t="shared" si="88"/>
        <v>22042.888960000004</v>
      </c>
      <c r="L172" s="17">
        <f t="shared" si="89"/>
        <v>103169.55584000002</v>
      </c>
    </row>
    <row r="173" spans="1:12" x14ac:dyDescent="0.25">
      <c r="A173" s="13">
        <v>10</v>
      </c>
      <c r="B173" s="14" t="s">
        <v>5</v>
      </c>
      <c r="C173" s="15">
        <f t="shared" si="90"/>
        <v>228392.89935000002</v>
      </c>
      <c r="D173" s="16">
        <v>0</v>
      </c>
      <c r="E173" s="16">
        <v>0</v>
      </c>
      <c r="F173" s="17">
        <f t="shared" si="86"/>
        <v>228392.89935000002</v>
      </c>
      <c r="G173" s="17">
        <f t="shared" si="91"/>
        <v>0</v>
      </c>
      <c r="H173" s="17"/>
      <c r="I173" s="17">
        <f t="shared" si="87"/>
        <v>228392.89935000002</v>
      </c>
      <c r="J173" s="18">
        <v>0.3</v>
      </c>
      <c r="K173" s="17">
        <f t="shared" si="88"/>
        <v>68517.869805000009</v>
      </c>
      <c r="L173" s="17">
        <f t="shared" si="89"/>
        <v>159875.029545</v>
      </c>
    </row>
    <row r="174" spans="1:12" x14ac:dyDescent="0.25">
      <c r="A174" s="13">
        <v>10.1</v>
      </c>
      <c r="B174" s="14" t="s">
        <v>26</v>
      </c>
      <c r="C174" s="15">
        <f t="shared" si="90"/>
        <v>0</v>
      </c>
      <c r="D174" s="16"/>
      <c r="E174" s="16"/>
      <c r="F174" s="17">
        <f t="shared" si="86"/>
        <v>0</v>
      </c>
      <c r="G174" s="17">
        <f t="shared" si="91"/>
        <v>0</v>
      </c>
      <c r="H174" s="17"/>
      <c r="I174" s="17">
        <f t="shared" si="87"/>
        <v>0</v>
      </c>
      <c r="J174" s="18">
        <v>0.3</v>
      </c>
      <c r="K174" s="17">
        <f t="shared" si="88"/>
        <v>0</v>
      </c>
      <c r="L174" s="17">
        <f t="shared" si="89"/>
        <v>0</v>
      </c>
    </row>
    <row r="175" spans="1:12" x14ac:dyDescent="0.25">
      <c r="A175" s="13">
        <v>12</v>
      </c>
      <c r="B175" s="14" t="s">
        <v>6</v>
      </c>
      <c r="C175" s="15">
        <f t="shared" si="90"/>
        <v>11337.5</v>
      </c>
      <c r="D175" s="16">
        <v>25735</v>
      </c>
      <c r="E175" s="16"/>
      <c r="F175" s="17">
        <f t="shared" si="86"/>
        <v>37072.5</v>
      </c>
      <c r="G175" s="17">
        <f t="shared" si="91"/>
        <v>12867.5</v>
      </c>
      <c r="H175" s="17"/>
      <c r="I175" s="17">
        <f t="shared" si="87"/>
        <v>24205</v>
      </c>
      <c r="J175" s="18">
        <v>1</v>
      </c>
      <c r="K175" s="17">
        <f t="shared" si="88"/>
        <v>24205</v>
      </c>
      <c r="L175" s="17">
        <f t="shared" si="89"/>
        <v>12867.5</v>
      </c>
    </row>
    <row r="176" spans="1:12" x14ac:dyDescent="0.25">
      <c r="A176" s="13">
        <v>45</v>
      </c>
      <c r="B176" s="14" t="s">
        <v>27</v>
      </c>
      <c r="C176" s="15">
        <f t="shared" si="90"/>
        <v>3.934768749999999</v>
      </c>
      <c r="D176" s="16"/>
      <c r="E176" s="16"/>
      <c r="F176" s="17">
        <f t="shared" si="86"/>
        <v>3.934768749999999</v>
      </c>
      <c r="G176" s="17">
        <f t="shared" si="91"/>
        <v>0</v>
      </c>
      <c r="H176" s="17"/>
      <c r="I176" s="17">
        <f t="shared" si="87"/>
        <v>3.934768749999999</v>
      </c>
      <c r="J176" s="18">
        <v>0.45</v>
      </c>
      <c r="K176" s="17">
        <f t="shared" si="88"/>
        <v>1.7706459374999997</v>
      </c>
      <c r="L176" s="17">
        <f t="shared" si="89"/>
        <v>2.1641228124999996</v>
      </c>
    </row>
    <row r="177" spans="1:12" x14ac:dyDescent="0.25">
      <c r="A177" s="13">
        <v>46</v>
      </c>
      <c r="B177" s="14" t="s">
        <v>28</v>
      </c>
      <c r="C177" s="15">
        <f t="shared" si="90"/>
        <v>0</v>
      </c>
      <c r="D177" s="16"/>
      <c r="E177" s="16"/>
      <c r="F177" s="17">
        <f t="shared" si="86"/>
        <v>0</v>
      </c>
      <c r="G177" s="17">
        <f t="shared" si="91"/>
        <v>0</v>
      </c>
      <c r="H177" s="17"/>
      <c r="I177" s="17">
        <f t="shared" si="87"/>
        <v>0</v>
      </c>
      <c r="J177" s="18">
        <v>0.3</v>
      </c>
      <c r="K177" s="17">
        <f t="shared" si="88"/>
        <v>0</v>
      </c>
      <c r="L177" s="17">
        <f t="shared" si="89"/>
        <v>0</v>
      </c>
    </row>
    <row r="178" spans="1:12" x14ac:dyDescent="0.25">
      <c r="A178" s="13">
        <v>47</v>
      </c>
      <c r="B178" s="14" t="s">
        <v>7</v>
      </c>
      <c r="C178" s="15">
        <f t="shared" si="90"/>
        <v>11414331.84362752</v>
      </c>
      <c r="D178" s="16">
        <v>2785522</v>
      </c>
      <c r="E178" s="16">
        <v>-3469</v>
      </c>
      <c r="F178" s="17">
        <f t="shared" si="86"/>
        <v>14196384.84362752</v>
      </c>
      <c r="G178" s="17">
        <f t="shared" si="91"/>
        <v>1391026.5</v>
      </c>
      <c r="H178" s="17"/>
      <c r="I178" s="17">
        <f>+F178-G178</f>
        <v>12805358.34362752</v>
      </c>
      <c r="J178" s="18">
        <v>0.08</v>
      </c>
      <c r="K178" s="17">
        <f>IF(+I178&lt;0,+I178,+I178*J178)</f>
        <v>1024428.6674902017</v>
      </c>
      <c r="L178" s="17">
        <f t="shared" si="89"/>
        <v>13171956.176137319</v>
      </c>
    </row>
    <row r="179" spans="1:12" x14ac:dyDescent="0.25">
      <c r="A179" s="13">
        <v>50</v>
      </c>
      <c r="B179" s="14" t="s">
        <v>8</v>
      </c>
      <c r="C179" s="15">
        <f t="shared" si="90"/>
        <v>41706.944796874996</v>
      </c>
      <c r="D179" s="16">
        <v>41159</v>
      </c>
      <c r="E179" s="16"/>
      <c r="F179" s="17">
        <f t="shared" si="86"/>
        <v>82865.944796875003</v>
      </c>
      <c r="G179" s="17">
        <f t="shared" si="91"/>
        <v>20579.5</v>
      </c>
      <c r="H179" s="17"/>
      <c r="I179" s="17">
        <f t="shared" ref="I179:I183" si="92">+F179-G179</f>
        <v>62286.444796875003</v>
      </c>
      <c r="J179" s="18">
        <v>0.55000000000000004</v>
      </c>
      <c r="K179" s="17">
        <f t="shared" ref="K179:K183" si="93">IF(+I179&lt;0,+I179,+I179*J179)</f>
        <v>34257.544638281252</v>
      </c>
      <c r="L179" s="17">
        <f t="shared" si="89"/>
        <v>48608.400158593751</v>
      </c>
    </row>
    <row r="180" spans="1:12" x14ac:dyDescent="0.25">
      <c r="A180" s="13">
        <v>43.2</v>
      </c>
      <c r="B180" s="14" t="s">
        <v>64</v>
      </c>
      <c r="C180" s="15">
        <f t="shared" si="90"/>
        <v>5190.7944937499997</v>
      </c>
      <c r="D180" s="16">
        <v>0</v>
      </c>
      <c r="E180" s="16"/>
      <c r="F180" s="17">
        <f t="shared" ref="F180" si="94">MAX((SUM(C180:E180)),0)</f>
        <v>5190.7944937499997</v>
      </c>
      <c r="G180" s="17">
        <f t="shared" si="91"/>
        <v>0</v>
      </c>
      <c r="H180" s="17"/>
      <c r="I180" s="17">
        <f t="shared" si="92"/>
        <v>5190.7944937499997</v>
      </c>
      <c r="J180" s="18">
        <v>0.55000000000000004</v>
      </c>
      <c r="K180" s="17">
        <f t="shared" si="93"/>
        <v>2854.9369715625003</v>
      </c>
      <c r="L180" s="17">
        <f t="shared" si="89"/>
        <v>2335.8575221874994</v>
      </c>
    </row>
    <row r="181" spans="1:12" x14ac:dyDescent="0.25">
      <c r="A181" s="13">
        <v>14.1</v>
      </c>
      <c r="B181" s="14" t="s">
        <v>65</v>
      </c>
      <c r="C181" s="15">
        <f t="shared" si="90"/>
        <v>108387.9757</v>
      </c>
      <c r="D181" s="16"/>
      <c r="E181" s="16"/>
      <c r="F181" s="17">
        <f t="shared" ref="F181:F183" si="95">MAX((SUM(C181:E181)),0)</f>
        <v>108387.9757</v>
      </c>
      <c r="G181" s="17">
        <f t="shared" si="91"/>
        <v>0</v>
      </c>
      <c r="H181" s="17"/>
      <c r="I181" s="17">
        <f t="shared" si="92"/>
        <v>108387.9757</v>
      </c>
      <c r="J181" s="18">
        <v>0.05</v>
      </c>
      <c r="K181" s="17">
        <f t="shared" si="93"/>
        <v>5419.3987850000003</v>
      </c>
      <c r="L181" s="17">
        <f t="shared" si="89"/>
        <v>102968.576915</v>
      </c>
    </row>
    <row r="182" spans="1:12" x14ac:dyDescent="0.25">
      <c r="A182" s="13" t="s">
        <v>66</v>
      </c>
      <c r="B182" s="14"/>
      <c r="C182" s="15">
        <f t="shared" si="90"/>
        <v>5027.2425534399999</v>
      </c>
      <c r="D182" s="16"/>
      <c r="E182" s="16"/>
      <c r="F182" s="17">
        <f t="shared" si="95"/>
        <v>5027.2425534399999</v>
      </c>
      <c r="G182" s="17">
        <f t="shared" si="91"/>
        <v>0</v>
      </c>
      <c r="H182" s="17"/>
      <c r="I182" s="17">
        <f t="shared" si="92"/>
        <v>5027.2425534399999</v>
      </c>
      <c r="J182" s="18">
        <v>0.06</v>
      </c>
      <c r="K182" s="17">
        <f t="shared" si="93"/>
        <v>301.63455320639997</v>
      </c>
      <c r="L182" s="17">
        <f t="shared" si="89"/>
        <v>4725.6080002336003</v>
      </c>
    </row>
    <row r="183" spans="1:12" x14ac:dyDescent="0.25">
      <c r="A183" s="13" t="s">
        <v>66</v>
      </c>
      <c r="B183" s="14" t="s">
        <v>67</v>
      </c>
      <c r="C183" s="15">
        <f t="shared" si="90"/>
        <v>115040.86975600001</v>
      </c>
      <c r="D183" s="16">
        <v>38033</v>
      </c>
      <c r="E183" s="16"/>
      <c r="F183" s="17">
        <f t="shared" si="95"/>
        <v>153073.869756</v>
      </c>
      <c r="G183" s="17">
        <f t="shared" si="91"/>
        <v>19016.5</v>
      </c>
      <c r="H183" s="17"/>
      <c r="I183" s="17">
        <f t="shared" si="92"/>
        <v>134057.369756</v>
      </c>
      <c r="J183" s="18">
        <v>0.06</v>
      </c>
      <c r="K183" s="17">
        <f t="shared" si="93"/>
        <v>8043.4421853599997</v>
      </c>
      <c r="L183" s="17">
        <f t="shared" si="89"/>
        <v>145030.42757063999</v>
      </c>
    </row>
    <row r="184" spans="1:12" x14ac:dyDescent="0.25">
      <c r="A184" s="13"/>
      <c r="B184" s="14"/>
      <c r="C184" s="15">
        <f t="shared" si="90"/>
        <v>0</v>
      </c>
      <c r="D184" s="16"/>
      <c r="E184" s="16"/>
      <c r="F184" s="17"/>
      <c r="G184" s="17"/>
      <c r="H184" s="17"/>
      <c r="I184" s="17"/>
      <c r="J184" s="18"/>
      <c r="K184" s="17"/>
      <c r="L184" s="17"/>
    </row>
    <row r="185" spans="1:12" x14ac:dyDescent="0.25">
      <c r="A185" s="13"/>
      <c r="B185" s="14"/>
      <c r="C185" s="15">
        <f t="shared" si="90"/>
        <v>0</v>
      </c>
      <c r="D185" s="16"/>
      <c r="E185" s="16"/>
      <c r="F185" s="17"/>
      <c r="G185" s="17"/>
      <c r="H185" s="17"/>
      <c r="I185" s="17"/>
      <c r="J185" s="18"/>
      <c r="K185" s="17"/>
      <c r="L185" s="17"/>
    </row>
    <row r="186" spans="1:12" x14ac:dyDescent="0.25">
      <c r="A186" s="13">
        <v>95</v>
      </c>
      <c r="B186" s="14" t="s">
        <v>29</v>
      </c>
      <c r="C186" s="15">
        <f t="shared" si="90"/>
        <v>51037</v>
      </c>
      <c r="D186" s="16">
        <v>0</v>
      </c>
      <c r="E186" s="16">
        <v>-15972</v>
      </c>
      <c r="F186" s="17">
        <f t="shared" ref="F186:F187" si="96">MAX((SUM(C186:E186)),0)</f>
        <v>35065</v>
      </c>
      <c r="G186" s="17">
        <f t="shared" ref="G186:G187" si="97">IF((D186+E186)&lt;=0, 0,(D186+E186)*0.5)</f>
        <v>0</v>
      </c>
      <c r="H186" s="17"/>
      <c r="I186" s="17">
        <f t="shared" ref="I186:I187" si="98">+F186-G186</f>
        <v>35065</v>
      </c>
      <c r="J186" s="18">
        <v>0</v>
      </c>
      <c r="K186" s="17">
        <f t="shared" ref="K186:K187" si="99">IF(+I186&lt;0,+I186,+I186*J186)</f>
        <v>0</v>
      </c>
      <c r="L186" s="17">
        <f t="shared" ref="L186:L187" si="100">MAX(0,+F186-K186)</f>
        <v>35065</v>
      </c>
    </row>
    <row r="187" spans="1:12" ht="15.75" thickBot="1" x14ac:dyDescent="0.3">
      <c r="A187" s="19"/>
      <c r="B187" s="20"/>
      <c r="C187" s="21"/>
      <c r="D187" s="16"/>
      <c r="E187" s="16"/>
      <c r="F187" s="17">
        <f t="shared" si="96"/>
        <v>0</v>
      </c>
      <c r="G187" s="17">
        <f t="shared" si="97"/>
        <v>0</v>
      </c>
      <c r="H187" s="17"/>
      <c r="I187" s="17">
        <f t="shared" si="98"/>
        <v>0</v>
      </c>
      <c r="J187" s="18"/>
      <c r="K187" s="17">
        <f t="shared" si="99"/>
        <v>0</v>
      </c>
      <c r="L187" s="17">
        <f t="shared" si="100"/>
        <v>0</v>
      </c>
    </row>
    <row r="188" spans="1:12" ht="15.75" thickBot="1" x14ac:dyDescent="0.3">
      <c r="A188" s="22"/>
      <c r="B188" s="23" t="s">
        <v>22</v>
      </c>
      <c r="C188" s="24">
        <f>SUM(C169:C187)</f>
        <v>19438728.42490425</v>
      </c>
      <c r="D188" s="24">
        <f>SUM(D169:D187)</f>
        <v>2920445</v>
      </c>
      <c r="E188" s="24">
        <f>SUM(E169:E187)</f>
        <v>-19441</v>
      </c>
      <c r="F188" s="24">
        <f>SUM(F169:F187)</f>
        <v>22339732.42490425</v>
      </c>
      <c r="G188" s="24">
        <f>SUM(G169:G187)</f>
        <v>1458488</v>
      </c>
      <c r="H188" s="24"/>
      <c r="I188" s="24">
        <f>SUM(I169:I187)</f>
        <v>20881244.42490425</v>
      </c>
      <c r="J188" s="25"/>
      <c r="K188" s="26">
        <f>SUM(K169:K187)</f>
        <v>1484595.3530368661</v>
      </c>
      <c r="L188" s="26">
        <f>SUM(L169:L187)</f>
        <v>20855137.071867388</v>
      </c>
    </row>
    <row r="189" spans="1:12" x14ac:dyDescent="0.25">
      <c r="H189" s="33"/>
      <c r="K189" s="33" t="s">
        <v>52</v>
      </c>
    </row>
    <row r="190" spans="1:12" x14ac:dyDescent="0.25">
      <c r="J190" s="39" t="s">
        <v>69</v>
      </c>
      <c r="K190" s="1">
        <v>1711156</v>
      </c>
      <c r="L190" s="1" t="s">
        <v>79</v>
      </c>
    </row>
    <row r="191" spans="1:12" x14ac:dyDescent="0.25">
      <c r="K191" s="33" t="s">
        <v>53</v>
      </c>
    </row>
    <row r="193" spans="6:10" x14ac:dyDescent="0.25">
      <c r="F193" t="s">
        <v>9</v>
      </c>
      <c r="H193" s="4">
        <f>K190-K188</f>
        <v>226560.64696313394</v>
      </c>
      <c r="I193" s="34" t="s">
        <v>54</v>
      </c>
    </row>
    <row r="195" spans="6:10" x14ac:dyDescent="0.25">
      <c r="F195" t="s">
        <v>10</v>
      </c>
      <c r="G195" s="5">
        <v>0.155</v>
      </c>
      <c r="H195" s="1">
        <f>H193*G195</f>
        <v>35116.900279285757</v>
      </c>
      <c r="I195" s="35" t="s">
        <v>55</v>
      </c>
    </row>
    <row r="196" spans="6:10" x14ac:dyDescent="0.25">
      <c r="H196" s="1"/>
    </row>
    <row r="197" spans="6:10" x14ac:dyDescent="0.25">
      <c r="F197" t="s">
        <v>11</v>
      </c>
      <c r="H197" s="1">
        <f>H195/(1-G195)</f>
        <v>41558.461868977232</v>
      </c>
      <c r="I197" s="35" t="s">
        <v>56</v>
      </c>
    </row>
    <row r="199" spans="6:10" x14ac:dyDescent="0.25">
      <c r="F199" t="s">
        <v>36</v>
      </c>
      <c r="I199" s="4">
        <f>H197</f>
        <v>41558.461868977232</v>
      </c>
    </row>
    <row r="200" spans="6:10" x14ac:dyDescent="0.25">
      <c r="G200" t="s">
        <v>37</v>
      </c>
      <c r="J200" s="4">
        <f>-I199</f>
        <v>-41558.461868977232</v>
      </c>
    </row>
  </sheetData>
  <conditionalFormatting sqref="A15:E31">
    <cfRule type="expression" dxfId="4" priority="29" stopIfTrue="1">
      <formula>LEN(A15)&gt;0</formula>
    </cfRule>
  </conditionalFormatting>
  <conditionalFormatting sqref="A53:E71">
    <cfRule type="expression" dxfId="3" priority="25" stopIfTrue="1">
      <formula>LEN(A53)&gt;0</formula>
    </cfRule>
  </conditionalFormatting>
  <conditionalFormatting sqref="A92:E110">
    <cfRule type="expression" dxfId="2" priority="17" stopIfTrue="1">
      <formula>LEN(A92)&gt;0</formula>
    </cfRule>
  </conditionalFormatting>
  <conditionalFormatting sqref="A131:E149">
    <cfRule type="expression" dxfId="1" priority="9" stopIfTrue="1">
      <formula>LEN(A131)&gt;0</formula>
    </cfRule>
  </conditionalFormatting>
  <conditionalFormatting sqref="A169:E187">
    <cfRule type="expression" dxfId="0" priority="1" stopIfTrue="1">
      <formula>LEN(A169)&gt;0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C24B4-CC63-4B66-A1A7-ADB0E61E254A}">
  <dimension ref="A1:T100"/>
  <sheetViews>
    <sheetView tabSelected="1" workbookViewId="0">
      <selection activeCell="C88" sqref="C88"/>
    </sheetView>
  </sheetViews>
  <sheetFormatPr defaultRowHeight="15" x14ac:dyDescent="0.25"/>
  <cols>
    <col min="2" max="2" width="37.28515625" customWidth="1"/>
    <col min="3" max="3" width="12.140625" bestFit="1" customWidth="1"/>
    <col min="4" max="4" width="11.140625" bestFit="1" customWidth="1"/>
    <col min="5" max="5" width="10.85546875" bestFit="1" customWidth="1"/>
    <col min="6" max="6" width="15.7109375" customWidth="1"/>
    <col min="7" max="7" width="12.42578125" bestFit="1" customWidth="1"/>
    <col min="8" max="8" width="12" bestFit="1" customWidth="1"/>
    <col min="9" max="9" width="11.5703125" bestFit="1" customWidth="1"/>
    <col min="10" max="10" width="12.85546875" customWidth="1"/>
    <col min="11" max="11" width="12.140625" bestFit="1" customWidth="1"/>
    <col min="12" max="12" width="12" bestFit="1" customWidth="1"/>
    <col min="13" max="13" width="12" customWidth="1"/>
    <col min="14" max="14" width="10.7109375" customWidth="1"/>
    <col min="15" max="15" width="11.140625" bestFit="1" customWidth="1"/>
    <col min="16" max="16" width="10.85546875" customWidth="1"/>
    <col min="17" max="17" width="10.28515625" bestFit="1" customWidth="1"/>
    <col min="18" max="18" width="11.28515625" customWidth="1"/>
  </cols>
  <sheetData>
    <row r="1" spans="1:18" x14ac:dyDescent="0.25">
      <c r="A1" t="s">
        <v>57</v>
      </c>
    </row>
    <row r="2" spans="1:18" x14ac:dyDescent="0.25">
      <c r="A2" t="s">
        <v>38</v>
      </c>
    </row>
    <row r="4" spans="1:18" x14ac:dyDescent="0.25">
      <c r="A4" t="s">
        <v>58</v>
      </c>
    </row>
    <row r="6" spans="1:18" x14ac:dyDescent="0.25">
      <c r="A6" t="s">
        <v>91</v>
      </c>
    </row>
    <row r="7" spans="1:18" x14ac:dyDescent="0.25">
      <c r="A7" t="s">
        <v>39</v>
      </c>
    </row>
    <row r="10" spans="1:18" x14ac:dyDescent="0.25">
      <c r="A10" t="s">
        <v>40</v>
      </c>
    </row>
    <row r="11" spans="1:18" ht="20.25" x14ac:dyDescent="0.3">
      <c r="A11" s="6" t="s">
        <v>84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8" ht="23.25" x14ac:dyDescent="0.35">
      <c r="A12" s="7"/>
      <c r="B12" s="3" t="s">
        <v>83</v>
      </c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8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2" t="s">
        <v>0</v>
      </c>
      <c r="N13" s="2"/>
      <c r="O13" s="1" t="s">
        <v>30</v>
      </c>
      <c r="P13" s="1" t="s">
        <v>31</v>
      </c>
      <c r="Q13" s="1" t="s">
        <v>31</v>
      </c>
      <c r="R13" s="2"/>
    </row>
    <row r="14" spans="1:18" ht="48" x14ac:dyDescent="0.25">
      <c r="A14" s="9" t="s">
        <v>12</v>
      </c>
      <c r="B14" s="10" t="s">
        <v>13</v>
      </c>
      <c r="C14" s="11" t="s">
        <v>14</v>
      </c>
      <c r="D14" s="11" t="s">
        <v>0</v>
      </c>
      <c r="E14" s="11" t="s">
        <v>15</v>
      </c>
      <c r="F14" s="11" t="s">
        <v>16</v>
      </c>
      <c r="G14" s="11" t="s">
        <v>17</v>
      </c>
      <c r="H14" s="11" t="s">
        <v>18</v>
      </c>
      <c r="I14" s="12" t="s">
        <v>19</v>
      </c>
      <c r="J14" s="11" t="s">
        <v>20</v>
      </c>
      <c r="K14" s="11" t="s">
        <v>21</v>
      </c>
      <c r="L14" s="29" t="s">
        <v>35</v>
      </c>
      <c r="M14" s="30" t="s">
        <v>32</v>
      </c>
      <c r="N14" s="30" t="s">
        <v>33</v>
      </c>
      <c r="O14" s="30" t="s">
        <v>1</v>
      </c>
      <c r="P14" s="30" t="s">
        <v>34</v>
      </c>
      <c r="Q14" s="30" t="s">
        <v>2</v>
      </c>
      <c r="R14" s="30"/>
    </row>
    <row r="15" spans="1:18" x14ac:dyDescent="0.25">
      <c r="A15" s="13">
        <v>1</v>
      </c>
      <c r="B15" s="14" t="s">
        <v>3</v>
      </c>
      <c r="C15" s="15">
        <v>10126081</v>
      </c>
      <c r="D15" s="16"/>
      <c r="E15" s="16"/>
      <c r="F15" s="17">
        <f>MAX((SUM(C15:E15)),0)</f>
        <v>10126081</v>
      </c>
      <c r="G15" s="17">
        <f>IF((D15+E15)&lt;=0, 0,(D15+E15)*0.5)</f>
        <v>0</v>
      </c>
      <c r="H15" s="17">
        <f>+F15-G15</f>
        <v>10126081</v>
      </c>
      <c r="I15" s="18">
        <v>0.04</v>
      </c>
      <c r="J15" s="17">
        <f>IF(+H15&lt;0,+H15,+H15*I15)</f>
        <v>405043.24</v>
      </c>
      <c r="K15" s="17">
        <f>MAX(0,+F15-J15)</f>
        <v>9721037.7599999998</v>
      </c>
      <c r="L15" s="28"/>
      <c r="M15" s="2">
        <f>D15*(327/365)</f>
        <v>0</v>
      </c>
      <c r="N15" s="2">
        <f>D15*(41/365)</f>
        <v>0</v>
      </c>
      <c r="O15" s="2">
        <f>C15*I15</f>
        <v>405043.24</v>
      </c>
      <c r="P15" s="2">
        <f>I15*0.5*M15</f>
        <v>0</v>
      </c>
      <c r="Q15" s="2">
        <f>I15*1.5*D15</f>
        <v>0</v>
      </c>
      <c r="R15" s="2">
        <f>SUM(O15:Q15)</f>
        <v>405043.24</v>
      </c>
    </row>
    <row r="16" spans="1:18" x14ac:dyDescent="0.25">
      <c r="A16" s="13" t="s">
        <v>23</v>
      </c>
      <c r="B16" s="14" t="s">
        <v>24</v>
      </c>
      <c r="C16" s="15">
        <v>0</v>
      </c>
      <c r="D16" s="16"/>
      <c r="E16" s="16"/>
      <c r="F16" s="17">
        <f>MAX((SUM(C16:E16)),0)</f>
        <v>0</v>
      </c>
      <c r="G16" s="17">
        <f>IF((D16+E16)&lt;=0, 0,(D16+E16)*0.5)</f>
        <v>0</v>
      </c>
      <c r="H16" s="17">
        <f>+F16-G16</f>
        <v>0</v>
      </c>
      <c r="I16" s="18">
        <v>0.06</v>
      </c>
      <c r="J16" s="17">
        <f>IF(+H16&lt;0,+H16,+H16*I16)</f>
        <v>0</v>
      </c>
      <c r="K16" s="17">
        <f>MAX(0,+F16-J16)</f>
        <v>0</v>
      </c>
      <c r="L16" s="28"/>
      <c r="M16" s="2">
        <f>D16*(327/365)</f>
        <v>0</v>
      </c>
      <c r="N16" s="2">
        <f>D16*(41/365)</f>
        <v>0</v>
      </c>
      <c r="O16" s="2">
        <f>C16*I16</f>
        <v>0</v>
      </c>
      <c r="P16" s="2">
        <f>I16*0.5*M16</f>
        <v>0</v>
      </c>
      <c r="Q16" s="2">
        <f>I16*1.5*D16</f>
        <v>0</v>
      </c>
      <c r="R16" s="2">
        <f>SUM(O16:Q16)</f>
        <v>0</v>
      </c>
    </row>
    <row r="17" spans="1:18" x14ac:dyDescent="0.25">
      <c r="A17" s="13">
        <v>2</v>
      </c>
      <c r="B17" s="14" t="s">
        <v>25</v>
      </c>
      <c r="C17" s="15">
        <v>0</v>
      </c>
      <c r="D17" s="16"/>
      <c r="E17" s="16"/>
      <c r="F17" s="17">
        <f>MAX((SUM(C17:E17)),0)</f>
        <v>0</v>
      </c>
      <c r="G17" s="17">
        <f>IF((D17+E17)&lt;=0, 0,(D17+E17)*0.5)</f>
        <v>0</v>
      </c>
      <c r="H17" s="17">
        <f>+F17-G17</f>
        <v>0</v>
      </c>
      <c r="I17" s="18">
        <v>0.06</v>
      </c>
      <c r="J17" s="17">
        <f>IF(+H17&lt;0,+H17,+H17*I17)</f>
        <v>0</v>
      </c>
      <c r="K17" s="17">
        <f>MAX(0,+F17-J17)</f>
        <v>0</v>
      </c>
      <c r="L17" s="28"/>
      <c r="M17" s="2">
        <f>D17*(327/365)</f>
        <v>0</v>
      </c>
      <c r="N17" s="2">
        <f>D17*(41/365)</f>
        <v>0</v>
      </c>
      <c r="O17" s="2">
        <f>C17*I17</f>
        <v>0</v>
      </c>
      <c r="P17" s="2">
        <f>I17*0.5*M17</f>
        <v>0</v>
      </c>
      <c r="Q17" s="2">
        <f>I17*1.5*D17</f>
        <v>0</v>
      </c>
      <c r="R17" s="2">
        <f>SUM(O17:Q17)</f>
        <v>0</v>
      </c>
    </row>
    <row r="18" spans="1:18" x14ac:dyDescent="0.25">
      <c r="A18" s="13">
        <v>8</v>
      </c>
      <c r="B18" s="14" t="s">
        <v>4</v>
      </c>
      <c r="C18" s="15">
        <v>138701</v>
      </c>
      <c r="D18" s="16">
        <v>34800</v>
      </c>
      <c r="E18" s="16"/>
      <c r="F18" s="17">
        <f>MAX((SUM(C18:E18)),0)</f>
        <v>173501</v>
      </c>
      <c r="G18" s="17">
        <f>IF((D18+E18)&lt;=0, 0,(D18+E18)*0.5)</f>
        <v>17400</v>
      </c>
      <c r="H18" s="17">
        <f>+F18-G18</f>
        <v>156101</v>
      </c>
      <c r="I18" s="18">
        <v>0.2</v>
      </c>
      <c r="J18" s="17">
        <f>IF(+H18&lt;0,+H18,+H18*I18)</f>
        <v>31220.2</v>
      </c>
      <c r="K18" s="17">
        <f>MAX(0,+F18-J18)</f>
        <v>142280.79999999999</v>
      </c>
      <c r="L18" s="28">
        <f>996/51451</f>
        <v>1.9358224329944995E-2</v>
      </c>
      <c r="M18" s="38">
        <f>D18-N18</f>
        <v>34126.333793317914</v>
      </c>
      <c r="N18" s="2">
        <f>D18*L18</f>
        <v>673.66620668208589</v>
      </c>
      <c r="O18" s="2">
        <f>C18*I18</f>
        <v>27740.2</v>
      </c>
      <c r="P18" s="2">
        <f>I18*0.5*M18</f>
        <v>3412.6333793317917</v>
      </c>
      <c r="Q18" s="2">
        <f>I18*1.5*N18</f>
        <v>202.09986200462581</v>
      </c>
      <c r="R18" s="2">
        <f>SUM(O18:Q18)</f>
        <v>31354.933241336421</v>
      </c>
    </row>
    <row r="19" spans="1:18" x14ac:dyDescent="0.25">
      <c r="A19" s="13">
        <v>10</v>
      </c>
      <c r="B19" s="14" t="s">
        <v>5</v>
      </c>
      <c r="C19" s="15">
        <v>114391</v>
      </c>
      <c r="D19" s="16">
        <v>35000</v>
      </c>
      <c r="E19" s="16">
        <v>-5474</v>
      </c>
      <c r="F19" s="17">
        <f>MAX((SUM(C19:E19)),0)</f>
        <v>143917</v>
      </c>
      <c r="G19" s="17">
        <f>IF((D19+E19)&lt;=0, 0,(D19+E19)*0.5)</f>
        <v>14763</v>
      </c>
      <c r="H19" s="17">
        <f>+F19-G19</f>
        <v>129154</v>
      </c>
      <c r="I19" s="18">
        <v>0.3</v>
      </c>
      <c r="J19" s="17">
        <f>IF(+H19&lt;0,+H19,+H19*I19)</f>
        <v>38746.199999999997</v>
      </c>
      <c r="K19" s="17">
        <f>MAX(0,+F19-J19)</f>
        <v>105170.8</v>
      </c>
      <c r="L19" s="28">
        <f>1051/293225</f>
        <v>3.584278284593742E-3</v>
      </c>
      <c r="M19" s="38">
        <f>D19-N19+E19</f>
        <v>29400.550260039221</v>
      </c>
      <c r="N19" s="2">
        <f>D19*L19</f>
        <v>125.44973996078097</v>
      </c>
      <c r="O19" s="2">
        <f>C19*I19</f>
        <v>34317.299999999996</v>
      </c>
      <c r="P19" s="2">
        <f>I19*0.5*M19</f>
        <v>4410.0825390058826</v>
      </c>
      <c r="Q19" s="2">
        <f>I19*1.5*N19</f>
        <v>56.45238298235143</v>
      </c>
      <c r="R19" s="2">
        <f>SUM(O19:Q19)</f>
        <v>38783.834921988229</v>
      </c>
    </row>
    <row r="20" spans="1:18" x14ac:dyDescent="0.25">
      <c r="A20" s="13">
        <v>10.1</v>
      </c>
      <c r="B20" s="14" t="s">
        <v>26</v>
      </c>
      <c r="C20" s="15">
        <v>0</v>
      </c>
      <c r="D20" s="16"/>
      <c r="E20" s="16"/>
      <c r="F20" s="17">
        <f>MAX((SUM(C20:E20)),0)</f>
        <v>0</v>
      </c>
      <c r="G20" s="17">
        <f>IF((D20+E20)&lt;=0, 0,(D20+E20)*0.5)</f>
        <v>0</v>
      </c>
      <c r="H20" s="17">
        <f>+F20-G20</f>
        <v>0</v>
      </c>
      <c r="I20" s="18">
        <v>0.3</v>
      </c>
      <c r="J20" s="17">
        <f>IF(+H20&lt;0,+H20,+H20*I20)</f>
        <v>0</v>
      </c>
      <c r="K20" s="17">
        <f>MAX(0,+F20-J20)</f>
        <v>0</v>
      </c>
      <c r="L20" s="28"/>
      <c r="M20" s="2">
        <f>D20-N20</f>
        <v>0</v>
      </c>
      <c r="N20" s="2">
        <f>D20*L20</f>
        <v>0</v>
      </c>
      <c r="O20" s="2">
        <f>C20*I20</f>
        <v>0</v>
      </c>
      <c r="P20" s="2">
        <f>I20*0.5*M20</f>
        <v>0</v>
      </c>
      <c r="Q20" s="2">
        <f>I20*1.5*N20</f>
        <v>0</v>
      </c>
      <c r="R20" s="2">
        <f>SUM(O20:Q20)</f>
        <v>0</v>
      </c>
    </row>
    <row r="21" spans="1:18" x14ac:dyDescent="0.25">
      <c r="A21" s="13">
        <v>12</v>
      </c>
      <c r="B21" s="14" t="s">
        <v>6</v>
      </c>
      <c r="C21" s="15">
        <v>17950</v>
      </c>
      <c r="D21" s="16">
        <v>42000</v>
      </c>
      <c r="E21" s="16"/>
      <c r="F21" s="17">
        <f>MAX((SUM(C21:E21)),0)</f>
        <v>59950</v>
      </c>
      <c r="G21" s="17">
        <f>IF((D21+E21)&lt;=0, 0,(D21+E21)*0.5)</f>
        <v>21000</v>
      </c>
      <c r="H21" s="17">
        <f>+F21-G21</f>
        <v>38950</v>
      </c>
      <c r="I21" s="18">
        <v>1</v>
      </c>
      <c r="J21" s="17">
        <f>IF(+H21&lt;0,+H21,+H21*I21)</f>
        <v>38950</v>
      </c>
      <c r="K21" s="17">
        <f>MAX(0,+F21-J21)</f>
        <v>21000</v>
      </c>
      <c r="L21" s="28"/>
      <c r="M21" s="2">
        <f>D21-N21</f>
        <v>42000</v>
      </c>
      <c r="N21" s="2">
        <f>D21*L21</f>
        <v>0</v>
      </c>
      <c r="O21" s="2">
        <f>C21*I21</f>
        <v>17950</v>
      </c>
      <c r="P21" s="2">
        <f>I21*0.5*M21</f>
        <v>21000</v>
      </c>
      <c r="Q21" s="2">
        <f>I21*1.5*N21</f>
        <v>0</v>
      </c>
      <c r="R21" s="2">
        <f>SUM(O21:Q21)</f>
        <v>38950</v>
      </c>
    </row>
    <row r="22" spans="1:18" x14ac:dyDescent="0.25">
      <c r="A22" s="13">
        <v>45</v>
      </c>
      <c r="B22" s="14" t="s">
        <v>27</v>
      </c>
      <c r="C22" s="15">
        <v>474</v>
      </c>
      <c r="D22" s="16"/>
      <c r="E22" s="16"/>
      <c r="F22" s="17">
        <f>MAX((SUM(C22:E22)),0)</f>
        <v>474</v>
      </c>
      <c r="G22" s="17">
        <f>IF((D22+E22)&lt;=0, 0,(D22+E22)*0.5)</f>
        <v>0</v>
      </c>
      <c r="H22" s="17">
        <f>+F22-G22</f>
        <v>474</v>
      </c>
      <c r="I22" s="18">
        <v>0.45</v>
      </c>
      <c r="J22" s="17">
        <f>IF(+H22&lt;0,+H22,+H22*I22)</f>
        <v>213.3</v>
      </c>
      <c r="K22" s="17">
        <f>MAX(0,+F22-J22)</f>
        <v>260.7</v>
      </c>
      <c r="L22" s="28"/>
      <c r="M22" s="2">
        <f>D22-N22</f>
        <v>0</v>
      </c>
      <c r="N22" s="2">
        <f>D22*L22</f>
        <v>0</v>
      </c>
      <c r="O22" s="2">
        <f>C22*I22</f>
        <v>213.3</v>
      </c>
      <c r="P22" s="2">
        <f>I22*0.5*M22</f>
        <v>0</v>
      </c>
      <c r="Q22" s="2">
        <f>I22*1.5*N22</f>
        <v>0</v>
      </c>
      <c r="R22" s="2">
        <f>SUM(O22:Q22)</f>
        <v>213.3</v>
      </c>
    </row>
    <row r="23" spans="1:18" x14ac:dyDescent="0.25">
      <c r="A23" s="13">
        <v>46</v>
      </c>
      <c r="B23" s="14" t="s">
        <v>28</v>
      </c>
      <c r="C23" s="15">
        <v>0</v>
      </c>
      <c r="D23" s="16"/>
      <c r="E23" s="16"/>
      <c r="F23" s="17">
        <f>MAX((SUM(C23:E23)),0)</f>
        <v>0</v>
      </c>
      <c r="G23" s="17">
        <f>IF((D23+E23)&lt;=0, 0,(D23+E23)*0.5)</f>
        <v>0</v>
      </c>
      <c r="H23" s="17">
        <f>+F23-G23</f>
        <v>0</v>
      </c>
      <c r="I23" s="18">
        <v>0.3</v>
      </c>
      <c r="J23" s="17">
        <f>IF(+H23&lt;0,+H23,+H23*I23)</f>
        <v>0</v>
      </c>
      <c r="K23" s="17">
        <f>MAX(0,+F23-J23)</f>
        <v>0</v>
      </c>
      <c r="L23" s="28"/>
      <c r="M23" s="2">
        <f>D23-N23</f>
        <v>0</v>
      </c>
      <c r="N23" s="2">
        <f>D23*L23</f>
        <v>0</v>
      </c>
      <c r="O23" s="2">
        <f>C23*I23</f>
        <v>0</v>
      </c>
      <c r="P23" s="2">
        <f>I23*0.5*M23</f>
        <v>0</v>
      </c>
      <c r="Q23" s="2">
        <f>I23*1.5*N23</f>
        <v>0</v>
      </c>
      <c r="R23" s="2">
        <f>SUM(O23:Q23)</f>
        <v>0</v>
      </c>
    </row>
    <row r="24" spans="1:18" x14ac:dyDescent="0.25">
      <c r="A24" s="13">
        <v>47</v>
      </c>
      <c r="B24" s="14" t="s">
        <v>7</v>
      </c>
      <c r="C24" s="15">
        <v>7236843</v>
      </c>
      <c r="D24" s="16">
        <v>1106222</v>
      </c>
      <c r="E24" s="16">
        <v>0</v>
      </c>
      <c r="F24" s="17">
        <f>MAX((SUM(C24:E24)),0)</f>
        <v>8343065</v>
      </c>
      <c r="G24" s="17">
        <f>IF((D24+E24)&lt;=0, 0,(D24+E24)*0.5)</f>
        <v>553111</v>
      </c>
      <c r="H24" s="17">
        <f>+F24-G24</f>
        <v>7789954</v>
      </c>
      <c r="I24" s="18">
        <v>0.08</v>
      </c>
      <c r="J24" s="17">
        <f>IF(+H24&lt;0,+H24,+H24*I24)</f>
        <v>623196.32000000007</v>
      </c>
      <c r="K24" s="17">
        <f>MAX(0,+F24-J24)</f>
        <v>7719868.6799999997</v>
      </c>
      <c r="L24" s="28">
        <f>678373/1131362</f>
        <v>0.59960737588853086</v>
      </c>
      <c r="M24" s="38">
        <f>D24-N24+E24</f>
        <v>442923.12942983757</v>
      </c>
      <c r="N24" s="2">
        <f>D24*L24</f>
        <v>663298.87057016243</v>
      </c>
      <c r="O24" s="2">
        <f>C24*I24</f>
        <v>578947.44000000006</v>
      </c>
      <c r="P24" s="2">
        <f>I24*0.5*M24</f>
        <v>17716.925177193505</v>
      </c>
      <c r="Q24" s="2">
        <f>I24*1.5*N24</f>
        <v>79595.864468419488</v>
      </c>
      <c r="R24" s="2">
        <f>SUM(O24:Q24)</f>
        <v>676260.229645613</v>
      </c>
    </row>
    <row r="25" spans="1:18" x14ac:dyDescent="0.25">
      <c r="A25" s="13">
        <v>50</v>
      </c>
      <c r="B25" s="14" t="s">
        <v>8</v>
      </c>
      <c r="C25" s="15">
        <v>14484</v>
      </c>
      <c r="D25" s="16">
        <v>77200</v>
      </c>
      <c r="E25" s="16"/>
      <c r="F25" s="17">
        <f>MAX((SUM(C25:E25)),0)</f>
        <v>91684</v>
      </c>
      <c r="G25" s="17">
        <f>IF((D25+E25)&lt;=0, 0,(D25+E25)*0.5)</f>
        <v>38600</v>
      </c>
      <c r="H25" s="17">
        <f>+F25-G25</f>
        <v>53084</v>
      </c>
      <c r="I25" s="18">
        <v>0.55000000000000004</v>
      </c>
      <c r="J25" s="17">
        <f>IF(+H25&lt;0,+H25,+H25*I25)</f>
        <v>29196.2</v>
      </c>
      <c r="K25" s="17">
        <f>MAX(0,+F25-J25)</f>
        <v>62487.8</v>
      </c>
      <c r="L25" s="28">
        <f>4769/13899</f>
        <v>0.34311820994316139</v>
      </c>
      <c r="M25" s="2">
        <f>D25-N25</f>
        <v>50711.274192387937</v>
      </c>
      <c r="N25" s="2">
        <f>D25*L25</f>
        <v>26488.72580761206</v>
      </c>
      <c r="O25" s="2">
        <f>C25*I25</f>
        <v>7966.2000000000007</v>
      </c>
      <c r="P25" s="2">
        <f>I25*0.5*M25</f>
        <v>13945.600402906684</v>
      </c>
      <c r="Q25" s="2">
        <f>I25*1.5*N25</f>
        <v>21853.198791279952</v>
      </c>
      <c r="R25" s="2">
        <f>SUM(O25:Q25)</f>
        <v>43764.999194186639</v>
      </c>
    </row>
    <row r="26" spans="1:18" x14ac:dyDescent="0.25">
      <c r="A26" s="13">
        <v>52</v>
      </c>
      <c r="B26" s="14" t="s">
        <v>82</v>
      </c>
      <c r="C26" s="15">
        <v>0</v>
      </c>
      <c r="D26" s="16"/>
      <c r="E26" s="16"/>
      <c r="F26" s="17">
        <f>MAX((SUM(C26:E26)),0)</f>
        <v>0</v>
      </c>
      <c r="G26" s="17">
        <f>IF((D26+E26)&lt;=0, 0,(D26+E26)*0.5)</f>
        <v>0</v>
      </c>
      <c r="H26" s="17">
        <f>+F26-G26</f>
        <v>0</v>
      </c>
      <c r="I26" s="18">
        <v>1</v>
      </c>
      <c r="J26" s="17">
        <f>IF(+H26&lt;0,+H26,+H26*I26)</f>
        <v>0</v>
      </c>
      <c r="K26" s="17">
        <f>MAX(0,+F26-J26)</f>
        <v>0</v>
      </c>
      <c r="L26" s="28"/>
      <c r="M26" s="2">
        <f>D26-N26</f>
        <v>0</v>
      </c>
      <c r="N26" s="2">
        <f>D26*L26</f>
        <v>0</v>
      </c>
      <c r="O26" s="2">
        <f>C26*I26</f>
        <v>0</v>
      </c>
      <c r="P26" s="2">
        <f>I26*0.5*M26</f>
        <v>0</v>
      </c>
      <c r="Q26" s="2">
        <f>I26*1.5*N26</f>
        <v>0</v>
      </c>
      <c r="R26" s="2">
        <f>SUM(O26:Q26)</f>
        <v>0</v>
      </c>
    </row>
    <row r="27" spans="1:18" x14ac:dyDescent="0.25">
      <c r="A27" s="13">
        <v>95</v>
      </c>
      <c r="B27" s="14" t="s">
        <v>29</v>
      </c>
      <c r="C27" s="15"/>
      <c r="D27" s="16"/>
      <c r="E27" s="16"/>
      <c r="F27" s="17">
        <f>MAX((SUM(C27:E27)),0)</f>
        <v>0</v>
      </c>
      <c r="G27" s="17">
        <f>IF((D27+E27)&lt;=0, 0,(D27+E27)*0.5)</f>
        <v>0</v>
      </c>
      <c r="H27" s="17">
        <f>+F27-G27</f>
        <v>0</v>
      </c>
      <c r="I27" s="18">
        <v>0</v>
      </c>
      <c r="J27" s="17">
        <f>IF(+H27&lt;0,+H27,+H27*I27)</f>
        <v>0</v>
      </c>
      <c r="K27" s="17">
        <f>MAX(0,+F27-J27)</f>
        <v>0</v>
      </c>
      <c r="L27" s="28"/>
      <c r="M27" s="2">
        <f>D27-N27</f>
        <v>0</v>
      </c>
      <c r="N27" s="2">
        <f>D27*L27</f>
        <v>0</v>
      </c>
      <c r="O27" s="2">
        <f>C27*I27</f>
        <v>0</v>
      </c>
      <c r="P27" s="2">
        <f>I27*0.5*M27</f>
        <v>0</v>
      </c>
      <c r="Q27" s="2">
        <f>I27*1.5*N27</f>
        <v>0</v>
      </c>
      <c r="R27" s="2">
        <f>SUM(O27:Q27)</f>
        <v>0</v>
      </c>
    </row>
    <row r="28" spans="1:18" ht="15.75" thickBot="1" x14ac:dyDescent="0.3">
      <c r="A28" s="19"/>
      <c r="B28" s="20"/>
      <c r="C28" s="21"/>
      <c r="D28" s="16"/>
      <c r="E28" s="16"/>
      <c r="F28" s="17">
        <f>MAX((SUM(C28:E28)),0)</f>
        <v>0</v>
      </c>
      <c r="G28" s="17">
        <f>IF((D28+E28)&lt;=0, 0,(D28+E28)*0.5)</f>
        <v>0</v>
      </c>
      <c r="H28" s="17">
        <f>+F28-G28</f>
        <v>0</v>
      </c>
      <c r="I28" s="18"/>
      <c r="J28" s="17">
        <f>IF(+H28&lt;0,+H28,+H28*I28)</f>
        <v>0</v>
      </c>
      <c r="K28" s="17">
        <f>MAX(0,+F28-J28)</f>
        <v>0</v>
      </c>
      <c r="L28" s="28"/>
      <c r="M28" s="2"/>
      <c r="N28" s="2"/>
      <c r="O28" s="2"/>
      <c r="P28" s="2">
        <f>I28*0.5*M28</f>
        <v>0</v>
      </c>
      <c r="Q28" s="2">
        <f>I28*1.5*N28</f>
        <v>0</v>
      </c>
      <c r="R28" s="2">
        <f>SUM(O28:Q28)</f>
        <v>0</v>
      </c>
    </row>
    <row r="29" spans="1:18" ht="15.75" thickBot="1" x14ac:dyDescent="0.3">
      <c r="A29" s="22"/>
      <c r="B29" s="23" t="s">
        <v>22</v>
      </c>
      <c r="C29" s="24">
        <f>SUM(C15:C28)</f>
        <v>17648924</v>
      </c>
      <c r="D29" s="24">
        <f>SUM(D15:D28)</f>
        <v>1295222</v>
      </c>
      <c r="E29" s="24">
        <f>SUM(E15:E28)</f>
        <v>-5474</v>
      </c>
      <c r="F29" s="24">
        <f>SUM(F15:F28)</f>
        <v>18938672</v>
      </c>
      <c r="G29" s="24">
        <f>SUM(G15:G28)</f>
        <v>644874</v>
      </c>
      <c r="H29" s="24">
        <f>SUM(H15:H28)</f>
        <v>18293798</v>
      </c>
      <c r="I29" s="25"/>
      <c r="J29" s="26">
        <f>SUM(J15:J28)</f>
        <v>1166565.46</v>
      </c>
      <c r="K29" s="26">
        <f>SUM(K15:K28)</f>
        <v>17772106.540000003</v>
      </c>
      <c r="L29" s="28"/>
      <c r="M29" s="27">
        <f>SUM(M15:M28)</f>
        <v>599161.28767558269</v>
      </c>
      <c r="N29" s="27">
        <f>SUM(N15:N28)</f>
        <v>690586.71232441731</v>
      </c>
      <c r="O29" s="27">
        <f>SUM(O15:O28)</f>
        <v>1072177.68</v>
      </c>
      <c r="P29" s="27">
        <f>SUM(P15:P28)</f>
        <v>60485.241498437863</v>
      </c>
      <c r="Q29" s="27">
        <f>SUM(Q15:Q28)</f>
        <v>101707.61550468642</v>
      </c>
      <c r="R29" s="27">
        <f>SUM(R15:R28)</f>
        <v>1234370.5370031244</v>
      </c>
    </row>
    <row r="30" spans="1:18" x14ac:dyDescent="0.25">
      <c r="G30" s="33" t="s">
        <v>53</v>
      </c>
      <c r="R30" s="33" t="s">
        <v>52</v>
      </c>
    </row>
    <row r="32" spans="1:18" x14ac:dyDescent="0.25">
      <c r="I32" t="s">
        <v>81</v>
      </c>
      <c r="J32" s="2"/>
    </row>
    <row r="34" spans="2:17" x14ac:dyDescent="0.25">
      <c r="B34" t="s">
        <v>90</v>
      </c>
      <c r="M34" t="s">
        <v>9</v>
      </c>
      <c r="O34" s="4">
        <f>R29-J29</f>
        <v>67805.077003124403</v>
      </c>
      <c r="P34" s="34" t="s">
        <v>54</v>
      </c>
    </row>
    <row r="35" spans="2:17" x14ac:dyDescent="0.25">
      <c r="B35" s="37" t="s">
        <v>89</v>
      </c>
    </row>
    <row r="36" spans="2:17" x14ac:dyDescent="0.25">
      <c r="M36" t="s">
        <v>10</v>
      </c>
      <c r="N36" s="5">
        <v>0.155</v>
      </c>
      <c r="O36" s="1">
        <f>O34*N36</f>
        <v>10509.786935484282</v>
      </c>
      <c r="P36" s="34" t="s">
        <v>55</v>
      </c>
    </row>
    <row r="37" spans="2:17" x14ac:dyDescent="0.25">
      <c r="O37" s="1"/>
    </row>
    <row r="38" spans="2:17" x14ac:dyDescent="0.25">
      <c r="M38" t="s">
        <v>11</v>
      </c>
      <c r="O38" s="1">
        <f>O36/(1-N36)</f>
        <v>12437.617675129328</v>
      </c>
      <c r="P38" s="35" t="s">
        <v>56</v>
      </c>
    </row>
    <row r="40" spans="2:17" x14ac:dyDescent="0.25">
      <c r="M40" t="s">
        <v>36</v>
      </c>
      <c r="P40" s="4">
        <f>O38</f>
        <v>12437.617675129328</v>
      </c>
    </row>
    <row r="41" spans="2:17" x14ac:dyDescent="0.25">
      <c r="N41" t="s">
        <v>37</v>
      </c>
      <c r="Q41" s="4">
        <f>-P40</f>
        <v>-12437.617675129328</v>
      </c>
    </row>
    <row r="42" spans="2:17" x14ac:dyDescent="0.25">
      <c r="B42" t="s">
        <v>88</v>
      </c>
    </row>
    <row r="64" spans="13:13" x14ac:dyDescent="0.25">
      <c r="M64" t="s">
        <v>87</v>
      </c>
    </row>
    <row r="65" spans="1:20" x14ac:dyDescent="0.25">
      <c r="M65" t="s">
        <v>86</v>
      </c>
    </row>
    <row r="66" spans="1:20" x14ac:dyDescent="0.25">
      <c r="M66" t="s">
        <v>85</v>
      </c>
    </row>
    <row r="69" spans="1:20" x14ac:dyDescent="0.25">
      <c r="A69" t="s">
        <v>41</v>
      </c>
    </row>
    <row r="70" spans="1:20" ht="20.25" x14ac:dyDescent="0.3">
      <c r="A70" s="6" t="s">
        <v>84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20" ht="23.25" x14ac:dyDescent="0.35">
      <c r="A71" s="7"/>
      <c r="B71" s="3" t="s">
        <v>83</v>
      </c>
      <c r="C71" s="8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20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2" t="s">
        <v>0</v>
      </c>
      <c r="N72" s="2"/>
      <c r="O72" s="1" t="s">
        <v>30</v>
      </c>
      <c r="P72" s="1" t="s">
        <v>31</v>
      </c>
      <c r="Q72" s="1" t="s">
        <v>31</v>
      </c>
      <c r="R72" s="2"/>
    </row>
    <row r="73" spans="1:20" ht="48" x14ac:dyDescent="0.25">
      <c r="A73" s="9" t="s">
        <v>12</v>
      </c>
      <c r="B73" s="10" t="s">
        <v>13</v>
      </c>
      <c r="C73" s="11" t="s">
        <v>14</v>
      </c>
      <c r="D73" s="11" t="s">
        <v>0</v>
      </c>
      <c r="E73" s="11" t="s">
        <v>15</v>
      </c>
      <c r="F73" s="11" t="s">
        <v>16</v>
      </c>
      <c r="G73" s="11" t="s">
        <v>17</v>
      </c>
      <c r="H73" s="11" t="s">
        <v>18</v>
      </c>
      <c r="I73" s="12" t="s">
        <v>19</v>
      </c>
      <c r="J73" s="11" t="s">
        <v>20</v>
      </c>
      <c r="K73" s="11" t="s">
        <v>21</v>
      </c>
      <c r="L73" s="29" t="s">
        <v>35</v>
      </c>
      <c r="M73" s="30" t="s">
        <v>32</v>
      </c>
      <c r="N73" s="30" t="s">
        <v>33</v>
      </c>
      <c r="O73" s="30" t="s">
        <v>1</v>
      </c>
      <c r="P73" s="30" t="s">
        <v>34</v>
      </c>
      <c r="Q73" s="30" t="s">
        <v>2</v>
      </c>
      <c r="R73" s="30"/>
      <c r="T73" s="36" t="s">
        <v>9</v>
      </c>
    </row>
    <row r="74" spans="1:20" x14ac:dyDescent="0.25">
      <c r="A74" s="13">
        <v>1</v>
      </c>
      <c r="B74" s="14" t="s">
        <v>3</v>
      </c>
      <c r="C74" s="15">
        <v>10126081</v>
      </c>
      <c r="D74" s="16"/>
      <c r="E74" s="16"/>
      <c r="F74" s="17">
        <f>MAX((SUM(C74:E74)),0)</f>
        <v>10126081</v>
      </c>
      <c r="G74" s="17">
        <f>IF((D74+E74)&lt;=0, 0,(D74+E74)*0.5)</f>
        <v>0</v>
      </c>
      <c r="H74" s="17">
        <f>+F74-G74</f>
        <v>10126081</v>
      </c>
      <c r="I74" s="18">
        <v>0.04</v>
      </c>
      <c r="J74" s="17">
        <f>IF(+H74&lt;0,+H74,+H74*I74)</f>
        <v>405043.24</v>
      </c>
      <c r="K74" s="17">
        <f>MAX(0,+F74-J74)</f>
        <v>9721037.7599999998</v>
      </c>
      <c r="L74" s="28"/>
      <c r="M74" s="2">
        <f>D74*(327/365)</f>
        <v>0</v>
      </c>
      <c r="N74" s="2">
        <f>D74*(41/365)</f>
        <v>0</v>
      </c>
      <c r="O74" s="2">
        <f>C74*I74</f>
        <v>405043.24</v>
      </c>
      <c r="P74" s="2">
        <f>I74*0.5*M74</f>
        <v>0</v>
      </c>
      <c r="Q74" s="2">
        <f>I74*1.5*D74</f>
        <v>0</v>
      </c>
      <c r="R74" s="2">
        <f>SUM(O74:Q74)</f>
        <v>405043.24</v>
      </c>
      <c r="T74" s="4">
        <f>R74-J74</f>
        <v>0</v>
      </c>
    </row>
    <row r="75" spans="1:20" x14ac:dyDescent="0.25">
      <c r="A75" s="13" t="s">
        <v>23</v>
      </c>
      <c r="B75" s="14" t="s">
        <v>24</v>
      </c>
      <c r="C75" s="15">
        <v>0</v>
      </c>
      <c r="D75" s="16"/>
      <c r="E75" s="16"/>
      <c r="F75" s="17">
        <f>MAX((SUM(C75:E75)),0)</f>
        <v>0</v>
      </c>
      <c r="G75" s="17">
        <f>IF((D75+E75)&lt;=0, 0,(D75+E75)*0.5)</f>
        <v>0</v>
      </c>
      <c r="H75" s="17">
        <f>+F75-G75</f>
        <v>0</v>
      </c>
      <c r="I75" s="18">
        <v>0.06</v>
      </c>
      <c r="J75" s="17">
        <f>IF(+H75&lt;0,+H75,+H75*I75)</f>
        <v>0</v>
      </c>
      <c r="K75" s="17">
        <f>MAX(0,+F75-J75)</f>
        <v>0</v>
      </c>
      <c r="L75" s="28"/>
      <c r="M75" s="2">
        <f>D75*(327/365)</f>
        <v>0</v>
      </c>
      <c r="N75" s="2">
        <f>D75*(41/365)</f>
        <v>0</v>
      </c>
      <c r="O75" s="2">
        <f>C75*I75</f>
        <v>0</v>
      </c>
      <c r="P75" s="2">
        <f>I75*0.5*M75</f>
        <v>0</v>
      </c>
      <c r="Q75" s="2">
        <f>I75*1.5*D75</f>
        <v>0</v>
      </c>
      <c r="R75" s="2">
        <f>SUM(O75:Q75)</f>
        <v>0</v>
      </c>
      <c r="T75" s="4">
        <f>R75-J75</f>
        <v>0</v>
      </c>
    </row>
    <row r="76" spans="1:20" x14ac:dyDescent="0.25">
      <c r="A76" s="13">
        <v>2</v>
      </c>
      <c r="B76" s="14" t="s">
        <v>25</v>
      </c>
      <c r="C76" s="15">
        <v>0</v>
      </c>
      <c r="D76" s="16"/>
      <c r="E76" s="16"/>
      <c r="F76" s="17">
        <f>MAX((SUM(C76:E76)),0)</f>
        <v>0</v>
      </c>
      <c r="G76" s="17">
        <f>IF((D76+E76)&lt;=0, 0,(D76+E76)*0.5)</f>
        <v>0</v>
      </c>
      <c r="H76" s="17">
        <f>+F76-G76</f>
        <v>0</v>
      </c>
      <c r="I76" s="18">
        <v>0.06</v>
      </c>
      <c r="J76" s="17">
        <f>IF(+H76&lt;0,+H76,+H76*I76)</f>
        <v>0</v>
      </c>
      <c r="K76" s="17">
        <f>MAX(0,+F76-J76)</f>
        <v>0</v>
      </c>
      <c r="L76" s="28"/>
      <c r="M76" s="2">
        <f>D76*(327/365)</f>
        <v>0</v>
      </c>
      <c r="N76" s="2">
        <f>D76*(41/365)</f>
        <v>0</v>
      </c>
      <c r="O76" s="2">
        <f>C76*I76</f>
        <v>0</v>
      </c>
      <c r="P76" s="2">
        <f>I76*0.5*M76</f>
        <v>0</v>
      </c>
      <c r="Q76" s="2">
        <f>I76*1.5*D76</f>
        <v>0</v>
      </c>
      <c r="R76" s="2">
        <f>SUM(O76:Q76)</f>
        <v>0</v>
      </c>
      <c r="T76" s="4">
        <f>R76-J76</f>
        <v>0</v>
      </c>
    </row>
    <row r="77" spans="1:20" x14ac:dyDescent="0.25">
      <c r="A77" s="13">
        <v>8</v>
      </c>
      <c r="B77" s="14" t="s">
        <v>4</v>
      </c>
      <c r="C77" s="15">
        <v>138701</v>
      </c>
      <c r="D77" s="16">
        <v>34800</v>
      </c>
      <c r="E77" s="16"/>
      <c r="F77" s="17">
        <f>MAX((SUM(C77:E77)),0)</f>
        <v>173501</v>
      </c>
      <c r="G77" s="17">
        <f>IF((D77+E77)&lt;=0, 0,(D77+E77)*0.5)</f>
        <v>17400</v>
      </c>
      <c r="H77" s="17">
        <f>+F77-G77</f>
        <v>156101</v>
      </c>
      <c r="I77" s="18">
        <v>0.2</v>
      </c>
      <c r="J77" s="17">
        <f>IF(+H77&lt;0,+H77,+H77*I77)</f>
        <v>31220.2</v>
      </c>
      <c r="K77" s="17">
        <f>MAX(0,+F77-J77)</f>
        <v>142280.79999999999</v>
      </c>
      <c r="L77" s="28">
        <v>1</v>
      </c>
      <c r="M77" s="2">
        <f>D77-N77</f>
        <v>0</v>
      </c>
      <c r="N77" s="2">
        <f>D77*L77</f>
        <v>34800</v>
      </c>
      <c r="O77" s="2">
        <f>C77*I77</f>
        <v>27740.2</v>
      </c>
      <c r="P77" s="2">
        <f>I77*0.5*M77</f>
        <v>0</v>
      </c>
      <c r="Q77" s="2">
        <f>I77*1.5*N77</f>
        <v>10440.000000000002</v>
      </c>
      <c r="R77" s="2">
        <f>SUM(O77:Q77)</f>
        <v>38180.200000000004</v>
      </c>
      <c r="T77" s="4">
        <f>R77-J77</f>
        <v>6960.0000000000036</v>
      </c>
    </row>
    <row r="78" spans="1:20" x14ac:dyDescent="0.25">
      <c r="A78" s="13">
        <v>10</v>
      </c>
      <c r="B78" s="14" t="s">
        <v>5</v>
      </c>
      <c r="C78" s="15">
        <v>114391</v>
      </c>
      <c r="D78" s="16">
        <v>35000</v>
      </c>
      <c r="E78" s="16">
        <v>-5474</v>
      </c>
      <c r="F78" s="17">
        <f>MAX((SUM(C78:E78)),0)</f>
        <v>143917</v>
      </c>
      <c r="G78" s="17">
        <f>IF((D78+E78)&lt;=0, 0,(D78+E78)*0.5)</f>
        <v>14763</v>
      </c>
      <c r="H78" s="17">
        <f>+F78-G78</f>
        <v>129154</v>
      </c>
      <c r="I78" s="18">
        <v>0.3</v>
      </c>
      <c r="J78" s="17">
        <f>IF(+H78&lt;0,+H78,+H78*I78)</f>
        <v>38746.199999999997</v>
      </c>
      <c r="K78" s="17">
        <f>MAX(0,+F78-J78)</f>
        <v>105170.8</v>
      </c>
      <c r="L78" s="28">
        <v>1</v>
      </c>
      <c r="M78" s="2">
        <v>0</v>
      </c>
      <c r="N78" s="2">
        <f>(D78+E78)*L78</f>
        <v>29526</v>
      </c>
      <c r="O78" s="2">
        <f>C78*I78</f>
        <v>34317.299999999996</v>
      </c>
      <c r="P78" s="2">
        <f>I78*0.5*M78</f>
        <v>0</v>
      </c>
      <c r="Q78" s="2">
        <f>I78*1.5*N78</f>
        <v>13286.699999999999</v>
      </c>
      <c r="R78" s="2">
        <f>SUM(O78:Q78)</f>
        <v>47603.999999999993</v>
      </c>
      <c r="T78" s="4">
        <f>R78-J78</f>
        <v>8857.7999999999956</v>
      </c>
    </row>
    <row r="79" spans="1:20" x14ac:dyDescent="0.25">
      <c r="A79" s="13">
        <v>10.1</v>
      </c>
      <c r="B79" s="14" t="s">
        <v>26</v>
      </c>
      <c r="C79" s="15">
        <v>0</v>
      </c>
      <c r="D79" s="16"/>
      <c r="E79" s="16"/>
      <c r="F79" s="17">
        <f>MAX((SUM(C79:E79)),0)</f>
        <v>0</v>
      </c>
      <c r="G79" s="17">
        <f>IF((D79+E79)&lt;=0, 0,(D79+E79)*0.5)</f>
        <v>0</v>
      </c>
      <c r="H79" s="17">
        <f>+F79-G79</f>
        <v>0</v>
      </c>
      <c r="I79" s="18">
        <v>0.3</v>
      </c>
      <c r="J79" s="17">
        <f>IF(+H79&lt;0,+H79,+H79*I79)</f>
        <v>0</v>
      </c>
      <c r="K79" s="17">
        <f>MAX(0,+F79-J79)</f>
        <v>0</v>
      </c>
      <c r="L79" s="28"/>
      <c r="M79" s="2">
        <f>D79-N79</f>
        <v>0</v>
      </c>
      <c r="N79" s="2">
        <f>D79*L79</f>
        <v>0</v>
      </c>
      <c r="O79" s="2">
        <f>C79*I79</f>
        <v>0</v>
      </c>
      <c r="P79" s="2">
        <f>I79*0.5*M79</f>
        <v>0</v>
      </c>
      <c r="Q79" s="2">
        <f>I79*1.5*N79</f>
        <v>0</v>
      </c>
      <c r="R79" s="2">
        <f>SUM(O79:Q79)</f>
        <v>0</v>
      </c>
      <c r="T79" s="4">
        <f>R79-J79</f>
        <v>0</v>
      </c>
    </row>
    <row r="80" spans="1:20" x14ac:dyDescent="0.25">
      <c r="A80" s="13">
        <v>12</v>
      </c>
      <c r="B80" s="14" t="s">
        <v>6</v>
      </c>
      <c r="C80" s="15">
        <v>17950</v>
      </c>
      <c r="D80" s="16">
        <v>42000</v>
      </c>
      <c r="E80" s="16"/>
      <c r="F80" s="17">
        <f>MAX((SUM(C80:E80)),0)</f>
        <v>59950</v>
      </c>
      <c r="G80" s="17">
        <f>IF((D80+E80)&lt;=0, 0,(D80+E80)*0.5)</f>
        <v>21000</v>
      </c>
      <c r="H80" s="17">
        <f>+F80-G80</f>
        <v>38950</v>
      </c>
      <c r="I80" s="18">
        <v>1</v>
      </c>
      <c r="J80" s="17">
        <f>IF(+H80&lt;0,+H80,+H80*I80)</f>
        <v>38950</v>
      </c>
      <c r="K80" s="17">
        <f>MAX(0,+F80-J80)</f>
        <v>21000</v>
      </c>
      <c r="L80" s="28">
        <v>1</v>
      </c>
      <c r="M80" s="2">
        <f>D80-N80</f>
        <v>0</v>
      </c>
      <c r="N80" s="2">
        <f>D80*L80</f>
        <v>42000</v>
      </c>
      <c r="O80" s="2">
        <f>C80*I80</f>
        <v>17950</v>
      </c>
      <c r="P80" s="2">
        <f>I80*0.5*M80</f>
        <v>0</v>
      </c>
      <c r="Q80" s="2">
        <f>I80*1*N80</f>
        <v>42000</v>
      </c>
      <c r="R80" s="2">
        <f>SUM(O80:Q80)</f>
        <v>59950</v>
      </c>
      <c r="T80" s="4">
        <f>R80-J80</f>
        <v>21000</v>
      </c>
    </row>
    <row r="81" spans="1:20" x14ac:dyDescent="0.25">
      <c r="A81" s="13">
        <v>45</v>
      </c>
      <c r="B81" s="14" t="s">
        <v>27</v>
      </c>
      <c r="C81" s="15">
        <v>474</v>
      </c>
      <c r="D81" s="16"/>
      <c r="E81" s="16"/>
      <c r="F81" s="17">
        <f>MAX((SUM(C81:E81)),0)</f>
        <v>474</v>
      </c>
      <c r="G81" s="17">
        <f>IF((D81+E81)&lt;=0, 0,(D81+E81)*0.5)</f>
        <v>0</v>
      </c>
      <c r="H81" s="17">
        <f>+F81-G81</f>
        <v>474</v>
      </c>
      <c r="I81" s="18">
        <v>0.45</v>
      </c>
      <c r="J81" s="17">
        <f>IF(+H81&lt;0,+H81,+H81*I81)</f>
        <v>213.3</v>
      </c>
      <c r="K81" s="17">
        <f>MAX(0,+F81-J81)</f>
        <v>260.7</v>
      </c>
      <c r="L81" s="28"/>
      <c r="M81" s="2">
        <f>D81-N81</f>
        <v>0</v>
      </c>
      <c r="N81" s="2">
        <f>D81*L81</f>
        <v>0</v>
      </c>
      <c r="O81" s="2">
        <f>C81*I81</f>
        <v>213.3</v>
      </c>
      <c r="P81" s="2">
        <f>I81*0.5*M81</f>
        <v>0</v>
      </c>
      <c r="Q81" s="2">
        <f>I81*1.5*N81</f>
        <v>0</v>
      </c>
      <c r="R81" s="2">
        <f>SUM(O81:Q81)</f>
        <v>213.3</v>
      </c>
      <c r="T81" s="4">
        <f>R81-J81</f>
        <v>0</v>
      </c>
    </row>
    <row r="82" spans="1:20" x14ac:dyDescent="0.25">
      <c r="A82" s="13">
        <v>46</v>
      </c>
      <c r="B82" s="14" t="s">
        <v>28</v>
      </c>
      <c r="C82" s="15">
        <v>0</v>
      </c>
      <c r="D82" s="16"/>
      <c r="E82" s="16"/>
      <c r="F82" s="17">
        <f>MAX((SUM(C82:E82)),0)</f>
        <v>0</v>
      </c>
      <c r="G82" s="17">
        <f>IF((D82+E82)&lt;=0, 0,(D82+E82)*0.5)</f>
        <v>0</v>
      </c>
      <c r="H82" s="17">
        <f>+F82-G82</f>
        <v>0</v>
      </c>
      <c r="I82" s="18">
        <v>0.3</v>
      </c>
      <c r="J82" s="17">
        <f>IF(+H82&lt;0,+H82,+H82*I82)</f>
        <v>0</v>
      </c>
      <c r="K82" s="17">
        <f>MAX(0,+F82-J82)</f>
        <v>0</v>
      </c>
      <c r="L82" s="28"/>
      <c r="M82" s="2">
        <f>D82-N82</f>
        <v>0</v>
      </c>
      <c r="N82" s="2">
        <f>D82*L82</f>
        <v>0</v>
      </c>
      <c r="O82" s="2">
        <f>C82*I82</f>
        <v>0</v>
      </c>
      <c r="P82" s="2">
        <f>I82*0.5*M82</f>
        <v>0</v>
      </c>
      <c r="Q82" s="2">
        <f>I82*1.5*N82</f>
        <v>0</v>
      </c>
      <c r="R82" s="2">
        <f>SUM(O82:Q82)</f>
        <v>0</v>
      </c>
      <c r="T82" s="4">
        <f>R82-J82</f>
        <v>0</v>
      </c>
    </row>
    <row r="83" spans="1:20" x14ac:dyDescent="0.25">
      <c r="A83" s="13">
        <v>47</v>
      </c>
      <c r="B83" s="14" t="s">
        <v>7</v>
      </c>
      <c r="C83" s="15">
        <v>7236843</v>
      </c>
      <c r="D83" s="16">
        <v>1106222</v>
      </c>
      <c r="E83" s="16">
        <v>0</v>
      </c>
      <c r="F83" s="17">
        <f>MAX((SUM(C83:E83)),0)</f>
        <v>8343065</v>
      </c>
      <c r="G83" s="17">
        <f>IF((D83+E83)&lt;=0, 0,(D83+E83)*0.5)</f>
        <v>553111</v>
      </c>
      <c r="H83" s="17">
        <f>+F83-G83</f>
        <v>7789954</v>
      </c>
      <c r="I83" s="18">
        <v>0.08</v>
      </c>
      <c r="J83" s="17">
        <f>IF(+H83&lt;0,+H83,+H83*I83)</f>
        <v>623196.32000000007</v>
      </c>
      <c r="K83" s="17">
        <f>MAX(0,+F83-J83)</f>
        <v>7719868.6799999997</v>
      </c>
      <c r="L83" s="28">
        <v>1</v>
      </c>
      <c r="M83" s="2"/>
      <c r="N83" s="2">
        <f>(D83+E83)*L83</f>
        <v>1106222</v>
      </c>
      <c r="O83" s="2">
        <f>C83*I83</f>
        <v>578947.44000000006</v>
      </c>
      <c r="P83" s="2">
        <f>I83*0.5*M83</f>
        <v>0</v>
      </c>
      <c r="Q83" s="2">
        <f>I83*1.5*N83</f>
        <v>132746.63999999998</v>
      </c>
      <c r="R83" s="2">
        <f>SUM(O83:Q83)</f>
        <v>711694.08000000007</v>
      </c>
      <c r="T83" s="4">
        <f>R83-J83</f>
        <v>88497.760000000009</v>
      </c>
    </row>
    <row r="84" spans="1:20" x14ac:dyDescent="0.25">
      <c r="A84" s="13">
        <v>50</v>
      </c>
      <c r="B84" s="14" t="s">
        <v>8</v>
      </c>
      <c r="C84" s="15">
        <v>14484</v>
      </c>
      <c r="D84" s="16">
        <v>77200</v>
      </c>
      <c r="E84" s="16"/>
      <c r="F84" s="17">
        <f>MAX((SUM(C84:E84)),0)</f>
        <v>91684</v>
      </c>
      <c r="G84" s="17">
        <f>IF((D84+E84)&lt;=0, 0,(D84+E84)*0.5)</f>
        <v>38600</v>
      </c>
      <c r="H84" s="17">
        <f>+F84-G84</f>
        <v>53084</v>
      </c>
      <c r="I84" s="18">
        <v>0.55000000000000004</v>
      </c>
      <c r="J84" s="17">
        <f>IF(+H84&lt;0,+H84,+H84*I84)</f>
        <v>29196.2</v>
      </c>
      <c r="K84" s="17">
        <f>MAX(0,+F84-J84)</f>
        <v>62487.8</v>
      </c>
      <c r="L84" s="28">
        <v>1</v>
      </c>
      <c r="M84" s="2">
        <f>D84-N84</f>
        <v>0</v>
      </c>
      <c r="N84" s="2">
        <f>D84*L84</f>
        <v>77200</v>
      </c>
      <c r="O84" s="2">
        <f>C84*I84</f>
        <v>7966.2000000000007</v>
      </c>
      <c r="P84" s="2">
        <f>I84*0.5*M84</f>
        <v>0</v>
      </c>
      <c r="Q84" s="2">
        <f>I84*1.5*N84</f>
        <v>63690.000000000007</v>
      </c>
      <c r="R84" s="2">
        <f>SUM(O84:Q84)</f>
        <v>71656.200000000012</v>
      </c>
      <c r="T84" s="4">
        <f>R84-J84</f>
        <v>42460.000000000015</v>
      </c>
    </row>
    <row r="85" spans="1:20" x14ac:dyDescent="0.25">
      <c r="A85" s="13">
        <v>52</v>
      </c>
      <c r="B85" s="14" t="s">
        <v>82</v>
      </c>
      <c r="C85" s="15">
        <v>0</v>
      </c>
      <c r="D85" s="16"/>
      <c r="E85" s="16"/>
      <c r="F85" s="17">
        <f>MAX((SUM(C85:E85)),0)</f>
        <v>0</v>
      </c>
      <c r="G85" s="17">
        <f>IF((D85+E85)&lt;=0, 0,(D85+E85)*0.5)</f>
        <v>0</v>
      </c>
      <c r="H85" s="17">
        <f>+F85-G85</f>
        <v>0</v>
      </c>
      <c r="I85" s="18">
        <v>1</v>
      </c>
      <c r="J85" s="17">
        <f>IF(+H85&lt;0,+H85,+H85*I85)</f>
        <v>0</v>
      </c>
      <c r="K85" s="17">
        <f>MAX(0,+F85-J85)</f>
        <v>0</v>
      </c>
      <c r="L85" s="28"/>
      <c r="M85" s="2">
        <f>D85-N85</f>
        <v>0</v>
      </c>
      <c r="N85" s="2">
        <f>D85*L85</f>
        <v>0</v>
      </c>
      <c r="O85" s="2">
        <f>C85*I85</f>
        <v>0</v>
      </c>
      <c r="P85" s="2">
        <f>I85*0.5*M85</f>
        <v>0</v>
      </c>
      <c r="Q85" s="2">
        <f>I85*1.5*N85</f>
        <v>0</v>
      </c>
      <c r="R85" s="2">
        <f>SUM(O85:Q85)</f>
        <v>0</v>
      </c>
      <c r="T85" s="4">
        <f>R85-J85</f>
        <v>0</v>
      </c>
    </row>
    <row r="86" spans="1:20" x14ac:dyDescent="0.25">
      <c r="A86" s="13">
        <v>95</v>
      </c>
      <c r="B86" s="14" t="s">
        <v>29</v>
      </c>
      <c r="C86" s="15"/>
      <c r="D86" s="16"/>
      <c r="E86" s="16"/>
      <c r="F86" s="17">
        <f>MAX((SUM(C86:E86)),0)</f>
        <v>0</v>
      </c>
      <c r="G86" s="17">
        <f>IF((D86+E86)&lt;=0, 0,(D86+E86)*0.5)</f>
        <v>0</v>
      </c>
      <c r="H86" s="17">
        <f>+F86-G86</f>
        <v>0</v>
      </c>
      <c r="I86" s="18">
        <v>0</v>
      </c>
      <c r="J86" s="17">
        <f>IF(+H86&lt;0,+H86,+H86*I86)</f>
        <v>0</v>
      </c>
      <c r="K86" s="17">
        <f>MAX(0,+F86-J86)</f>
        <v>0</v>
      </c>
      <c r="L86" s="28"/>
      <c r="M86" s="2">
        <f>D86-N86</f>
        <v>0</v>
      </c>
      <c r="N86" s="2">
        <f>D86*L86</f>
        <v>0</v>
      </c>
      <c r="O86" s="2">
        <f>C86*I86</f>
        <v>0</v>
      </c>
      <c r="P86" s="2">
        <f>I86*0.5*M86</f>
        <v>0</v>
      </c>
      <c r="Q86" s="2">
        <f>I86*1.5*N86</f>
        <v>0</v>
      </c>
      <c r="R86" s="2">
        <f>SUM(O86:Q86)</f>
        <v>0</v>
      </c>
      <c r="T86" s="4">
        <f>R86-J86</f>
        <v>0</v>
      </c>
    </row>
    <row r="87" spans="1:20" ht="15.75" thickBot="1" x14ac:dyDescent="0.3">
      <c r="A87" s="19"/>
      <c r="B87" s="20"/>
      <c r="C87" s="21"/>
      <c r="D87" s="16"/>
      <c r="E87" s="16"/>
      <c r="F87" s="17">
        <f>MAX((SUM(C87:E87)),0)</f>
        <v>0</v>
      </c>
      <c r="G87" s="17">
        <f>IF((D87+E87)&lt;=0, 0,(D87+E87)*0.5)</f>
        <v>0</v>
      </c>
      <c r="H87" s="17">
        <f>+F87-G87</f>
        <v>0</v>
      </c>
      <c r="I87" s="18"/>
      <c r="J87" s="17">
        <f>IF(+H87&lt;0,+H87,+H87*I87)</f>
        <v>0</v>
      </c>
      <c r="K87" s="17">
        <f>MAX(0,+F87-J87)</f>
        <v>0</v>
      </c>
      <c r="L87" s="28"/>
      <c r="M87" s="2"/>
      <c r="N87" s="2"/>
      <c r="O87" s="2"/>
      <c r="P87" s="2">
        <f>I87*0.5*M87</f>
        <v>0</v>
      </c>
      <c r="Q87" s="2">
        <f>I87*1.5*N87</f>
        <v>0</v>
      </c>
      <c r="R87" s="2">
        <f>SUM(O87:Q87)</f>
        <v>0</v>
      </c>
      <c r="T87" s="4">
        <f>R87-J87</f>
        <v>0</v>
      </c>
    </row>
    <row r="88" spans="1:20" ht="15.75" thickBot="1" x14ac:dyDescent="0.3">
      <c r="A88" s="22"/>
      <c r="B88" s="23" t="s">
        <v>22</v>
      </c>
      <c r="C88" s="24">
        <f>SUM(C74:C87)</f>
        <v>17648924</v>
      </c>
      <c r="D88" s="24">
        <f>SUM(D74:D87)</f>
        <v>1295222</v>
      </c>
      <c r="E88" s="24">
        <f>SUM(E74:E87)</f>
        <v>-5474</v>
      </c>
      <c r="F88" s="24">
        <f>SUM(F74:F87)</f>
        <v>18938672</v>
      </c>
      <c r="G88" s="24">
        <f>SUM(G74:G87)</f>
        <v>644874</v>
      </c>
      <c r="H88" s="24">
        <f>SUM(H74:H87)</f>
        <v>18293798</v>
      </c>
      <c r="I88" s="25"/>
      <c r="J88" s="26">
        <f>SUM(J74:J87)</f>
        <v>1166565.46</v>
      </c>
      <c r="K88" s="26">
        <f>SUM(K74:K87)</f>
        <v>17772106.540000003</v>
      </c>
      <c r="L88" s="28"/>
      <c r="M88" s="27">
        <f>SUM(M74:M87)</f>
        <v>0</v>
      </c>
      <c r="N88" s="27">
        <f>SUM(N74:N87)</f>
        <v>1289748</v>
      </c>
      <c r="O88" s="27">
        <f>SUM(O74:O87)</f>
        <v>1072177.68</v>
      </c>
      <c r="P88" s="27">
        <f>SUM(P74:P87)</f>
        <v>0</v>
      </c>
      <c r="Q88" s="27">
        <f>SUM(Q74:Q87)</f>
        <v>262163.33999999997</v>
      </c>
      <c r="R88" s="27">
        <f>SUM(R74:R87)</f>
        <v>1334341.02</v>
      </c>
      <c r="T88" s="4">
        <f>SUM(T74:T87)</f>
        <v>167775.56000000003</v>
      </c>
    </row>
    <row r="89" spans="1:20" x14ac:dyDescent="0.25">
      <c r="G89" s="33" t="s">
        <v>53</v>
      </c>
      <c r="R89" s="33" t="s">
        <v>52</v>
      </c>
    </row>
    <row r="91" spans="1:20" x14ac:dyDescent="0.25">
      <c r="I91" t="s">
        <v>81</v>
      </c>
      <c r="J91" s="2"/>
    </row>
    <row r="93" spans="1:20" x14ac:dyDescent="0.25">
      <c r="M93" t="s">
        <v>9</v>
      </c>
      <c r="O93" s="4">
        <f>R88-J88</f>
        <v>167775.56000000006</v>
      </c>
      <c r="P93" s="34" t="s">
        <v>54</v>
      </c>
    </row>
    <row r="95" spans="1:20" x14ac:dyDescent="0.25">
      <c r="M95" t="s">
        <v>10</v>
      </c>
      <c r="N95" s="5">
        <v>0.155</v>
      </c>
      <c r="O95" s="1">
        <f>O93*N95</f>
        <v>26005.211800000008</v>
      </c>
      <c r="P95" s="34" t="s">
        <v>55</v>
      </c>
    </row>
    <row r="96" spans="1:20" x14ac:dyDescent="0.25">
      <c r="O96" s="1"/>
    </row>
    <row r="97" spans="13:17" x14ac:dyDescent="0.25">
      <c r="M97" t="s">
        <v>11</v>
      </c>
      <c r="O97" s="1">
        <f>O95/(1-N95)</f>
        <v>30775.398579881668</v>
      </c>
      <c r="P97" s="35" t="s">
        <v>56</v>
      </c>
    </row>
    <row r="99" spans="13:17" x14ac:dyDescent="0.25">
      <c r="M99" t="s">
        <v>36</v>
      </c>
      <c r="P99" s="4">
        <f>O97</f>
        <v>30775.398579881668</v>
      </c>
    </row>
    <row r="100" spans="13:17" x14ac:dyDescent="0.25">
      <c r="N100" t="s">
        <v>37</v>
      </c>
      <c r="Q100" s="4">
        <f>-P99</f>
        <v>-30775.398579881668</v>
      </c>
    </row>
  </sheetData>
  <conditionalFormatting sqref="A15:E28">
    <cfRule type="expression" dxfId="6" priority="2" stopIfTrue="1">
      <formula>LEN(A15)&gt;0</formula>
    </cfRule>
  </conditionalFormatting>
  <conditionalFormatting sqref="A74:E87">
    <cfRule type="expression" dxfId="5" priority="1" stopIfTrue="1">
      <formula>LEN(A74)&gt;0</formula>
    </cfRule>
  </conditionalFormatting>
  <hyperlinks>
    <hyperlink ref="B35" r:id="rId1" xr:uid="{53A1CDC5-5FA3-432D-83BE-258F760D3A26}"/>
  </hyperlink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AIIP Summary 2022</vt:lpstr>
      <vt:lpstr>AIIP Summary 2021</vt:lpstr>
      <vt:lpstr>2018-2022</vt:lpstr>
      <vt:lpstr>2018 and 2019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Betik, Matthew</dc:creator>
  <cp:lastModifiedBy>Suzanne Presseault</cp:lastModifiedBy>
  <dcterms:created xsi:type="dcterms:W3CDTF">2020-02-20T21:21:37Z</dcterms:created>
  <dcterms:modified xsi:type="dcterms:W3CDTF">2023-09-11T23:50:52Z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EngagementID">
    <vt:lpwstr>21ff2046-de31-4a1d-8e76-c91c375bcbc7</vt:lpwstr>
  </property>
  <property fmtid="{D5CDD505-2E9C-101B-9397-08002B2CF9AE}" pid="4" name="LibraryID">
    <vt:lpwstr>Audit Files</vt:lpwstr>
  </property>
  <property fmtid="{D5CDD505-2E9C-101B-9397-08002B2CF9AE}" pid="5" name="DocumentID">
    <vt:lpwstr>67CD07E9-B7C6-4D9F-8557-3BB83FB49200</vt:lpwstr>
  </property>
  <property fmtid="{D5CDD505-2E9C-101B-9397-08002B2CF9AE}" pid="6" name="ComponentID">
    <vt:lpwstr>567BFC79-2748-43B3-9182-46AC038B472F</vt:lpwstr>
  </property>
  <property fmtid="{D5CDD505-2E9C-101B-9397-08002B2CF9AE}" pid="7" name="ComponentName">
    <vt:lpwstr>Orangeville Hydro Limited [Dec2021]</vt:lpwstr>
  </property>
  <property fmtid="{D5CDD505-2E9C-101B-9397-08002B2CF9AE}" pid="8" name="Locale">
    <vt:lpwstr>en</vt:lpwstr>
  </property>
  <property fmtid="{D5CDD505-2E9C-101B-9397-08002B2CF9AE}" pid="9" name="FilePath">
    <vt:lpwstr>C:\ProgramData\eAudIT\DM\21ff2046-de31-4a1d-8e76-c91c375bcbc7\PreviewDocs\567BFC79-2748-43B3-9182-46AC038B472F\\S-110OHL1592 Accelerated CCA.xlsx</vt:lpwstr>
  </property>
  <property fmtid="{D5CDD505-2E9C-101B-9397-08002B2CF9AE}" pid="10" name="SiteType">
    <vt:lpwstr>Engagement2018</vt:lpwstr>
  </property>
  <property fmtid="{D5CDD505-2E9C-101B-9397-08002B2CF9AE}" pid="11" name="ResourceDBName">
    <vt:lpwstr>eAudITAppDB2021_SEV1</vt:lpwstr>
  </property>
  <property fmtid="{D5CDD505-2E9C-101B-9397-08002B2CF9AE}" pid="12" name="Product">
    <vt:lpwstr>eAudIT2018</vt:lpwstr>
  </property>
  <property fmtid="{D5CDD505-2E9C-101B-9397-08002B2CF9AE}" pid="13" name="Version">
    <vt:lpwstr>V1</vt:lpwstr>
  </property>
  <property fmtid="{D5CDD505-2E9C-101B-9397-08002B2CF9AE}" pid="14" name="IsMembershipServiceImplemented">
    <vt:lpwstr>False</vt:lpwstr>
  </property>
  <property fmtid="{D5CDD505-2E9C-101B-9397-08002B2CF9AE}" pid="15" name="OnLine">
    <vt:lpwstr>False</vt:lpwstr>
  </property>
  <property fmtid="{D5CDD505-2E9C-101B-9397-08002B2CF9AE}" pid="16" name="SiteSource">
    <vt:lpwstr>Workgroup</vt:lpwstr>
  </property>
  <property fmtid="{D5CDD505-2E9C-101B-9397-08002B2CF9AE}" pid="17" name="RestrictedRibbons">
    <vt:lpwstr>AI-T|CT-T</vt:lpwstr>
  </property>
</Properties>
</file>