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V:\Hocine Boudhar\24- ICM Applications\WSG &amp; SB EB-2022-0024\Oral Hearing\Responses\"/>
    </mc:Choice>
  </mc:AlternateContent>
  <xr:revisionPtr revIDLastSave="0" documentId="13_ncr:1_{E4857897-BE7F-4355-B7A6-6C78C3E829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7" r:id="rId1"/>
    <sheet name="Data Inputs" sheetId="1" r:id="rId2"/>
    <sheet name="NPV Calculation" sheetId="2" r:id="rId3"/>
    <sheet name="xxTaxable Capital" sheetId="8" r:id="rId4"/>
    <sheet name="Debt Equity Ratio" sheetId="6" r:id="rId5"/>
    <sheet name="New OM&amp;A Calc" sheetId="11" r:id="rId6"/>
  </sheets>
  <definedNames>
    <definedName name="_xlnm._FilterDatabase" localSheetId="0" hidden="1">Summary!$F$7:$G$7</definedName>
    <definedName name="_xlnm.Print_Area" localSheetId="0">Summary!$B$1:$K$69</definedName>
    <definedName name="_xlnm.Print_Titles" localSheetId="2">'NPV Calculation'!$A:$B,'NPV Calculation'!$5:$5</definedName>
    <definedName name="_xlnm.Print_Titles" localSheetId="0">Summary!$1:$2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1" l="1"/>
  <c r="H36" i="11"/>
  <c r="D36" i="11"/>
  <c r="K33" i="11"/>
  <c r="K36" i="11" s="1"/>
  <c r="I32" i="11"/>
  <c r="G32" i="11"/>
  <c r="G36" i="11" s="1"/>
  <c r="E32" i="11"/>
  <c r="E36" i="11" s="1"/>
  <c r="F36" i="11" s="1"/>
  <c r="C32" i="11"/>
  <c r="C36" i="11" s="1"/>
  <c r="H30" i="11"/>
  <c r="E30" i="11"/>
  <c r="F30" i="11" s="1"/>
  <c r="C30" i="11"/>
  <c r="D30" i="11" s="1"/>
  <c r="K27" i="11"/>
  <c r="K30" i="11" s="1"/>
  <c r="L30" i="11" s="1"/>
  <c r="I27" i="11"/>
  <c r="I30" i="11" s="1"/>
  <c r="J30" i="11" s="1"/>
  <c r="G27" i="11"/>
  <c r="G30" i="11" s="1"/>
  <c r="C27" i="11"/>
  <c r="E24" i="11"/>
  <c r="I19" i="11"/>
  <c r="J19" i="11" s="1"/>
  <c r="F19" i="11"/>
  <c r="I17" i="11"/>
  <c r="G17" i="11"/>
  <c r="E17" i="11"/>
  <c r="C17" i="11"/>
  <c r="K16" i="11"/>
  <c r="I16" i="11"/>
  <c r="G16" i="11"/>
  <c r="E16" i="11"/>
  <c r="C16" i="11"/>
  <c r="K15" i="11"/>
  <c r="I15" i="11"/>
  <c r="G15" i="11"/>
  <c r="E15" i="11"/>
  <c r="E19" i="11" s="1"/>
  <c r="C15" i="11"/>
  <c r="K12" i="11"/>
  <c r="I12" i="11"/>
  <c r="G12" i="11"/>
  <c r="C12" i="11"/>
  <c r="K9" i="11"/>
  <c r="I9" i="11"/>
  <c r="G9" i="11"/>
  <c r="G19" i="11" s="1"/>
  <c r="H19" i="11" s="1"/>
  <c r="C9" i="11"/>
  <c r="K8" i="11"/>
  <c r="K19" i="11" s="1"/>
  <c r="L19" i="11" s="1"/>
  <c r="I8" i="11"/>
  <c r="G8" i="11"/>
  <c r="C8" i="11"/>
  <c r="U17" i="6"/>
  <c r="R17" i="6"/>
  <c r="H17" i="6"/>
  <c r="F17" i="6"/>
  <c r="E17" i="6"/>
  <c r="P16" i="6"/>
  <c r="F16" i="6"/>
  <c r="E16" i="6"/>
  <c r="C16" i="6"/>
  <c r="V14" i="6"/>
  <c r="V17" i="6" s="1"/>
  <c r="E104" i="1" s="1"/>
  <c r="F104" i="1" s="1"/>
  <c r="G104" i="1" s="1"/>
  <c r="H104" i="1" s="1"/>
  <c r="I104" i="1" s="1"/>
  <c r="J104" i="1" s="1"/>
  <c r="U14" i="6"/>
  <c r="T14" i="6"/>
  <c r="T17" i="6" s="1"/>
  <c r="S14" i="6"/>
  <c r="R14" i="6"/>
  <c r="Q14" i="6"/>
  <c r="P14" i="6"/>
  <c r="O14" i="6"/>
  <c r="N14" i="6"/>
  <c r="N17" i="6" s="1"/>
  <c r="M14" i="6"/>
  <c r="M16" i="6" s="1"/>
  <c r="L14" i="6"/>
  <c r="L17" i="6" s="1"/>
  <c r="K14" i="6"/>
  <c r="H14" i="6"/>
  <c r="H16" i="6" s="1"/>
  <c r="G14" i="6"/>
  <c r="G17" i="6" s="1"/>
  <c r="F14" i="6"/>
  <c r="E14" i="6"/>
  <c r="D14" i="6"/>
  <c r="D17" i="6" s="1"/>
  <c r="C14" i="6"/>
  <c r="C17" i="6" s="1"/>
  <c r="B14" i="6"/>
  <c r="B17" i="6" s="1"/>
  <c r="V9" i="6"/>
  <c r="U9" i="6"/>
  <c r="U16" i="6" s="1"/>
  <c r="T9" i="6"/>
  <c r="P9" i="6"/>
  <c r="P17" i="6" s="1"/>
  <c r="N9" i="6"/>
  <c r="M9" i="6"/>
  <c r="L9" i="6"/>
  <c r="H9" i="6"/>
  <c r="G9" i="6"/>
  <c r="G16" i="6" s="1"/>
  <c r="F9" i="6"/>
  <c r="E9" i="6"/>
  <c r="D9" i="6"/>
  <c r="C9" i="6"/>
  <c r="B9" i="6"/>
  <c r="S6" i="6"/>
  <c r="S9" i="6" s="1"/>
  <c r="S16" i="6" s="1"/>
  <c r="R6" i="6"/>
  <c r="R9" i="6" s="1"/>
  <c r="R16" i="6" s="1"/>
  <c r="Q6" i="6"/>
  <c r="Q9" i="6" s="1"/>
  <c r="Q16" i="6" s="1"/>
  <c r="P6" i="6"/>
  <c r="O6" i="6"/>
  <c r="O9" i="6" s="1"/>
  <c r="O17" i="6" s="1"/>
  <c r="K6" i="6"/>
  <c r="K9" i="6" s="1"/>
  <c r="K16" i="6" s="1"/>
  <c r="F6" i="6"/>
  <c r="L16" i="8"/>
  <c r="K16" i="8"/>
  <c r="J16" i="8"/>
  <c r="F16" i="8"/>
  <c r="E16" i="8"/>
  <c r="D16" i="8"/>
  <c r="D7" i="8" s="1"/>
  <c r="D8" i="8" s="1"/>
  <c r="C16" i="8"/>
  <c r="B16" i="8"/>
  <c r="I12" i="8"/>
  <c r="I16" i="8" s="1"/>
  <c r="I7" i="8" s="1"/>
  <c r="I8" i="8" s="1"/>
  <c r="F12" i="8"/>
  <c r="J8" i="8"/>
  <c r="B8" i="8"/>
  <c r="J7" i="8"/>
  <c r="F7" i="8"/>
  <c r="F8" i="8" s="1"/>
  <c r="E7" i="8"/>
  <c r="E8" i="8" s="1"/>
  <c r="C7" i="8"/>
  <c r="C8" i="8" s="1"/>
  <c r="B7" i="8"/>
  <c r="AB104" i="2"/>
  <c r="AA104" i="2"/>
  <c r="Z104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E104" i="2"/>
  <c r="AA76" i="2"/>
  <c r="Z76" i="2"/>
  <c r="Y76" i="2"/>
  <c r="X76" i="2"/>
  <c r="S76" i="2"/>
  <c r="R76" i="2"/>
  <c r="Q76" i="2"/>
  <c r="P76" i="2"/>
  <c r="I76" i="2"/>
  <c r="AB75" i="2"/>
  <c r="AA75" i="2"/>
  <c r="Z75" i="2"/>
  <c r="Y75" i="2"/>
  <c r="X75" i="2"/>
  <c r="W75" i="2"/>
  <c r="W76" i="2" s="1"/>
  <c r="V75" i="2"/>
  <c r="V76" i="2" s="1"/>
  <c r="U75" i="2"/>
  <c r="T75" i="2"/>
  <c r="S75" i="2"/>
  <c r="R75" i="2"/>
  <c r="Q75" i="2"/>
  <c r="P75" i="2"/>
  <c r="O75" i="2"/>
  <c r="O76" i="2" s="1"/>
  <c r="N75" i="2"/>
  <c r="N76" i="2" s="1"/>
  <c r="M75" i="2"/>
  <c r="L75" i="2"/>
  <c r="L76" i="2" s="1"/>
  <c r="K75" i="2"/>
  <c r="J75" i="2"/>
  <c r="J76" i="2" s="1"/>
  <c r="I75" i="2"/>
  <c r="H74" i="2"/>
  <c r="G74" i="2"/>
  <c r="G104" i="2" s="1"/>
  <c r="F74" i="2"/>
  <c r="C74" i="2" s="1"/>
  <c r="E74" i="2"/>
  <c r="D74" i="2"/>
  <c r="D104" i="2" s="1"/>
  <c r="H72" i="2"/>
  <c r="G72" i="2"/>
  <c r="G73" i="2" s="1"/>
  <c r="F72" i="2"/>
  <c r="E72" i="2"/>
  <c r="D72" i="2"/>
  <c r="H71" i="2"/>
  <c r="G71" i="2"/>
  <c r="F71" i="2"/>
  <c r="E71" i="2"/>
  <c r="D71" i="2"/>
  <c r="C71" i="2" s="1"/>
  <c r="H70" i="2"/>
  <c r="C70" i="2" s="1"/>
  <c r="G70" i="2"/>
  <c r="F70" i="2"/>
  <c r="E70" i="2"/>
  <c r="D70" i="2"/>
  <c r="H69" i="2"/>
  <c r="G69" i="2"/>
  <c r="F69" i="2"/>
  <c r="E69" i="2"/>
  <c r="D69" i="2"/>
  <c r="H68" i="2"/>
  <c r="G68" i="2"/>
  <c r="F68" i="2"/>
  <c r="E68" i="2"/>
  <c r="D68" i="2"/>
  <c r="H67" i="2"/>
  <c r="C67" i="2" s="1"/>
  <c r="G67" i="2"/>
  <c r="F67" i="2"/>
  <c r="E67" i="2"/>
  <c r="D67" i="2"/>
  <c r="H66" i="2"/>
  <c r="G66" i="2"/>
  <c r="F66" i="2"/>
  <c r="E66" i="2"/>
  <c r="D66" i="2"/>
  <c r="H65" i="2"/>
  <c r="G65" i="2"/>
  <c r="F65" i="2"/>
  <c r="E65" i="2"/>
  <c r="D65" i="2"/>
  <c r="H64" i="2"/>
  <c r="G64" i="2"/>
  <c r="F64" i="2"/>
  <c r="E64" i="2"/>
  <c r="D64" i="2"/>
  <c r="H62" i="2"/>
  <c r="F62" i="2"/>
  <c r="H61" i="2"/>
  <c r="G61" i="2"/>
  <c r="F61" i="2"/>
  <c r="E61" i="2"/>
  <c r="D61" i="2"/>
  <c r="C61" i="2"/>
  <c r="H60" i="2"/>
  <c r="G60" i="2"/>
  <c r="F60" i="2"/>
  <c r="E60" i="2"/>
  <c r="D60" i="2"/>
  <c r="H59" i="2"/>
  <c r="G59" i="2"/>
  <c r="F59" i="2"/>
  <c r="E59" i="2"/>
  <c r="D59" i="2"/>
  <c r="C59" i="2" s="1"/>
  <c r="H58" i="2"/>
  <c r="G58" i="2"/>
  <c r="F58" i="2"/>
  <c r="E58" i="2"/>
  <c r="D58" i="2"/>
  <c r="C58" i="2"/>
  <c r="H57" i="2"/>
  <c r="G57" i="2"/>
  <c r="F57" i="2"/>
  <c r="E57" i="2"/>
  <c r="D57" i="2"/>
  <c r="C57" i="2"/>
  <c r="H56" i="2"/>
  <c r="G56" i="2"/>
  <c r="F56" i="2"/>
  <c r="E56" i="2"/>
  <c r="D56" i="2"/>
  <c r="H55" i="2"/>
  <c r="G55" i="2"/>
  <c r="F55" i="2"/>
  <c r="E55" i="2"/>
  <c r="E62" i="2" s="1"/>
  <c r="D55" i="2"/>
  <c r="C55" i="2" s="1"/>
  <c r="H54" i="2"/>
  <c r="G54" i="2"/>
  <c r="F54" i="2"/>
  <c r="E54" i="2"/>
  <c r="D54" i="2"/>
  <c r="C54" i="2"/>
  <c r="H53" i="2"/>
  <c r="G53" i="2"/>
  <c r="F53" i="2"/>
  <c r="E53" i="2"/>
  <c r="D5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 s="1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C26" i="2" s="1"/>
  <c r="G26" i="2"/>
  <c r="F26" i="2"/>
  <c r="E26" i="2"/>
  <c r="D26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 s="1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 s="1"/>
  <c r="E23" i="2"/>
  <c r="D23" i="2"/>
  <c r="D22" i="2"/>
  <c r="D21" i="2"/>
  <c r="D20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C16" i="2" s="1"/>
  <c r="G16" i="2"/>
  <c r="F16" i="2"/>
  <c r="E16" i="2"/>
  <c r="D16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C13" i="2" s="1"/>
  <c r="E13" i="2"/>
  <c r="D13" i="2"/>
  <c r="E12" i="2"/>
  <c r="D12" i="2"/>
  <c r="D11" i="2"/>
  <c r="D10" i="2"/>
  <c r="F9" i="2"/>
  <c r="E9" i="2"/>
  <c r="D9" i="2"/>
  <c r="I122" i="7"/>
  <c r="G116" i="7"/>
  <c r="E116" i="7"/>
  <c r="H114" i="7"/>
  <c r="F114" i="7"/>
  <c r="E114" i="7"/>
  <c r="F112" i="7"/>
  <c r="D111" i="7"/>
  <c r="I110" i="7"/>
  <c r="H110" i="7"/>
  <c r="H112" i="7" s="1"/>
  <c r="F110" i="7"/>
  <c r="H109" i="7"/>
  <c r="H111" i="7" s="1"/>
  <c r="G109" i="7"/>
  <c r="G111" i="7" s="1"/>
  <c r="F109" i="7"/>
  <c r="F111" i="7" s="1"/>
  <c r="E109" i="7"/>
  <c r="E111" i="7" s="1"/>
  <c r="D109" i="7"/>
  <c r="I108" i="7"/>
  <c r="I107" i="7"/>
  <c r="E110" i="7" s="1"/>
  <c r="I78" i="7"/>
  <c r="C62" i="7"/>
  <c r="I58" i="7"/>
  <c r="F45" i="7"/>
  <c r="F44" i="7"/>
  <c r="F43" i="7"/>
  <c r="F41" i="7"/>
  <c r="F40" i="7"/>
  <c r="F38" i="7"/>
  <c r="F37" i="7"/>
  <c r="F36" i="7"/>
  <c r="F34" i="7"/>
  <c r="F33" i="7"/>
  <c r="I27" i="7"/>
  <c r="H61" i="1" s="1"/>
  <c r="H27" i="7"/>
  <c r="G61" i="1" s="1"/>
  <c r="G27" i="7"/>
  <c r="F61" i="1" s="1"/>
  <c r="F63" i="1" s="1"/>
  <c r="E51" i="2" s="1"/>
  <c r="F27" i="7"/>
  <c r="I22" i="7"/>
  <c r="H22" i="7"/>
  <c r="G22" i="7"/>
  <c r="F22" i="7"/>
  <c r="J21" i="7"/>
  <c r="J22" i="7" s="1"/>
  <c r="I18" i="1" s="1"/>
  <c r="I21" i="7"/>
  <c r="H21" i="7"/>
  <c r="G21" i="7"/>
  <c r="F21" i="7"/>
  <c r="K20" i="7"/>
  <c r="K19" i="7"/>
  <c r="K18" i="7"/>
  <c r="K17" i="7"/>
  <c r="K21" i="7" s="1"/>
  <c r="K22" i="7" s="1"/>
  <c r="K16" i="7"/>
  <c r="K15" i="7"/>
  <c r="F117" i="1"/>
  <c r="E117" i="1"/>
  <c r="F115" i="1"/>
  <c r="G115" i="1" s="1"/>
  <c r="H111" i="1"/>
  <c r="I111" i="1" s="1"/>
  <c r="G111" i="1"/>
  <c r="H105" i="1"/>
  <c r="G105" i="1"/>
  <c r="F105" i="1"/>
  <c r="E105" i="1"/>
  <c r="G102" i="1"/>
  <c r="H102" i="1" s="1"/>
  <c r="I102" i="1" s="1"/>
  <c r="J102" i="1" s="1"/>
  <c r="F102" i="1"/>
  <c r="E101" i="1"/>
  <c r="F101" i="1" s="1"/>
  <c r="G101" i="1" s="1"/>
  <c r="H101" i="1" s="1"/>
  <c r="I101" i="1" s="1"/>
  <c r="J101" i="1" s="1"/>
  <c r="F93" i="1"/>
  <c r="G93" i="1" s="1"/>
  <c r="H93" i="1" s="1"/>
  <c r="I93" i="1" s="1"/>
  <c r="J93" i="1" s="1"/>
  <c r="I76" i="1"/>
  <c r="H76" i="1"/>
  <c r="G76" i="1"/>
  <c r="F76" i="1"/>
  <c r="E76" i="1"/>
  <c r="J64" i="1"/>
  <c r="J62" i="1"/>
  <c r="J60" i="1"/>
  <c r="E60" i="1"/>
  <c r="D60" i="1"/>
  <c r="E59" i="1"/>
  <c r="J59" i="1" s="1"/>
  <c r="D59" i="1"/>
  <c r="F58" i="1"/>
  <c r="G58" i="1" s="1"/>
  <c r="E58" i="1"/>
  <c r="D58" i="1"/>
  <c r="E57" i="1"/>
  <c r="J57" i="1" s="1"/>
  <c r="D57" i="1"/>
  <c r="J56" i="1"/>
  <c r="E56" i="1"/>
  <c r="D56" i="1"/>
  <c r="E55" i="1"/>
  <c r="J55" i="1" s="1"/>
  <c r="D55" i="1"/>
  <c r="G50" i="1"/>
  <c r="H50" i="1" s="1"/>
  <c r="H49" i="1"/>
  <c r="I49" i="1" s="1"/>
  <c r="G49" i="1"/>
  <c r="F48" i="1"/>
  <c r="E21" i="2" s="1"/>
  <c r="G43" i="1"/>
  <c r="F20" i="2" s="1"/>
  <c r="F43" i="1"/>
  <c r="E20" i="2" s="1"/>
  <c r="G42" i="1"/>
  <c r="H42" i="1" s="1"/>
  <c r="I42" i="1" s="1"/>
  <c r="H35" i="1"/>
  <c r="G12" i="2" s="1"/>
  <c r="G35" i="1"/>
  <c r="F12" i="2" s="1"/>
  <c r="I34" i="1"/>
  <c r="H34" i="1"/>
  <c r="F33" i="1"/>
  <c r="E10" i="2" s="1"/>
  <c r="G32" i="1"/>
  <c r="H32" i="1" s="1"/>
  <c r="F32" i="1"/>
  <c r="F31" i="1"/>
  <c r="G31" i="1" s="1"/>
  <c r="H31" i="1" s="1"/>
  <c r="I31" i="1" s="1"/>
  <c r="G25" i="1"/>
  <c r="H25" i="1" s="1"/>
  <c r="F25" i="1"/>
  <c r="H18" i="1"/>
  <c r="G18" i="1"/>
  <c r="F18" i="1"/>
  <c r="E18" i="1"/>
  <c r="H7" i="1"/>
  <c r="G7" i="1"/>
  <c r="F7" i="1"/>
  <c r="E7" i="1"/>
  <c r="E2" i="1"/>
  <c r="E1" i="1"/>
  <c r="I50" i="1" l="1"/>
  <c r="G23" i="2"/>
  <c r="I105" i="1"/>
  <c r="J111" i="1"/>
  <c r="J105" i="1" s="1"/>
  <c r="I25" i="1"/>
  <c r="H115" i="1"/>
  <c r="G117" i="1"/>
  <c r="G9" i="2"/>
  <c r="I32" i="1"/>
  <c r="G63" i="1"/>
  <c r="F51" i="2" s="1"/>
  <c r="F75" i="2" s="1"/>
  <c r="H58" i="1"/>
  <c r="K27" i="7"/>
  <c r="E61" i="1"/>
  <c r="G33" i="1"/>
  <c r="X8" i="2"/>
  <c r="J27" i="7"/>
  <c r="I61" i="1" s="1"/>
  <c r="I109" i="7"/>
  <c r="I111" i="7" s="1"/>
  <c r="C14" i="2"/>
  <c r="V19" i="2"/>
  <c r="H73" i="2"/>
  <c r="F104" i="2"/>
  <c r="E11" i="2"/>
  <c r="E22" i="2"/>
  <c r="D110" i="7"/>
  <c r="E8" i="2"/>
  <c r="E17" i="2" s="1"/>
  <c r="P8" i="2"/>
  <c r="C15" i="2"/>
  <c r="F23" i="2"/>
  <c r="I35" i="1"/>
  <c r="G48" i="1"/>
  <c r="G8" i="2"/>
  <c r="AA8" i="2"/>
  <c r="T76" i="2"/>
  <c r="AB76" i="2"/>
  <c r="U19" i="2"/>
  <c r="E19" i="2"/>
  <c r="S19" i="2"/>
  <c r="K19" i="2"/>
  <c r="T19" i="2"/>
  <c r="G19" i="2"/>
  <c r="F8" i="2"/>
  <c r="Q19" i="2"/>
  <c r="F19" i="2"/>
  <c r="D19" i="2"/>
  <c r="L8" i="2"/>
  <c r="D8" i="2"/>
  <c r="I7" i="1"/>
  <c r="H43" i="1"/>
  <c r="G110" i="7"/>
  <c r="C43" i="2"/>
  <c r="G62" i="2"/>
  <c r="N16" i="6"/>
  <c r="K37" i="11"/>
  <c r="K38" i="11" s="1"/>
  <c r="D29" i="7" s="1"/>
  <c r="L36" i="11"/>
  <c r="C27" i="2"/>
  <c r="C42" i="2"/>
  <c r="C64" i="2"/>
  <c r="D73" i="2"/>
  <c r="D16" i="6"/>
  <c r="C104" i="2"/>
  <c r="T16" i="6"/>
  <c r="D62" i="2"/>
  <c r="C60" i="2"/>
  <c r="O16" i="6"/>
  <c r="C40" i="2"/>
  <c r="F73" i="2"/>
  <c r="C66" i="2"/>
  <c r="C69" i="2"/>
  <c r="C53" i="2"/>
  <c r="Q17" i="6"/>
  <c r="I37" i="11"/>
  <c r="I38" i="11" s="1"/>
  <c r="J36" i="11"/>
  <c r="C65" i="2"/>
  <c r="C68" i="2"/>
  <c r="E37" i="11"/>
  <c r="E38" i="11" s="1"/>
  <c r="E73" i="2"/>
  <c r="E75" i="2" s="1"/>
  <c r="B16" i="6"/>
  <c r="L16" i="6"/>
  <c r="G37" i="11"/>
  <c r="G38" i="11" s="1"/>
  <c r="C56" i="2"/>
  <c r="K76" i="2"/>
  <c r="V16" i="6"/>
  <c r="E103" i="1" s="1"/>
  <c r="K17" i="6"/>
  <c r="S17" i="6"/>
  <c r="M17" i="6"/>
  <c r="C19" i="11"/>
  <c r="D19" i="11" s="1"/>
  <c r="C72" i="2"/>
  <c r="M76" i="2"/>
  <c r="U76" i="2"/>
  <c r="E76" i="2" l="1"/>
  <c r="G20" i="2"/>
  <c r="I43" i="1"/>
  <c r="AB9" i="2"/>
  <c r="T9" i="2"/>
  <c r="L9" i="2"/>
  <c r="AA9" i="2"/>
  <c r="S9" i="2"/>
  <c r="K9" i="2"/>
  <c r="Z9" i="2"/>
  <c r="R9" i="2"/>
  <c r="J9" i="2"/>
  <c r="Y9" i="2"/>
  <c r="N9" i="2"/>
  <c r="U9" i="2"/>
  <c r="X9" i="2"/>
  <c r="M9" i="2"/>
  <c r="W9" i="2"/>
  <c r="I9" i="2"/>
  <c r="P9" i="2"/>
  <c r="O9" i="2"/>
  <c r="V9" i="2"/>
  <c r="H9" i="2"/>
  <c r="C9" i="2" s="1"/>
  <c r="Q9" i="2"/>
  <c r="U8" i="2"/>
  <c r="K8" i="2"/>
  <c r="H19" i="2"/>
  <c r="L19" i="2"/>
  <c r="W8" i="2"/>
  <c r="J8" i="2"/>
  <c r="I8" i="2"/>
  <c r="I19" i="2"/>
  <c r="S8" i="2"/>
  <c r="AA19" i="2"/>
  <c r="C37" i="11"/>
  <c r="C38" i="11" s="1"/>
  <c r="N19" i="2"/>
  <c r="AB8" i="2"/>
  <c r="J19" i="2"/>
  <c r="Y8" i="2"/>
  <c r="U23" i="2"/>
  <c r="M23" i="2"/>
  <c r="AA23" i="2"/>
  <c r="S23" i="2"/>
  <c r="K23" i="2"/>
  <c r="Z23" i="2"/>
  <c r="R23" i="2"/>
  <c r="J23" i="2"/>
  <c r="AB23" i="2"/>
  <c r="O23" i="2"/>
  <c r="Y23" i="2"/>
  <c r="N23" i="2"/>
  <c r="X23" i="2"/>
  <c r="L23" i="2"/>
  <c r="W23" i="2"/>
  <c r="I23" i="2"/>
  <c r="H23" i="2"/>
  <c r="C23" i="2" s="1"/>
  <c r="V23" i="2"/>
  <c r="P23" i="2"/>
  <c r="Q23" i="2"/>
  <c r="T23" i="2"/>
  <c r="F28" i="2"/>
  <c r="E29" i="2"/>
  <c r="Y19" i="2"/>
  <c r="O19" i="2"/>
  <c r="D28" i="2"/>
  <c r="F17" i="2"/>
  <c r="F29" i="2" s="1"/>
  <c r="R19" i="2"/>
  <c r="M8" i="2"/>
  <c r="W19" i="2"/>
  <c r="O8" i="2"/>
  <c r="X19" i="2"/>
  <c r="Y12" i="2"/>
  <c r="Q12" i="2"/>
  <c r="W12" i="2"/>
  <c r="O12" i="2"/>
  <c r="V12" i="2"/>
  <c r="N12" i="2"/>
  <c r="R12" i="2"/>
  <c r="AB12" i="2"/>
  <c r="P12" i="2"/>
  <c r="AA12" i="2"/>
  <c r="M12" i="2"/>
  <c r="Z12" i="2"/>
  <c r="L12" i="2"/>
  <c r="S12" i="2"/>
  <c r="K12" i="2"/>
  <c r="X12" i="2"/>
  <c r="J12" i="2"/>
  <c r="T12" i="2"/>
  <c r="I12" i="2"/>
  <c r="H12" i="2"/>
  <c r="U12" i="2"/>
  <c r="F76" i="2"/>
  <c r="F11" i="2"/>
  <c r="H33" i="1"/>
  <c r="F10" i="2"/>
  <c r="T8" i="2"/>
  <c r="Q8" i="2"/>
  <c r="J61" i="1"/>
  <c r="E63" i="1"/>
  <c r="C73" i="2"/>
  <c r="R8" i="2"/>
  <c r="AB19" i="2"/>
  <c r="P19" i="2"/>
  <c r="N8" i="2"/>
  <c r="Z19" i="2"/>
  <c r="E28" i="2"/>
  <c r="F21" i="2"/>
  <c r="H48" i="1"/>
  <c r="F22" i="2"/>
  <c r="I115" i="1"/>
  <c r="H117" i="1"/>
  <c r="E106" i="1"/>
  <c r="D1" i="2" s="1"/>
  <c r="F103" i="1"/>
  <c r="D17" i="2"/>
  <c r="E29" i="7"/>
  <c r="E90" i="1"/>
  <c r="C62" i="2"/>
  <c r="H8" i="2"/>
  <c r="C8" i="2" s="1"/>
  <c r="V8" i="2"/>
  <c r="M19" i="2"/>
  <c r="Z8" i="2"/>
  <c r="I58" i="1"/>
  <c r="H63" i="1"/>
  <c r="G51" i="2" s="1"/>
  <c r="G75" i="2" s="1"/>
  <c r="G28" i="2" l="1"/>
  <c r="E93" i="2"/>
  <c r="G21" i="2"/>
  <c r="I48" i="1"/>
  <c r="G22" i="2"/>
  <c r="G11" i="2"/>
  <c r="G10" i="2"/>
  <c r="G17" i="2" s="1"/>
  <c r="G29" i="2" s="1"/>
  <c r="I33" i="1"/>
  <c r="C12" i="2"/>
  <c r="AA20" i="2"/>
  <c r="S20" i="2"/>
  <c r="K20" i="2"/>
  <c r="Y20" i="2"/>
  <c r="Q20" i="2"/>
  <c r="I20" i="2"/>
  <c r="X20" i="2"/>
  <c r="P20" i="2"/>
  <c r="H20" i="2"/>
  <c r="T20" i="2"/>
  <c r="R20" i="2"/>
  <c r="O20" i="2"/>
  <c r="AB20" i="2"/>
  <c r="N20" i="2"/>
  <c r="W20" i="2"/>
  <c r="Z20" i="2"/>
  <c r="V20" i="2"/>
  <c r="U20" i="2"/>
  <c r="M20" i="2"/>
  <c r="L20" i="2"/>
  <c r="J20" i="2"/>
  <c r="C19" i="2"/>
  <c r="D29" i="2"/>
  <c r="D3" i="2"/>
  <c r="D2" i="2"/>
  <c r="F93" i="2"/>
  <c r="J115" i="1"/>
  <c r="J117" i="1" s="1"/>
  <c r="I117" i="1"/>
  <c r="G76" i="2"/>
  <c r="D51" i="2"/>
  <c r="J63" i="1"/>
  <c r="F90" i="1"/>
  <c r="E91" i="1"/>
  <c r="D35" i="2"/>
  <c r="I63" i="1"/>
  <c r="H51" i="2" s="1"/>
  <c r="H75" i="2" s="1"/>
  <c r="J58" i="1"/>
  <c r="G103" i="1"/>
  <c r="F106" i="1"/>
  <c r="E1" i="2" s="1"/>
  <c r="Z28" i="2" l="1"/>
  <c r="T28" i="2"/>
  <c r="G93" i="2"/>
  <c r="E2" i="2"/>
  <c r="E3" i="2"/>
  <c r="G90" i="1"/>
  <c r="E35" i="2"/>
  <c r="D107" i="2"/>
  <c r="C51" i="2"/>
  <c r="C75" i="2" s="1"/>
  <c r="C76" i="2" s="1"/>
  <c r="D75" i="2"/>
  <c r="H103" i="1"/>
  <c r="G106" i="1"/>
  <c r="F1" i="2" s="1"/>
  <c r="D36" i="2"/>
  <c r="E92" i="1"/>
  <c r="F91" i="1"/>
  <c r="D30" i="2"/>
  <c r="D93" i="2"/>
  <c r="Y21" i="2"/>
  <c r="Y28" i="2" s="1"/>
  <c r="Q21" i="2"/>
  <c r="Q28" i="2" s="1"/>
  <c r="I21" i="2"/>
  <c r="I28" i="2" s="1"/>
  <c r="W21" i="2"/>
  <c r="W28" i="2" s="1"/>
  <c r="O21" i="2"/>
  <c r="O28" i="2" s="1"/>
  <c r="V21" i="2"/>
  <c r="N21" i="2"/>
  <c r="S21" i="2"/>
  <c r="S28" i="2" s="1"/>
  <c r="R21" i="2"/>
  <c r="R28" i="2" s="1"/>
  <c r="AB21" i="2"/>
  <c r="AB28" i="2" s="1"/>
  <c r="P21" i="2"/>
  <c r="P28" i="2" s="1"/>
  <c r="AA21" i="2"/>
  <c r="M21" i="2"/>
  <c r="U21" i="2"/>
  <c r="T21" i="2"/>
  <c r="H21" i="2"/>
  <c r="L21" i="2"/>
  <c r="L28" i="2" s="1"/>
  <c r="J21" i="2"/>
  <c r="J28" i="2" s="1"/>
  <c r="K21" i="2"/>
  <c r="Z21" i="2"/>
  <c r="X21" i="2"/>
  <c r="L22" i="2"/>
  <c r="R22" i="2"/>
  <c r="V22" i="2"/>
  <c r="V28" i="2" s="1"/>
  <c r="J22" i="2"/>
  <c r="M22" i="2"/>
  <c r="H22" i="2"/>
  <c r="Q22" i="2"/>
  <c r="I22" i="2"/>
  <c r="Z22" i="2"/>
  <c r="N22" i="2"/>
  <c r="Y22" i="2"/>
  <c r="W22" i="2"/>
  <c r="AA22" i="2"/>
  <c r="AA28" i="2" s="1"/>
  <c r="U22" i="2"/>
  <c r="U28" i="2" s="1"/>
  <c r="S22" i="2"/>
  <c r="AB22" i="2"/>
  <c r="C22" i="2" s="1"/>
  <c r="T22" i="2"/>
  <c r="O22" i="2"/>
  <c r="P22" i="2"/>
  <c r="X22" i="2"/>
  <c r="K22" i="2"/>
  <c r="C20" i="2"/>
  <c r="X11" i="2"/>
  <c r="P11" i="2"/>
  <c r="H11" i="2"/>
  <c r="C11" i="2" s="1"/>
  <c r="Z10" i="2"/>
  <c r="Z17" i="2" s="1"/>
  <c r="Z29" i="2" s="1"/>
  <c r="R10" i="2"/>
  <c r="R17" i="2" s="1"/>
  <c r="R29" i="2" s="1"/>
  <c r="J10" i="2"/>
  <c r="J17" i="2" s="1"/>
  <c r="J29" i="2" s="1"/>
  <c r="W11" i="2"/>
  <c r="O11" i="2"/>
  <c r="Y10" i="2"/>
  <c r="Q10" i="2"/>
  <c r="I10" i="2"/>
  <c r="I17" i="2" s="1"/>
  <c r="V11" i="2"/>
  <c r="N11" i="2"/>
  <c r="X10" i="2"/>
  <c r="X17" i="2" s="1"/>
  <c r="P10" i="2"/>
  <c r="H10" i="2"/>
  <c r="U11" i="2"/>
  <c r="AA11" i="2"/>
  <c r="L11" i="2"/>
  <c r="AA10" i="2"/>
  <c r="AA17" i="2" s="1"/>
  <c r="M10" i="2"/>
  <c r="M17" i="2" s="1"/>
  <c r="S11" i="2"/>
  <c r="R11" i="2"/>
  <c r="AB10" i="2"/>
  <c r="AB17" i="2" s="1"/>
  <c r="Z11" i="2"/>
  <c r="K11" i="2"/>
  <c r="W10" i="2"/>
  <c r="W17" i="2" s="1"/>
  <c r="L10" i="2"/>
  <c r="L17" i="2" s="1"/>
  <c r="L29" i="2" s="1"/>
  <c r="T10" i="2"/>
  <c r="O10" i="2"/>
  <c r="O17" i="2" s="1"/>
  <c r="M11" i="2"/>
  <c r="Y11" i="2"/>
  <c r="J11" i="2"/>
  <c r="V10" i="2"/>
  <c r="K10" i="2"/>
  <c r="K17" i="2" s="1"/>
  <c r="Q11" i="2"/>
  <c r="N10" i="2"/>
  <c r="N17" i="2" s="1"/>
  <c r="T11" i="2"/>
  <c r="I11" i="2"/>
  <c r="U10" i="2"/>
  <c r="U17" i="2" s="1"/>
  <c r="S10" i="2"/>
  <c r="AB11" i="2"/>
  <c r="H76" i="2"/>
  <c r="K28" i="2"/>
  <c r="O29" i="2" l="1"/>
  <c r="E107" i="2"/>
  <c r="E78" i="2"/>
  <c r="E30" i="2"/>
  <c r="D97" i="2"/>
  <c r="V17" i="2"/>
  <c r="V29" i="2" s="1"/>
  <c r="Q17" i="2"/>
  <c r="Q29" i="2" s="1"/>
  <c r="N28" i="2"/>
  <c r="J93" i="2"/>
  <c r="I103" i="1"/>
  <c r="H106" i="1"/>
  <c r="G1" i="2" s="1"/>
  <c r="N29" i="2"/>
  <c r="Z93" i="2"/>
  <c r="I29" i="2"/>
  <c r="H28" i="2"/>
  <c r="C21" i="2"/>
  <c r="C28" i="2" s="1"/>
  <c r="S17" i="2"/>
  <c r="S29" i="2" s="1"/>
  <c r="Y17" i="2"/>
  <c r="Y29" i="2" s="1"/>
  <c r="E36" i="2"/>
  <c r="G91" i="1"/>
  <c r="X29" i="2"/>
  <c r="C10" i="2"/>
  <c r="C17" i="2" s="1"/>
  <c r="R93" i="2"/>
  <c r="D78" i="2"/>
  <c r="D76" i="2"/>
  <c r="D83" i="2" s="1"/>
  <c r="AA29" i="2"/>
  <c r="W29" i="2"/>
  <c r="H17" i="2"/>
  <c r="H29" i="2" s="1"/>
  <c r="X28" i="2"/>
  <c r="M28" i="2"/>
  <c r="M29" i="2" s="1"/>
  <c r="D38" i="2"/>
  <c r="D37" i="2"/>
  <c r="E94" i="1"/>
  <c r="F92" i="1"/>
  <c r="H90" i="1"/>
  <c r="F35" i="2"/>
  <c r="T17" i="2"/>
  <c r="T29" i="2" s="1"/>
  <c r="E97" i="2"/>
  <c r="L93" i="2"/>
  <c r="K29" i="2"/>
  <c r="U29" i="2"/>
  <c r="AB29" i="2"/>
  <c r="P17" i="2"/>
  <c r="P29" i="2" s="1"/>
  <c r="F3" i="2"/>
  <c r="F2" i="2"/>
  <c r="M93" i="2" l="1"/>
  <c r="P93" i="2"/>
  <c r="X93" i="2"/>
  <c r="AB93" i="2"/>
  <c r="F36" i="2"/>
  <c r="H91" i="1"/>
  <c r="U93" i="2"/>
  <c r="AA93" i="2"/>
  <c r="H93" i="2"/>
  <c r="W93" i="2"/>
  <c r="K93" i="2"/>
  <c r="Y93" i="2"/>
  <c r="S93" i="2"/>
  <c r="I93" i="2"/>
  <c r="E38" i="2"/>
  <c r="E37" i="2"/>
  <c r="G92" i="1"/>
  <c r="D39" i="2"/>
  <c r="F94" i="1"/>
  <c r="N93" i="2"/>
  <c r="F107" i="2"/>
  <c r="F78" i="2"/>
  <c r="F30" i="2"/>
  <c r="F97" i="2"/>
  <c r="G2" i="2"/>
  <c r="G3" i="2"/>
  <c r="Q93" i="2"/>
  <c r="I90" i="1"/>
  <c r="G35" i="2"/>
  <c r="T93" i="2"/>
  <c r="C29" i="2"/>
  <c r="C93" i="2" s="1"/>
  <c r="I106" i="1"/>
  <c r="H1" i="2" s="1"/>
  <c r="J103" i="1"/>
  <c r="J106" i="1" s="1"/>
  <c r="V93" i="2"/>
  <c r="O93" i="2"/>
  <c r="H3" i="2" l="1"/>
  <c r="H2" i="2"/>
  <c r="F37" i="2"/>
  <c r="F38" i="2"/>
  <c r="H92" i="1"/>
  <c r="Z1" i="2"/>
  <c r="R1" i="2"/>
  <c r="J1" i="2"/>
  <c r="X1" i="2"/>
  <c r="P1" i="2"/>
  <c r="T1" i="2"/>
  <c r="I1" i="2"/>
  <c r="S1" i="2"/>
  <c r="M1" i="2"/>
  <c r="L1" i="2"/>
  <c r="V1" i="2"/>
  <c r="K1" i="2"/>
  <c r="AB1" i="2"/>
  <c r="Q1" i="2"/>
  <c r="N1" i="2"/>
  <c r="W1" i="2"/>
  <c r="AA1" i="2"/>
  <c r="O1" i="2"/>
  <c r="Y1" i="2"/>
  <c r="U1" i="2"/>
  <c r="E39" i="2"/>
  <c r="E44" i="2" s="1"/>
  <c r="E94" i="2" s="1"/>
  <c r="G94" i="1"/>
  <c r="D44" i="2"/>
  <c r="D94" i="2" s="1"/>
  <c r="H97" i="2"/>
  <c r="J90" i="1"/>
  <c r="L35" i="2"/>
  <c r="Q35" i="2"/>
  <c r="V35" i="2"/>
  <c r="W35" i="2"/>
  <c r="I35" i="2"/>
  <c r="N35" i="2"/>
  <c r="X35" i="2"/>
  <c r="O35" i="2"/>
  <c r="U35" i="2"/>
  <c r="AA35" i="2"/>
  <c r="Y35" i="2"/>
  <c r="T35" i="2"/>
  <c r="AB35" i="2"/>
  <c r="M35" i="2"/>
  <c r="Z35" i="2"/>
  <c r="K35" i="2"/>
  <c r="J35" i="2"/>
  <c r="H35" i="2"/>
  <c r="R35" i="2"/>
  <c r="P35" i="2"/>
  <c r="S35" i="2"/>
  <c r="G36" i="2"/>
  <c r="I91" i="1"/>
  <c r="G107" i="2"/>
  <c r="G78" i="2"/>
  <c r="G30" i="2"/>
  <c r="G97" i="2"/>
  <c r="E98" i="2" l="1"/>
  <c r="E95" i="2"/>
  <c r="AA36" i="2"/>
  <c r="S36" i="2"/>
  <c r="K36" i="2"/>
  <c r="Y36" i="2"/>
  <c r="Q36" i="2"/>
  <c r="I36" i="2"/>
  <c r="X36" i="2"/>
  <c r="P36" i="2"/>
  <c r="H36" i="2"/>
  <c r="V36" i="2"/>
  <c r="J36" i="2"/>
  <c r="T36" i="2"/>
  <c r="R36" i="2"/>
  <c r="W36" i="2"/>
  <c r="U36" i="2"/>
  <c r="O36" i="2"/>
  <c r="N36" i="2"/>
  <c r="J91" i="1"/>
  <c r="Z36" i="2"/>
  <c r="AB36" i="2"/>
  <c r="M36" i="2"/>
  <c r="L36" i="2"/>
  <c r="W2" i="2"/>
  <c r="W3" i="2"/>
  <c r="I2" i="2"/>
  <c r="I3" i="2"/>
  <c r="F39" i="2"/>
  <c r="H94" i="1"/>
  <c r="AB3" i="2"/>
  <c r="AB2" i="2"/>
  <c r="P3" i="2"/>
  <c r="P2" i="2"/>
  <c r="H107" i="2"/>
  <c r="H78" i="2"/>
  <c r="H30" i="2"/>
  <c r="Z2" i="2"/>
  <c r="Z3" i="2"/>
  <c r="N3" i="2"/>
  <c r="N2" i="2"/>
  <c r="U3" i="2"/>
  <c r="U2" i="2"/>
  <c r="K2" i="2"/>
  <c r="K3" i="2"/>
  <c r="X3" i="2"/>
  <c r="X2" i="2"/>
  <c r="G38" i="2"/>
  <c r="G37" i="2"/>
  <c r="I92" i="1"/>
  <c r="M3" i="2"/>
  <c r="M2" i="2"/>
  <c r="D98" i="2"/>
  <c r="D95" i="2"/>
  <c r="T3" i="2"/>
  <c r="T2" i="2"/>
  <c r="Y2" i="2"/>
  <c r="Y3" i="2"/>
  <c r="V3" i="2"/>
  <c r="V2" i="2"/>
  <c r="J2" i="2"/>
  <c r="J3" i="2"/>
  <c r="AA2" i="2"/>
  <c r="AA3" i="2"/>
  <c r="S2" i="2"/>
  <c r="S3" i="2"/>
  <c r="C35" i="2"/>
  <c r="Q2" i="2"/>
  <c r="Q3" i="2"/>
  <c r="O2" i="2"/>
  <c r="O3" i="2"/>
  <c r="L3" i="2"/>
  <c r="L2" i="2"/>
  <c r="R3" i="2"/>
  <c r="R2" i="2"/>
  <c r="F44" i="2"/>
  <c r="F94" i="2" s="1"/>
  <c r="G44" i="2" l="1"/>
  <c r="G94" i="2" s="1"/>
  <c r="F98" i="2"/>
  <c r="F95" i="2"/>
  <c r="AA107" i="2"/>
  <c r="AA78" i="2"/>
  <c r="AA30" i="2"/>
  <c r="AA97" i="2"/>
  <c r="N78" i="2"/>
  <c r="N107" i="2"/>
  <c r="N30" i="2"/>
  <c r="N97" i="2"/>
  <c r="M78" i="2"/>
  <c r="M107" i="2"/>
  <c r="M30" i="2"/>
  <c r="M97" i="2"/>
  <c r="G39" i="2"/>
  <c r="I94" i="1"/>
  <c r="Y78" i="2"/>
  <c r="Y107" i="2"/>
  <c r="Y30" i="2"/>
  <c r="Y97" i="2"/>
  <c r="R78" i="2"/>
  <c r="R107" i="2"/>
  <c r="R30" i="2"/>
  <c r="R97" i="2"/>
  <c r="L107" i="2"/>
  <c r="L78" i="2"/>
  <c r="L30" i="2"/>
  <c r="L97" i="2"/>
  <c r="J107" i="2"/>
  <c r="J78" i="2"/>
  <c r="J30" i="2"/>
  <c r="J97" i="2"/>
  <c r="V107" i="2"/>
  <c r="V78" i="2"/>
  <c r="V30" i="2"/>
  <c r="V97" i="2"/>
  <c r="Q78" i="2"/>
  <c r="Q107" i="2"/>
  <c r="Q30" i="2"/>
  <c r="Q97" i="2"/>
  <c r="K78" i="2"/>
  <c r="K107" i="2"/>
  <c r="K30" i="2"/>
  <c r="K97" i="2"/>
  <c r="E96" i="2"/>
  <c r="T107" i="2"/>
  <c r="T78" i="2"/>
  <c r="T30" i="2"/>
  <c r="T97" i="2"/>
  <c r="U78" i="2"/>
  <c r="U107" i="2"/>
  <c r="U30" i="2"/>
  <c r="U97" i="2"/>
  <c r="Z107" i="2"/>
  <c r="Z78" i="2"/>
  <c r="Z30" i="2"/>
  <c r="Z97" i="2"/>
  <c r="P107" i="2"/>
  <c r="P78" i="2"/>
  <c r="P30" i="2"/>
  <c r="P97" i="2"/>
  <c r="C36" i="2"/>
  <c r="S107" i="2"/>
  <c r="S78" i="2"/>
  <c r="S30" i="2"/>
  <c r="S97" i="2"/>
  <c r="AB107" i="2"/>
  <c r="AB78" i="2"/>
  <c r="AB30" i="2"/>
  <c r="AB97" i="2"/>
  <c r="C97" i="2" s="1"/>
  <c r="I67" i="7" s="1"/>
  <c r="W107" i="2"/>
  <c r="W78" i="2"/>
  <c r="W30" i="2"/>
  <c r="W97" i="2"/>
  <c r="X78" i="2"/>
  <c r="X107" i="2"/>
  <c r="X30" i="2"/>
  <c r="X97" i="2"/>
  <c r="O78" i="2"/>
  <c r="O107" i="2"/>
  <c r="O30" i="2"/>
  <c r="O97" i="2"/>
  <c r="W38" i="2"/>
  <c r="O38" i="2"/>
  <c r="Y37" i="2"/>
  <c r="Q37" i="2"/>
  <c r="I37" i="2"/>
  <c r="U38" i="2"/>
  <c r="M38" i="2"/>
  <c r="W37" i="2"/>
  <c r="O37" i="2"/>
  <c r="AB38" i="2"/>
  <c r="T38" i="2"/>
  <c r="L38" i="2"/>
  <c r="V37" i="2"/>
  <c r="N37" i="2"/>
  <c r="V38" i="2"/>
  <c r="I38" i="2"/>
  <c r="U37" i="2"/>
  <c r="J37" i="2"/>
  <c r="R38" i="2"/>
  <c r="S37" i="2"/>
  <c r="Q38" i="2"/>
  <c r="R37" i="2"/>
  <c r="K38" i="2"/>
  <c r="P37" i="2"/>
  <c r="AA38" i="2"/>
  <c r="J38" i="2"/>
  <c r="M37" i="2"/>
  <c r="Z38" i="2"/>
  <c r="H38" i="2"/>
  <c r="L37" i="2"/>
  <c r="Y38" i="2"/>
  <c r="AB37" i="2"/>
  <c r="K37" i="2"/>
  <c r="X37" i="2"/>
  <c r="P38" i="2"/>
  <c r="T37" i="2"/>
  <c r="AA37" i="2"/>
  <c r="X38" i="2"/>
  <c r="H37" i="2"/>
  <c r="J92" i="1"/>
  <c r="S38" i="2"/>
  <c r="N38" i="2"/>
  <c r="Z37" i="2"/>
  <c r="D96" i="2"/>
  <c r="I78" i="2"/>
  <c r="I107" i="2"/>
  <c r="I30" i="2"/>
  <c r="I97" i="2"/>
  <c r="AB44" i="2" l="1"/>
  <c r="AB94" i="2" s="1"/>
  <c r="C30" i="2"/>
  <c r="C107" i="2"/>
  <c r="U44" i="2"/>
  <c r="U94" i="2" s="1"/>
  <c r="L44" i="2"/>
  <c r="L94" i="2" s="1"/>
  <c r="K44" i="2"/>
  <c r="K94" i="2" s="1"/>
  <c r="F96" i="2"/>
  <c r="C78" i="2"/>
  <c r="G98" i="2"/>
  <c r="G95" i="2"/>
  <c r="R44" i="2"/>
  <c r="R94" i="2" s="1"/>
  <c r="Y44" i="2"/>
  <c r="Y94" i="2" s="1"/>
  <c r="U39" i="2"/>
  <c r="M39" i="2"/>
  <c r="AA39" i="2"/>
  <c r="AA44" i="2" s="1"/>
  <c r="AA94" i="2" s="1"/>
  <c r="S39" i="2"/>
  <c r="S44" i="2" s="1"/>
  <c r="S94" i="2" s="1"/>
  <c r="K39" i="2"/>
  <c r="Z39" i="2"/>
  <c r="Z44" i="2" s="1"/>
  <c r="Z94" i="2" s="1"/>
  <c r="R39" i="2"/>
  <c r="J39" i="2"/>
  <c r="V39" i="2"/>
  <c r="V44" i="2" s="1"/>
  <c r="V94" i="2" s="1"/>
  <c r="H39" i="2"/>
  <c r="Q39" i="2"/>
  <c r="Q44" i="2" s="1"/>
  <c r="Q94" i="2" s="1"/>
  <c r="P39" i="2"/>
  <c r="P44" i="2" s="1"/>
  <c r="P94" i="2" s="1"/>
  <c r="Y39" i="2"/>
  <c r="X39" i="2"/>
  <c r="W39" i="2"/>
  <c r="T39" i="2"/>
  <c r="T44" i="2" s="1"/>
  <c r="T94" i="2" s="1"/>
  <c r="L39" i="2"/>
  <c r="O39" i="2"/>
  <c r="O44" i="2" s="1"/>
  <c r="O94" i="2" s="1"/>
  <c r="I39" i="2"/>
  <c r="I44" i="2" s="1"/>
  <c r="I94" i="2" s="1"/>
  <c r="N39" i="2"/>
  <c r="N44" i="2" s="1"/>
  <c r="N94" i="2" s="1"/>
  <c r="AB39" i="2"/>
  <c r="J94" i="1"/>
  <c r="W44" i="2"/>
  <c r="W94" i="2" s="1"/>
  <c r="C37" i="2"/>
  <c r="M44" i="2"/>
  <c r="M94" i="2" s="1"/>
  <c r="X44" i="2"/>
  <c r="X94" i="2" s="1"/>
  <c r="J44" i="2"/>
  <c r="J94" i="2" s="1"/>
  <c r="C38" i="2"/>
  <c r="N98" i="2" l="1"/>
  <c r="N95" i="2"/>
  <c r="Q98" i="2"/>
  <c r="Q95" i="2"/>
  <c r="T98" i="2"/>
  <c r="T95" i="2"/>
  <c r="S98" i="2"/>
  <c r="S95" i="2"/>
  <c r="I98" i="2"/>
  <c r="I95" i="2"/>
  <c r="O98" i="2"/>
  <c r="O95" i="2"/>
  <c r="Z98" i="2"/>
  <c r="Z95" i="2"/>
  <c r="P98" i="2"/>
  <c r="P95" i="2"/>
  <c r="AA98" i="2"/>
  <c r="AA95" i="2"/>
  <c r="V98" i="2"/>
  <c r="V95" i="2"/>
  <c r="L98" i="2"/>
  <c r="L95" i="2"/>
  <c r="C39" i="2"/>
  <c r="C44" i="2" s="1"/>
  <c r="C94" i="2" s="1"/>
  <c r="C95" i="2" s="1"/>
  <c r="Y98" i="2"/>
  <c r="Y95" i="2"/>
  <c r="H44" i="2"/>
  <c r="H94" i="2" s="1"/>
  <c r="J98" i="2"/>
  <c r="J95" i="2"/>
  <c r="X98" i="2"/>
  <c r="X95" i="2"/>
  <c r="C118" i="2"/>
  <c r="U98" i="2"/>
  <c r="U95" i="2"/>
  <c r="W98" i="2"/>
  <c r="W95" i="2"/>
  <c r="K98" i="2"/>
  <c r="K95" i="2"/>
  <c r="AB98" i="2"/>
  <c r="AB95" i="2"/>
  <c r="M98" i="2"/>
  <c r="M95" i="2"/>
  <c r="R98" i="2"/>
  <c r="R95" i="2"/>
  <c r="G96" i="2"/>
  <c r="P96" i="2" l="1"/>
  <c r="R96" i="2"/>
  <c r="Z96" i="2"/>
  <c r="M96" i="2"/>
  <c r="H98" i="2"/>
  <c r="C98" i="2" s="1"/>
  <c r="I77" i="7" s="1"/>
  <c r="I79" i="7" s="1"/>
  <c r="H95" i="2"/>
  <c r="V96" i="2"/>
  <c r="O96" i="2"/>
  <c r="Q96" i="2"/>
  <c r="J96" i="2"/>
  <c r="U96" i="2"/>
  <c r="Y96" i="2"/>
  <c r="K96" i="2"/>
  <c r="S96" i="2"/>
  <c r="L96" i="2"/>
  <c r="W96" i="2"/>
  <c r="T96" i="2"/>
  <c r="AA96" i="2"/>
  <c r="I96" i="2"/>
  <c r="N96" i="2"/>
  <c r="X96" i="2"/>
  <c r="AB96" i="2"/>
  <c r="H96" i="2" l="1"/>
  <c r="C96" i="2" l="1"/>
  <c r="C114" i="2" s="1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D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C115" i="2"/>
  <c r="C116" i="2"/>
  <c r="C119" i="2"/>
  <c r="C120" i="2"/>
  <c r="I59" i="7"/>
  <c r="I60" i="7"/>
  <c r="O60" i="7"/>
  <c r="I61" i="7"/>
  <c r="I66" i="7"/>
  <c r="I68" i="7"/>
  <c r="D112" i="7"/>
  <c r="E112" i="7"/>
  <c r="I112" i="7"/>
  <c r="D113" i="7"/>
  <c r="E113" i="7"/>
  <c r="F113" i="7"/>
  <c r="G113" i="7"/>
  <c r="H113" i="7"/>
  <c r="I113" i="7"/>
  <c r="D123" i="7"/>
  <c r="I123" i="7"/>
  <c r="D124" i="7"/>
  <c r="I124" i="7"/>
  <c r="D125" i="7"/>
  <c r="I12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Sithole</author>
    <author>ksithole</author>
  </authors>
  <commentList>
    <comment ref="B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Kevin Sithole: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Include Legal Name such as Numbered Corporation where applicable</t>
        </r>
      </text>
    </comment>
    <comment ref="G7" authorId="1" shapeId="0" xr:uid="{00000000-0006-0000-0300-000002000000}">
      <text>
        <r>
          <rPr>
            <b/>
            <sz val="12"/>
            <color indexed="81"/>
            <rFont val="Tahoma"/>
            <family val="2"/>
          </rPr>
          <t>ksithole:</t>
        </r>
        <r>
          <rPr>
            <sz val="12"/>
            <color indexed="81"/>
            <rFont val="Tahoma"/>
            <family val="2"/>
          </rPr>
          <t xml:space="preserve">
1. Original = R0
2. Revisions = R1,    R2... etc</t>
        </r>
      </text>
    </comment>
    <comment ref="E65" authorId="0" shapeId="0" xr:uid="{664A2E6A-52C8-410F-8C3D-31240FAC4017}">
      <text>
        <r>
          <rPr>
            <b/>
            <sz val="9"/>
            <color indexed="81"/>
            <rFont val="Tahoma"/>
            <charset val="1"/>
          </rPr>
          <t>Kevin Sithole:</t>
        </r>
        <r>
          <rPr>
            <sz val="9"/>
            <color indexed="81"/>
            <rFont val="Tahoma"/>
            <charset val="1"/>
          </rPr>
          <t xml:space="preserve">
WHEN THERE IS CAPITAL CONTRIBUTION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Paul</author>
    <author>Darlene Cameron</author>
    <author>ksithole</author>
    <author>Kevin Sithole</author>
  </authors>
  <commentList>
    <comment ref="C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For customer connection periods greater than 5 years an explanation of the extension of the period will be provided to the Board.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A maximum customer revenue horizon of twenty five years, calculated from the in service date of the new customers.</t>
        </r>
      </text>
    </comment>
    <comment ref="C5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Customer connections are assumed to occur evenly throughout the year.</t>
        </r>
      </text>
    </comment>
    <comment ref="D42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now included in monthly fixed charge above
</t>
        </r>
      </text>
    </comment>
    <comment ref="C53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For certain projects Capital Expenditures may be staged and can occur in any year of the five year Connection Horizon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8" authorId="2" shapeId="0" xr:uid="{00000000-0006-0000-02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Tab: "NEW om&amp;a Calc"</t>
        </r>
      </text>
    </comment>
    <comment ref="D100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Based on the prospective capital mix, debt and preference share cost rates, and the latest approved rate of return on common equity.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1" authorId="2" shapeId="0" xr:uid="{00000000-0006-0000-0200-000008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Get from Ajay
</t>
        </r>
      </text>
    </comment>
    <comment ref="E101" authorId="3" shapeId="0" xr:uid="{00000000-0006-0000-0200-000009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borrowing rate 2.69%
2021 Fin States - Note 3</t>
        </r>
      </text>
    </comment>
    <comment ref="D102" authorId="2" shapeId="0" xr:uid="{00000000-0006-0000-0200-00000A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"COST OF CAPITAL - OEB..." , folder
</t>
        </r>
      </text>
    </comment>
    <comment ref="E102" authorId="3" shapeId="0" xr:uid="{00000000-0006-0000-0200-00000B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Deemed rate</t>
        </r>
      </text>
    </comment>
    <comment ref="D103" authorId="2" shapeId="0" xr:uid="{00000000-0006-0000-0200-00000C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
"Debt Equity Ratio"</t>
        </r>
      </text>
    </comment>
    <comment ref="D104" authorId="2" shapeId="0" xr:uid="{00000000-0006-0000-0200-00000D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
"Debt Equity Ratio"</t>
        </r>
      </text>
    </comment>
    <comment ref="D111" authorId="2" shapeId="0" xr:uid="{00000000-0006-0000-0200-00000E000000}">
      <text>
        <r>
          <rPr>
            <b/>
            <sz val="8"/>
            <color indexed="81"/>
            <rFont val="Tahoma"/>
            <family val="2"/>
          </rPr>
          <t xml:space="preserve">ksithole:
</t>
        </r>
        <r>
          <rPr>
            <sz val="8"/>
            <color indexed="81"/>
            <rFont val="Tahoma"/>
            <family val="2"/>
          </rPr>
          <t>no change as of Jun 23, 2015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2" authorId="2" shapeId="0" xr:uid="{00000000-0006-0000-0200-00000F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Eliminated - see "OTHER" Folder
"File : "Taxable Capital Employed in Canada Tips"</t>
        </r>
      </text>
    </comment>
    <comment ref="D113" authorId="2" shapeId="0" xr:uid="{00000000-0006-0000-0200-000010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Eliminated - see "OTHER" Folder
"File : "Provincial Capital Tax...")
</t>
        </r>
      </text>
    </comment>
    <comment ref="D114" authorId="2" shapeId="0" xr:uid="{00000000-0006-0000-0200-000011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"OTHER" Folder
"File :" Capital Cost Allowance &amp; Rates"
class 47
</t>
        </r>
      </text>
    </comment>
    <comment ref="D115" authorId="2" shapeId="0" xr:uid="{00000000-0006-0000-0200-000012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CRA eliminated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Anthony L. Paul</author>
    <author>Tony Paul</author>
    <author>Anthony Paul</author>
    <author>Dan Gapic</author>
  </authors>
  <commentList>
    <comment ref="B30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4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Current year customer additions are divided by two in order to recognize level activities throughout the year.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9" authorId="1" shapeId="0" xr:uid="{00000000-0006-0000-0400-000003000000}">
      <text>
        <r>
          <rPr>
            <b/>
            <sz val="8"/>
            <color indexed="81"/>
            <rFont val="Tahoma"/>
            <family val="2"/>
          </rPr>
          <t>Up-front capital expenditures will be discounted at the beginning of the project year and capital expended throughout the year will be mid-year discounted.</t>
        </r>
      </text>
    </comment>
    <comment ref="A51" authorId="1" shapeId="0" xr:uid="{00000000-0006-0000-0400-000004000000}">
      <text>
        <r>
          <rPr>
            <b/>
            <sz val="8"/>
            <color indexed="81"/>
            <rFont val="Tahoma"/>
            <family val="2"/>
          </rPr>
          <t xml:space="preserve">For certain projects Capital Expenditures may be staged and can occur in any year of the five year Connection Horizon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3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Estimate of incremental overheads applicable to distribution system expansion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74" authorId="2" shapeId="0" xr:uid="{00000000-0006-0000-0400-000006000000}">
      <text>
        <r>
          <rPr>
            <b/>
            <sz val="8"/>
            <color indexed="81"/>
            <rFont val="Tahoma"/>
            <family val="2"/>
          </rPr>
          <t>Assumed to be equal to the assessed value for purposes of "Payments in lieu"</t>
        </r>
      </text>
    </comment>
    <comment ref="A78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8" authorId="3" shapeId="0" xr:uid="{00000000-0006-0000-0400-000008000000}">
      <text>
        <r>
          <rPr>
            <sz val="8"/>
            <color indexed="81"/>
            <rFont val="Tahoma"/>
            <family val="2"/>
          </rPr>
          <t>Discounting is based on mid-point present value factor as it is assumed that taxes are paid evenly throughout the year via tax installments.</t>
        </r>
      </text>
    </comment>
    <comment ref="A97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Filion</author>
  </authors>
  <commentList>
    <comment ref="I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See Line 16 below.</t>
        </r>
      </text>
    </comment>
    <comment ref="J7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See Line 16 below.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Filion</author>
    <author>lfilion</author>
    <author>ksithole</author>
    <author>dcameron</author>
    <author>Kevin Sithole</author>
  </authors>
  <commentList>
    <comment ref="F6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Discussed with Andrew: Should include 43,588,000 that was moved to short term and the 14,500,000 (Note 7) owed to Corporate.</t>
        </r>
      </text>
    </comment>
    <comment ref="H6" authorId="1" shapeId="0" xr:uid="{00000000-0006-0000-0600-000002000000}">
      <text>
        <r>
          <rPr>
            <b/>
            <sz val="8"/>
            <color indexed="81"/>
            <rFont val="Tahoma"/>
            <family val="2"/>
          </rPr>
          <t>lfilion:</t>
        </r>
        <r>
          <rPr>
            <sz val="8"/>
            <color indexed="81"/>
            <rFont val="Tahoma"/>
            <family val="2"/>
          </rPr>
          <t xml:space="preserve">
See Note 8 - includes portion moved to short-term</t>
        </r>
      </text>
    </comment>
    <comment ref="N6" authorId="2" shapeId="0" xr:uid="{00000000-0006-0000-0600-000003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11 does not include current portion
</t>
        </r>
      </text>
    </comment>
    <comment ref="O6" authorId="2" shapeId="0" xr:uid="{00000000-0006-0000-0600-000004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12 </t>
        </r>
      </text>
    </comment>
    <comment ref="P6" authorId="2" shapeId="0" xr:uid="{00000000-0006-0000-0600-000005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Q6" authorId="2" shapeId="0" xr:uid="{00000000-0006-0000-06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12</t>
        </r>
      </text>
    </comment>
    <comment ref="R6" authorId="2" shapeId="0" xr:uid="{00000000-0006-0000-0600-000007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S6" authorId="2" shapeId="0" xr:uid="{00000000-0006-0000-0600-000008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T6" authorId="2" shapeId="0" xr:uid="{00000000-0006-0000-0600-000009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 &amp;9 
</t>
        </r>
      </text>
    </comment>
    <comment ref="U6" authorId="2" shapeId="0" xr:uid="{00000000-0006-0000-0600-00000A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
</t>
        </r>
      </text>
    </comment>
    <comment ref="V6" authorId="2" shapeId="0" xr:uid="{00000000-0006-0000-0600-00000B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
</t>
        </r>
      </text>
    </comment>
    <comment ref="F7" authorId="0" shapeId="0" xr:uid="{00000000-0006-0000-0600-00000C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Discussed with Andrew: Should remove Employee Future Benefits of 707,102.</t>
        </r>
      </text>
    </comment>
    <comment ref="P8" authorId="3" shapeId="0" xr:uid="{00000000-0006-0000-0600-00000D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Q8" authorId="3" shapeId="0" xr:uid="{00000000-0006-0000-0600-00000E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R8" authorId="3" shapeId="0" xr:uid="{00000000-0006-0000-0600-00000F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S8" authorId="3" shapeId="0" xr:uid="{00000000-0006-0000-0600-000010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T8" authorId="3" shapeId="0" xr:uid="{00000000-0006-0000-0600-000011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U8" authorId="3" shapeId="0" xr:uid="{00000000-0006-0000-0600-000012000000}">
      <text>
        <r>
          <rPr>
            <sz val="8"/>
            <color indexed="81"/>
            <rFont val="Tahoma"/>
            <family val="2"/>
          </rPr>
          <t xml:space="preserve">Note 12
Developer Obligations
KS: this from:
30.000.2320.010.00 &amp;
30.000.2320.012.00
</t>
        </r>
      </text>
    </comment>
    <comment ref="V8" authorId="3" shapeId="0" xr:uid="{00000000-0006-0000-0600-000013000000}">
      <text>
        <r>
          <rPr>
            <sz val="8"/>
            <color indexed="81"/>
            <rFont val="Tahoma"/>
            <family val="2"/>
          </rPr>
          <t xml:space="preserve">Note 12
Developer Obligations
KS: this from:
30.000.2320.010.00 &amp;
30.000.2320.012.00
Note:11
</t>
        </r>
      </text>
    </comment>
    <comment ref="U11" authorId="4" shapeId="0" xr:uid="{00000000-0006-0000-0600-000014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1" authorId="4" shapeId="0" xr:uid="{00000000-0006-0000-0600-000015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U12" authorId="4" shapeId="0" xr:uid="{00000000-0006-0000-0600-000016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2" authorId="4" shapeId="0" xr:uid="{00000000-0006-0000-0600-000017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U13" authorId="4" shapeId="0" xr:uid="{00000000-0006-0000-0600-000018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3" authorId="4" shapeId="0" xr:uid="{00000000-0006-0000-0600-000019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Cameron</author>
    <author>ksithole</author>
  </authors>
  <commentList>
    <comment ref="D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get from Ajay</t>
        </r>
      </text>
    </comment>
    <comment ref="F2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get from Ajay</t>
        </r>
      </text>
    </comment>
    <comment ref="H2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</t>
        </r>
      </text>
    </comment>
    <comment ref="J2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</t>
        </r>
      </text>
    </comment>
    <comment ref="L2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
From Cindy Perrin (regulatory)</t>
        </r>
      </text>
    </comment>
    <comment ref="A35" authorId="1" shapeId="0" xr:uid="{00000000-0006-0000-07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There is no more Belleville Fornt counter - no figure required
</t>
        </r>
      </text>
    </comment>
  </commentList>
</comments>
</file>

<file path=xl/sharedStrings.xml><?xml version="1.0" encoding="utf-8"?>
<sst xmlns="http://schemas.openxmlformats.org/spreadsheetml/2006/main" count="518" uniqueCount="302">
  <si>
    <t>Year 1</t>
  </si>
  <si>
    <t>Year 2</t>
  </si>
  <si>
    <t>Year 3</t>
  </si>
  <si>
    <t>Year 4</t>
  </si>
  <si>
    <t>Year 5</t>
  </si>
  <si>
    <t>Customer Class</t>
  </si>
  <si>
    <t>Residential</t>
  </si>
  <si>
    <t>Large User</t>
  </si>
  <si>
    <t>Project name</t>
  </si>
  <si>
    <t>Capital elements</t>
  </si>
  <si>
    <t>Other</t>
  </si>
  <si>
    <t>Years 6-25</t>
  </si>
  <si>
    <t>Total</t>
  </si>
  <si>
    <t>Customer revenue - fixed charge rate</t>
  </si>
  <si>
    <t>Customer revenue - variable charge rate</t>
  </si>
  <si>
    <t>Customer revenue - total</t>
  </si>
  <si>
    <t>Total fixed charge revenue</t>
  </si>
  <si>
    <t>Total variable charge revenue</t>
  </si>
  <si>
    <t>Discount rate data</t>
  </si>
  <si>
    <t>Incremental after-tax cost of capital</t>
  </si>
  <si>
    <t>Approved wires only rates per rate schedule - monthly fixed charge</t>
  </si>
  <si>
    <t>Forecasted customer additions (non-cumulative)</t>
  </si>
  <si>
    <t>Discount rate</t>
  </si>
  <si>
    <t>Borrowing rate</t>
  </si>
  <si>
    <t>Rate of return on common equity</t>
  </si>
  <si>
    <t>Marginal income tax rate</t>
  </si>
  <si>
    <t>Municipal tax rate</t>
  </si>
  <si>
    <t>Tax rate data</t>
  </si>
  <si>
    <t>Federal capital tax rate</t>
  </si>
  <si>
    <t>Provincial capital tax rate</t>
  </si>
  <si>
    <t>Type of tax</t>
  </si>
  <si>
    <t>Present Value of CCA Tax Shield</t>
  </si>
  <si>
    <t>CAPITAL COSTS</t>
  </si>
  <si>
    <t>Capital cost allowance rate</t>
  </si>
  <si>
    <t>Customer specific capital</t>
  </si>
  <si>
    <t>New facilities and/or reinforcement investments</t>
  </si>
  <si>
    <t>Total incremental overheads</t>
  </si>
  <si>
    <t>Incremental Overheads at project level</t>
  </si>
  <si>
    <t>Annual Total Capital Costs</t>
  </si>
  <si>
    <t>NET PRESENT VALUE</t>
  </si>
  <si>
    <t>Customer connection horizon (max 5)</t>
  </si>
  <si>
    <t>Customer revenue horizon (max 25)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</si>
  <si>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</si>
  <si>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</si>
  <si>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</si>
  <si>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</si>
  <si>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</si>
  <si>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</si>
  <si>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</si>
  <si>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</si>
  <si>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</si>
  <si>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</si>
  <si>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</si>
  <si>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</si>
  <si>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</si>
  <si>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</si>
  <si>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</si>
  <si>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</si>
  <si>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</si>
  <si>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</si>
  <si>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</si>
  <si>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</si>
  <si>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</si>
  <si>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</si>
  <si>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</si>
  <si>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</si>
  <si>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</si>
  <si>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Developer name</t>
  </si>
  <si>
    <t>Incremental after-tax weighted average cost of capital</t>
  </si>
  <si>
    <t>Taxable capital employed in Canada</t>
  </si>
  <si>
    <t xml:space="preserve">Base for Federal capital tax </t>
  </si>
  <si>
    <t>Revenue received for each of the years 6 - 25 are the same as year 5</t>
  </si>
  <si>
    <t>Closing undepreciated capital cost</t>
  </si>
  <si>
    <t>Opening undepreciated capital cost</t>
  </si>
  <si>
    <t>Less: Capital cost allowance</t>
  </si>
  <si>
    <t>Present Value of Operating Cash Flow</t>
  </si>
  <si>
    <t>Present value factor - end of year</t>
  </si>
  <si>
    <t>Present value factor - mid-year</t>
  </si>
  <si>
    <t>General Service &lt; 50kW</t>
  </si>
  <si>
    <t>Estimate of average energy per added customer (monthly kWh)</t>
  </si>
  <si>
    <t>Estimate of average demand per added customer kW</t>
  </si>
  <si>
    <t>Approved wires only rates per rate schedule - variable charge (per kWh)</t>
  </si>
  <si>
    <t>Approved wires only rates per rate schedule - demand charge (per kW)</t>
  </si>
  <si>
    <t>Other class - non-demand</t>
  </si>
  <si>
    <t>Other class - demand</t>
  </si>
  <si>
    <t>Land and land rights</t>
  </si>
  <si>
    <t>Annual Capital Costs excluding land</t>
  </si>
  <si>
    <t>Less: Contributed Capital</t>
  </si>
  <si>
    <t>Present Value Of CCA Tax Shield</t>
  </si>
  <si>
    <t>Present Value Of Annual Capital Costs</t>
  </si>
  <si>
    <t>CCA Annual Income Tax Savings</t>
  </si>
  <si>
    <t xml:space="preserve"> Present Value of Net Operating Cash</t>
  </si>
  <si>
    <t>Net (Wires) Operating Cash before Income Tax</t>
  </si>
  <si>
    <t>Present Value of Taxes</t>
  </si>
  <si>
    <t>Income Taxes</t>
  </si>
  <si>
    <t>Provincial Capital Taxes</t>
  </si>
  <si>
    <t>Federal Capital Taxes</t>
  </si>
  <si>
    <t>Annual Municipal Taxes</t>
  </si>
  <si>
    <t xml:space="preserve"> Total Taxes</t>
  </si>
  <si>
    <t xml:space="preserve"> PV of Taxes</t>
  </si>
  <si>
    <t>1.</t>
  </si>
  <si>
    <t xml:space="preserve"> Present value of Net Operating Cash</t>
  </si>
  <si>
    <t>PV of Operating Cash Flow</t>
  </si>
  <si>
    <t>a) PV of Net Operating Cash Flow</t>
  </si>
  <si>
    <t>b) PV of Taxes</t>
  </si>
  <si>
    <t>2.</t>
  </si>
  <si>
    <t>PV of Capital</t>
  </si>
  <si>
    <t>3.</t>
  </si>
  <si>
    <t>PV of CCA Tax Shield</t>
  </si>
  <si>
    <t>Current year customer additions are divided by two in order to recognize level activities throughout the year.</t>
  </si>
  <si>
    <t>OPERATIONS</t>
  </si>
  <si>
    <t xml:space="preserve">   Net Present Value Summary</t>
  </si>
  <si>
    <t>There is assumption made here that there are no up front capital costs in the first year, that Costs in the first year are incurred evenly during the year.</t>
  </si>
  <si>
    <t xml:space="preserve"> BLUE CELLS ARE USED FOR PROJECT SPECIFIC DATA</t>
  </si>
  <si>
    <t>YELLOW CELLS ONLY ARE FOR DATA INPUT OF ANNUAL CONSTANTS.</t>
  </si>
  <si>
    <t>Assessed value of land</t>
  </si>
  <si>
    <t>Capital Deduction (Federal purposes)</t>
  </si>
  <si>
    <t xml:space="preserve"> PV of Municipal TaxesTaxes</t>
  </si>
  <si>
    <t>Total debt outstanding (%)</t>
  </si>
  <si>
    <t>Total common equity (%)</t>
  </si>
  <si>
    <t>Table No.</t>
  </si>
  <si>
    <t>Attributable incremental annual operating, maintenance and administration expenditures (per customer addition)</t>
  </si>
  <si>
    <t>Total customer specific capital (exclude land)</t>
  </si>
  <si>
    <t>Incremental overheads (capital) at project level applicable to distribution system expansion</t>
  </si>
  <si>
    <t>Incremental OM&amp;A</t>
  </si>
  <si>
    <t>Total Incremental OM&amp;A</t>
  </si>
  <si>
    <t>Less Total Incremental OM&amp;A</t>
  </si>
  <si>
    <t>Debt/Equity Ratio  - as per audited financial statements</t>
  </si>
  <si>
    <t/>
  </si>
  <si>
    <t>Debt</t>
  </si>
  <si>
    <t>Long Term Debt</t>
  </si>
  <si>
    <t>Employee Future Benefits</t>
  </si>
  <si>
    <t>Equity</t>
  </si>
  <si>
    <t>Capital Stock</t>
  </si>
  <si>
    <t>Contributed Capital</t>
  </si>
  <si>
    <t>Summary of Customer Data and Economic Analysis Results</t>
  </si>
  <si>
    <t>Project Name</t>
  </si>
  <si>
    <t>Project Number</t>
  </si>
  <si>
    <t>New Customers and Input Data</t>
  </si>
  <si>
    <t>Customers, Type</t>
  </si>
  <si>
    <t>kWh per Unit</t>
  </si>
  <si>
    <t>Total Residential</t>
  </si>
  <si>
    <t>Data</t>
  </si>
  <si>
    <t>USCIC</t>
  </si>
  <si>
    <t>Summary</t>
  </si>
  <si>
    <t>Cost Breakdown:</t>
  </si>
  <si>
    <t>Eng &amp; Admin</t>
  </si>
  <si>
    <t>Inspection</t>
  </si>
  <si>
    <t>Distribution Rates in effect</t>
  </si>
  <si>
    <t>Calculation Results</t>
  </si>
  <si>
    <t>Monthly, fixed customer charge</t>
  </si>
  <si>
    <t>Expressed in relation to internal construction costs only…..</t>
  </si>
  <si>
    <t>Monthly, variable</t>
  </si>
  <si>
    <t>Residential, per kWh</t>
  </si>
  <si>
    <t>General Service &lt; 50kW, per kWh</t>
  </si>
  <si>
    <t>Monthly Variable, per kW</t>
  </si>
  <si>
    <t>Number of Units or GS load (kW) Added in Each Year</t>
  </si>
  <si>
    <t>Annual O,M, &amp; A</t>
  </si>
  <si>
    <t>(Data Inputs)</t>
  </si>
  <si>
    <t xml:space="preserve">Project Total Costs </t>
  </si>
  <si>
    <t>General Service Load</t>
  </si>
  <si>
    <t>Average energy added per Res. customer</t>
  </si>
  <si>
    <t>Incremental OM&amp;A, $/Customer</t>
  </si>
  <si>
    <t>Developer</t>
  </si>
  <si>
    <t>Municipality</t>
  </si>
  <si>
    <t>Debt(excluding regulatory liabilities)</t>
  </si>
  <si>
    <t>Contributed Surplus</t>
  </si>
  <si>
    <t>Loans and Advances</t>
  </si>
  <si>
    <t>Long term debt</t>
  </si>
  <si>
    <t>Due to Veridian Corporation</t>
  </si>
  <si>
    <t>Due to Veridian Energy</t>
  </si>
  <si>
    <t>Customer deposits</t>
  </si>
  <si>
    <t>Tree Trimming</t>
  </si>
  <si>
    <t>Taxable Capital</t>
  </si>
  <si>
    <t>General Service 50 to 2,999 kW</t>
  </si>
  <si>
    <t>General Service 3,000 to 4,999 kW</t>
  </si>
  <si>
    <t>Operations Supervision &amp; Engineering</t>
  </si>
  <si>
    <t>Load Dispatching</t>
  </si>
  <si>
    <t>Station Buildings &amp; Fixtures</t>
  </si>
  <si>
    <t>Distribution Station Equipment</t>
  </si>
  <si>
    <t>Overhead Lines</t>
  </si>
  <si>
    <t>Overhead Subtransmission Feeders</t>
  </si>
  <si>
    <t>Overhead Transformers</t>
  </si>
  <si>
    <t>Underground Lines and Feeders</t>
  </si>
  <si>
    <t>Underground Subtransmission Feeders</t>
  </si>
  <si>
    <t>Underground Transformers</t>
  </si>
  <si>
    <t>Customer Premises</t>
  </si>
  <si>
    <t>Metering</t>
  </si>
  <si>
    <t>Miscellaneous</t>
  </si>
  <si>
    <t>5070/5075</t>
  </si>
  <si>
    <t>5065/5175</t>
  </si>
  <si>
    <t>Total Operations</t>
  </si>
  <si>
    <t>Supervision and Direction</t>
  </si>
  <si>
    <t>Station Building Maintenance</t>
  </si>
  <si>
    <t>Station Equipment Maintenance</t>
  </si>
  <si>
    <t>Poles, Towers &amp; Fixtures</t>
  </si>
  <si>
    <t>Overhead Services</t>
  </si>
  <si>
    <t>Underground Lines</t>
  </si>
  <si>
    <t>Underground Services</t>
  </si>
  <si>
    <t>Transformer Maintenance</t>
  </si>
  <si>
    <t>Total Maintenance</t>
  </si>
  <si>
    <t>Bad Debt Expense</t>
  </si>
  <si>
    <t>Cash Over/Short</t>
  </si>
  <si>
    <t>Energy Services - Billing &amp; Settlement</t>
  </si>
  <si>
    <t>Total OM&amp;A</t>
  </si>
  <si>
    <t>Total Other Costs</t>
  </si>
  <si>
    <t>$/Customer</t>
  </si>
  <si>
    <t>Customer Count</t>
  </si>
  <si>
    <t>5145/5150</t>
  </si>
  <si>
    <t>Less: Belleville Front Counter</t>
  </si>
  <si>
    <t>5085/5090 5095/5096</t>
  </si>
  <si>
    <t>Less: Misc. 5090 5095 5096</t>
  </si>
  <si>
    <t>5090/5095 5096</t>
  </si>
  <si>
    <t>5310/5315 5340</t>
  </si>
  <si>
    <t>Description</t>
  </si>
  <si>
    <t>OEB</t>
  </si>
  <si>
    <t>OM&amp;A COST/CUSTOMER CALCULATION</t>
  </si>
  <si>
    <t>Deficit/Retained Earnings</t>
  </si>
  <si>
    <t>Loans and Advances Calculation (See row 7)</t>
  </si>
  <si>
    <t>Statement of Costs</t>
  </si>
  <si>
    <t>Eliminated</t>
  </si>
  <si>
    <t>Date Run:</t>
  </si>
  <si>
    <t>Version:</t>
  </si>
  <si>
    <t>Technician:</t>
  </si>
  <si>
    <t>R0</t>
  </si>
  <si>
    <t>R1</t>
  </si>
  <si>
    <t>R2</t>
  </si>
  <si>
    <t>R3</t>
  </si>
  <si>
    <t>R4</t>
  </si>
  <si>
    <t>NOTE: Option 2 - EE Different from OTC</t>
  </si>
  <si>
    <t>N/A</t>
  </si>
  <si>
    <t>PV of Projected OM&amp;A costs</t>
  </si>
  <si>
    <t>Expansion Deposit</t>
  </si>
  <si>
    <t>Present Value Of Forecast Revenue</t>
  </si>
  <si>
    <t>Elexicon Energy Use Only</t>
  </si>
  <si>
    <t>Developer Opted for Option 2 When Elexicon quote was cheaper</t>
  </si>
  <si>
    <t>Capital Contribution Recovery Rate (CCRR) (% of Project Total)</t>
  </si>
  <si>
    <t>Capital Contribution by Customer</t>
  </si>
  <si>
    <t>2018</t>
  </si>
  <si>
    <t>2018/Cust</t>
  </si>
  <si>
    <t>Customer Deposits</t>
  </si>
  <si>
    <t>5016/5017</t>
  </si>
  <si>
    <t>5020/5025</t>
  </si>
  <si>
    <t>5040/5045</t>
  </si>
  <si>
    <t>General Service 50 to 4,999 kW</t>
  </si>
  <si>
    <t>xxxx</t>
  </si>
  <si>
    <t>Veridian</t>
  </si>
  <si>
    <t>Whitby</t>
  </si>
  <si>
    <t>Year</t>
  </si>
  <si>
    <t>2019</t>
  </si>
  <si>
    <t>2020</t>
  </si>
  <si>
    <t>2021</t>
  </si>
  <si>
    <t>2022</t>
  </si>
  <si>
    <t>2023</t>
  </si>
  <si>
    <t>Forecast Connection</t>
  </si>
  <si>
    <t>Actual Connection</t>
  </si>
  <si>
    <t>Connection Variance</t>
  </si>
  <si>
    <t>Connection Failure Refund Adjuster</t>
  </si>
  <si>
    <t>Annual Expansion Deposit Rebates Paid - (% of Connections)</t>
  </si>
  <si>
    <t>Cumulative Total Rebates</t>
  </si>
  <si>
    <t>2 Year Maintenance hold back - 10%</t>
  </si>
  <si>
    <t>90% of Expansion Deposit Payable annually</t>
  </si>
  <si>
    <t>Results of original EE and True Up EE</t>
  </si>
  <si>
    <t>Variance</t>
  </si>
  <si>
    <t>Original EE</t>
  </si>
  <si>
    <t>TrueUp EE</t>
  </si>
  <si>
    <t>Total  Cost of Project</t>
  </si>
  <si>
    <t>Capital Cost Recovery Rate as % of Project Total</t>
  </si>
  <si>
    <t>TRUEUP SECTION</t>
  </si>
  <si>
    <t>Connection results:  Forecast vs Actual</t>
  </si>
  <si>
    <t xml:space="preserve">Residential </t>
  </si>
  <si>
    <t>Connecting (Section A)</t>
  </si>
  <si>
    <t>Material (Section A)</t>
  </si>
  <si>
    <t>Installation (Section B)</t>
  </si>
  <si>
    <t>Elexicon's Contribution p/unit</t>
  </si>
  <si>
    <t>EE Template :</t>
  </si>
  <si>
    <t>Whitby Only</t>
  </si>
  <si>
    <t>2019/Cust</t>
  </si>
  <si>
    <t>Elexicon</t>
  </si>
  <si>
    <t>Actual Connection as % of  total forecast</t>
  </si>
  <si>
    <t>VERIDIAN</t>
  </si>
  <si>
    <t>ELEXICON</t>
  </si>
  <si>
    <t>2020/Cust</t>
  </si>
  <si>
    <t>True-Up EE</t>
  </si>
  <si>
    <t>Year 1- 2022</t>
  </si>
  <si>
    <t>Year 2- 2023</t>
  </si>
  <si>
    <t>Year 3-2024</t>
  </si>
  <si>
    <t>Year 4-2025</t>
  </si>
  <si>
    <t>Year 5-2026</t>
  </si>
  <si>
    <t>2021/Cust</t>
  </si>
  <si>
    <t xml:space="preserve">Expansion Deposit </t>
  </si>
  <si>
    <t>WHEN THERE IS CAPITAL CONTRIBUTION</t>
  </si>
  <si>
    <t>Elexicon's Contribution</t>
  </si>
  <si>
    <t>NPV of Revenue</t>
  </si>
  <si>
    <t>Expansion Deposit (the lesser of the 2 above)</t>
  </si>
  <si>
    <t>WHEN THERE IS NO CAPITAL CONTRIBUTION</t>
  </si>
  <si>
    <t>NPV of project cost and NPV of maintenance cost</t>
  </si>
  <si>
    <t>Project total Cost</t>
  </si>
  <si>
    <t>TBA</t>
  </si>
  <si>
    <t>Brooklin Landowners</t>
  </si>
  <si>
    <t>Review EE</t>
  </si>
  <si>
    <r>
      <t>27.6kV Brooklin N Dev-ICM -</t>
    </r>
    <r>
      <rPr>
        <b/>
        <sz val="10"/>
        <color rgb="FF0000FF"/>
        <rFont val="Arial"/>
        <family val="2"/>
      </rPr>
      <t xml:space="preserve"> C - 5-Yr DCF Model Calculation Results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</si>
</sst>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"/>
    <numFmt numFmtId="167" formatCode="0.0000"/>
    <numFmt numFmtId="168" formatCode="#,##0.00000"/>
    <numFmt numFmtId="169" formatCode="#,##0.000"/>
    <numFmt numFmtId="170" formatCode="#,##0.0000"/>
    <numFmt numFmtId="171" formatCode="_-* #,##0_-;\-* #,##0_-;_-* &quot;-&quot;??_-;_-@_-"/>
    <numFmt numFmtId="172" formatCode="0.0000%"/>
    <numFmt numFmtId="173" formatCode="0.000%"/>
    <numFmt numFmtId="174" formatCode="0.0%"/>
    <numFmt numFmtId="175" formatCode="&quot;$&quot;#,##0"/>
    <numFmt numFmtId="176" formatCode="_(&quot;$&quot;* #,##0.0000_);_(&quot;$&quot;* \(#,##0.0000\);_(&quot;$&quot;* &quot;-&quot;????_);_(@_)"/>
    <numFmt numFmtId="177" formatCode="&quot;$&quot;#,##0.00"/>
    <numFmt numFmtId="178" formatCode="_(&quot;$&quot;* #,##0.0000_);_(&quot;$&quot;* \(#,##0.0000\);_(&quot;$&quot;* &quot;-&quot;??_);_(@_)"/>
    <numFmt numFmtId="179" formatCode="#,##0.00;\(#,##0.00\)"/>
    <numFmt numFmtId="180" formatCode="&quot;$&quot;#,##0.00;\(&quot;$&quot;#,##0.00\)"/>
    <numFmt numFmtId="181" formatCode="###0.0%;\(###0.0%\)"/>
    <numFmt numFmtId="182" formatCode="_-&quot;$&quot;* #,##0_-;\-&quot;$&quot;* #,##0_-;_-&quot;$&quot;* &quot;-&quot;??_-;_-@_-"/>
    <numFmt numFmtId="183" formatCode="[$-1009]d\-mmm\-yy;@"/>
  </numFmts>
  <fonts count="5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b/>
      <sz val="8"/>
      <color indexed="14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Comic Sans MS"/>
      <family val="4"/>
    </font>
    <font>
      <b/>
      <sz val="12"/>
      <color indexed="8"/>
      <name val="Times New Roman"/>
      <family val="1"/>
    </font>
    <font>
      <sz val="10"/>
      <name val="Arial"/>
      <family val="2"/>
    </font>
    <font>
      <sz val="12"/>
      <color indexed="81"/>
      <name val="Tahom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.0500000000000007"/>
      <color indexed="8"/>
      <name val="Arial"/>
      <family val="2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sz val="8"/>
      <color rgb="FF000099"/>
      <name val="Arial"/>
      <family val="2"/>
    </font>
    <font>
      <sz val="8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0"/>
      <color rgb="FF0000FF"/>
      <name val="Arial"/>
      <family val="2"/>
    </font>
    <font>
      <sz val="11"/>
      <name val="Arial"/>
      <family val="2"/>
    </font>
    <font>
      <b/>
      <sz val="14"/>
      <color rgb="FF000099"/>
      <name val="Arial"/>
      <family val="2"/>
    </font>
    <font>
      <sz val="11"/>
      <color theme="5" tint="-0.249977111117893"/>
      <name val="Arial"/>
      <family val="2"/>
    </font>
    <font>
      <sz val="11"/>
      <color rgb="FF0000CC"/>
      <name val="Arial"/>
      <family val="2"/>
    </font>
    <font>
      <b/>
      <sz val="12"/>
      <color rgb="FF000099"/>
      <name val="Arial"/>
      <family val="2"/>
    </font>
    <font>
      <sz val="10"/>
      <color rgb="FF000099"/>
      <name val="Arial"/>
      <family val="2"/>
    </font>
    <font>
      <sz val="10"/>
      <color rgb="FF00B050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165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79" fontId="27" fillId="0" borderId="0"/>
    <xf numFmtId="179" fontId="27" fillId="0" borderId="0"/>
    <xf numFmtId="180" fontId="27" fillId="0" borderId="0"/>
    <xf numFmtId="180" fontId="27" fillId="0" borderId="0"/>
    <xf numFmtId="181" fontId="27" fillId="0" borderId="0"/>
    <xf numFmtId="181" fontId="27" fillId="0" borderId="0"/>
    <xf numFmtId="0" fontId="27" fillId="0" borderId="0"/>
    <xf numFmtId="0" fontId="27" fillId="0" borderId="0"/>
    <xf numFmtId="0" fontId="25" fillId="0" borderId="0"/>
    <xf numFmtId="9" fontId="1" fillId="0" borderId="0" applyFont="0" applyFill="0" applyBorder="0" applyAlignment="0" applyProtection="0"/>
    <xf numFmtId="0" fontId="18" fillId="0" borderId="0" applyNumberFormat="0" applyBorder="0" applyAlignment="0"/>
    <xf numFmtId="0" fontId="27" fillId="0" borderId="0"/>
    <xf numFmtId="0" fontId="27" fillId="0" borderId="0"/>
    <xf numFmtId="0" fontId="19" fillId="0" borderId="0" applyNumberFormat="0" applyBorder="0" applyAlignment="0"/>
    <xf numFmtId="0" fontId="20" fillId="0" borderId="0" applyNumberFormat="0" applyBorder="0" applyAlignment="0"/>
    <xf numFmtId="0" fontId="21" fillId="0" borderId="0" applyNumberFormat="0" applyBorder="0" applyAlignment="0"/>
  </cellStyleXfs>
  <cellXfs count="40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7" fillId="0" borderId="1" xfId="0" applyFont="1" applyBorder="1" applyAlignment="1">
      <alignment wrapText="1"/>
    </xf>
    <xf numFmtId="0" fontId="8" fillId="0" borderId="0" xfId="0" applyFont="1"/>
    <xf numFmtId="171" fontId="6" fillId="0" borderId="0" xfId="1" applyNumberFormat="1" applyFont="1"/>
    <xf numFmtId="0" fontId="10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167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72" fontId="6" fillId="0" borderId="0" xfId="0" applyNumberFormat="1" applyFont="1" applyAlignment="1">
      <alignment horizontal="right"/>
    </xf>
    <xf numFmtId="10" fontId="6" fillId="0" borderId="1" xfId="0" applyNumberFormat="1" applyFont="1" applyBorder="1" applyAlignment="1">
      <alignment horizontal="right"/>
    </xf>
    <xf numFmtId="173" fontId="6" fillId="2" borderId="1" xfId="0" applyNumberFormat="1" applyFont="1" applyFill="1" applyBorder="1" applyAlignment="1">
      <alignment horizontal="right"/>
    </xf>
    <xf numFmtId="10" fontId="6" fillId="0" borderId="0" xfId="0" applyNumberFormat="1" applyFont="1"/>
    <xf numFmtId="10" fontId="6" fillId="0" borderId="0" xfId="15" applyNumberFormat="1" applyFont="1"/>
    <xf numFmtId="165" fontId="6" fillId="0" borderId="0" xfId="1" applyFont="1"/>
    <xf numFmtId="0" fontId="5" fillId="0" borderId="0" xfId="0" applyFont="1" applyAlignment="1">
      <alignment horizontal="left"/>
    </xf>
    <xf numFmtId="38" fontId="5" fillId="0" borderId="0" xfId="0" applyNumberFormat="1" applyFont="1"/>
    <xf numFmtId="38" fontId="6" fillId="0" borderId="0" xfId="0" applyNumberFormat="1" applyFont="1"/>
    <xf numFmtId="38" fontId="0" fillId="0" borderId="0" xfId="0" applyNumberFormat="1"/>
    <xf numFmtId="38" fontId="6" fillId="0" borderId="0" xfId="0" applyNumberFormat="1" applyFont="1" applyAlignment="1">
      <alignment wrapText="1"/>
    </xf>
    <xf numFmtId="171" fontId="5" fillId="0" borderId="0" xfId="1" applyNumberFormat="1" applyFont="1" applyAlignment="1"/>
    <xf numFmtId="171" fontId="0" fillId="0" borderId="0" xfId="1" applyNumberFormat="1" applyFont="1"/>
    <xf numFmtId="0" fontId="5" fillId="3" borderId="0" xfId="0" applyFont="1" applyFill="1"/>
    <xf numFmtId="0" fontId="6" fillId="3" borderId="0" xfId="0" applyFont="1" applyFill="1"/>
    <xf numFmtId="0" fontId="6" fillId="3" borderId="0" xfId="0" applyFont="1" applyFill="1" applyAlignment="1">
      <alignment horizontal="right"/>
    </xf>
    <xf numFmtId="3" fontId="6" fillId="3" borderId="0" xfId="0" applyNumberFormat="1" applyFont="1" applyFill="1"/>
    <xf numFmtId="171" fontId="6" fillId="3" borderId="0" xfId="1" applyNumberFormat="1" applyFont="1" applyFill="1"/>
    <xf numFmtId="0" fontId="9" fillId="0" borderId="0" xfId="0" applyFont="1"/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38" fontId="6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170" fontId="6" fillId="4" borderId="0" xfId="0" applyNumberFormat="1" applyFont="1" applyFill="1"/>
    <xf numFmtId="168" fontId="6" fillId="4" borderId="0" xfId="0" applyNumberFormat="1" applyFont="1" applyFill="1"/>
    <xf numFmtId="169" fontId="6" fillId="4" borderId="0" xfId="0" applyNumberFormat="1" applyFont="1" applyFill="1"/>
    <xf numFmtId="0" fontId="5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right"/>
    </xf>
    <xf numFmtId="0" fontId="5" fillId="5" borderId="2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171" fontId="6" fillId="0" borderId="1" xfId="0" applyNumberFormat="1" applyFont="1" applyBorder="1" applyAlignment="1">
      <alignment horizontal="right"/>
    </xf>
    <xf numFmtId="171" fontId="6" fillId="6" borderId="1" xfId="1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horizontal="right"/>
    </xf>
    <xf numFmtId="0" fontId="6" fillId="6" borderId="3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6" fontId="12" fillId="7" borderId="4" xfId="0" applyNumberFormat="1" applyFont="1" applyFill="1" applyBorder="1"/>
    <xf numFmtId="38" fontId="12" fillId="7" borderId="0" xfId="0" applyNumberFormat="1" applyFont="1" applyFill="1"/>
    <xf numFmtId="38" fontId="6" fillId="7" borderId="0" xfId="0" applyNumberFormat="1" applyFont="1" applyFill="1"/>
    <xf numFmtId="38" fontId="6" fillId="0" borderId="5" xfId="0" applyNumberFormat="1" applyFont="1" applyBorder="1"/>
    <xf numFmtId="38" fontId="6" fillId="0" borderId="4" xfId="0" applyNumberFormat="1" applyFont="1" applyBorder="1"/>
    <xf numFmtId="38" fontId="6" fillId="0" borderId="6" xfId="0" applyNumberFormat="1" applyFont="1" applyBorder="1"/>
    <xf numFmtId="168" fontId="13" fillId="4" borderId="0" xfId="0" applyNumberFormat="1" applyFont="1" applyFill="1"/>
    <xf numFmtId="0" fontId="0" fillId="0" borderId="0" xfId="0" quotePrefix="1"/>
    <xf numFmtId="0" fontId="14" fillId="0" borderId="0" xfId="0" applyFont="1"/>
    <xf numFmtId="3" fontId="6" fillId="0" borderId="4" xfId="0" applyNumberFormat="1" applyFont="1" applyBorder="1"/>
    <xf numFmtId="0" fontId="11" fillId="0" borderId="0" xfId="0" quotePrefix="1" applyFont="1"/>
    <xf numFmtId="38" fontId="12" fillId="7" borderId="5" xfId="0" applyNumberFormat="1" applyFont="1" applyFill="1" applyBorder="1"/>
    <xf numFmtId="0" fontId="5" fillId="0" borderId="0" xfId="0" applyFont="1" applyAlignment="1">
      <alignment horizontal="right"/>
    </xf>
    <xf numFmtId="38" fontId="6" fillId="0" borderId="7" xfId="0" applyNumberFormat="1" applyFont="1" applyBorder="1"/>
    <xf numFmtId="38" fontId="6" fillId="7" borderId="4" xfId="0" applyNumberFormat="1" applyFont="1" applyFill="1" applyBorder="1"/>
    <xf numFmtId="38" fontId="6" fillId="2" borderId="1" xfId="0" applyNumberFormat="1" applyFont="1" applyFill="1" applyBorder="1"/>
    <xf numFmtId="6" fontId="12" fillId="7" borderId="0" xfId="0" applyNumberFormat="1" applyFont="1" applyFill="1"/>
    <xf numFmtId="171" fontId="6" fillId="7" borderId="0" xfId="1" applyNumberFormat="1" applyFont="1" applyFill="1"/>
    <xf numFmtId="171" fontId="11" fillId="0" borderId="6" xfId="1" applyNumberFormat="1" applyFont="1" applyBorder="1" applyAlignment="1">
      <alignment horizontal="right" wrapText="1"/>
    </xf>
    <xf numFmtId="171" fontId="5" fillId="0" borderId="6" xfId="1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171" fontId="1" fillId="0" borderId="0" xfId="1" applyNumberFormat="1"/>
    <xf numFmtId="171" fontId="0" fillId="0" borderId="0" xfId="0" applyNumberFormat="1"/>
    <xf numFmtId="171" fontId="1" fillId="0" borderId="0" xfId="1" applyNumberFormat="1" applyFont="1"/>
    <xf numFmtId="174" fontId="1" fillId="0" borderId="0" xfId="15" applyNumberFormat="1"/>
    <xf numFmtId="0" fontId="2" fillId="0" borderId="0" xfId="0" applyFont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2" fontId="2" fillId="0" borderId="0" xfId="0" applyNumberFormat="1" applyFont="1"/>
    <xf numFmtId="0" fontId="2" fillId="0" borderId="12" xfId="0" applyFont="1" applyBorder="1"/>
    <xf numFmtId="171" fontId="6" fillId="0" borderId="1" xfId="0" applyNumberFormat="1" applyFont="1" applyBorder="1"/>
    <xf numFmtId="1" fontId="6" fillId="6" borderId="1" xfId="0" applyNumberFormat="1" applyFont="1" applyFill="1" applyBorder="1" applyAlignment="1">
      <alignment horizontal="right"/>
    </xf>
    <xf numFmtId="175" fontId="2" fillId="0" borderId="0" xfId="0" applyNumberFormat="1" applyFont="1"/>
    <xf numFmtId="0" fontId="7" fillId="0" borderId="18" xfId="0" applyFont="1" applyBorder="1" applyAlignment="1">
      <alignment horizontal="centerContinuous" wrapText="1"/>
    </xf>
    <xf numFmtId="0" fontId="7" fillId="0" borderId="5" xfId="0" applyFont="1" applyBorder="1" applyAlignment="1">
      <alignment horizontal="centerContinuous" wrapText="1"/>
    </xf>
    <xf numFmtId="0" fontId="7" fillId="0" borderId="19" xfId="0" applyFont="1" applyBorder="1" applyAlignment="1">
      <alignment horizontal="centerContinuous" wrapText="1"/>
    </xf>
    <xf numFmtId="0" fontId="2" fillId="0" borderId="20" xfId="0" applyFont="1" applyBorder="1"/>
    <xf numFmtId="0" fontId="2" fillId="0" borderId="7" xfId="0" applyFont="1" applyBorder="1"/>
    <xf numFmtId="0" fontId="17" fillId="0" borderId="14" xfId="0" applyFont="1" applyBorder="1"/>
    <xf numFmtId="0" fontId="15" fillId="0" borderId="21" xfId="0" applyFont="1" applyBorder="1" applyAlignment="1" applyProtection="1">
      <alignment horizontal="left"/>
      <protection locked="0"/>
    </xf>
    <xf numFmtId="175" fontId="2" fillId="0" borderId="5" xfId="0" applyNumberFormat="1" applyFont="1" applyBorder="1"/>
    <xf numFmtId="0" fontId="2" fillId="0" borderId="18" xfId="0" applyFont="1" applyBorder="1" applyAlignment="1">
      <alignment horizontal="right"/>
    </xf>
    <xf numFmtId="1" fontId="2" fillId="6" borderId="5" xfId="0" applyNumberFormat="1" applyFont="1" applyFill="1" applyBorder="1" applyProtection="1">
      <protection locked="0"/>
    </xf>
    <xf numFmtId="1" fontId="2" fillId="6" borderId="0" xfId="0" applyNumberFormat="1" applyFont="1" applyFill="1" applyProtection="1">
      <protection locked="0"/>
    </xf>
    <xf numFmtId="1" fontId="2" fillId="6" borderId="6" xfId="0" applyNumberFormat="1" applyFont="1" applyFill="1" applyBorder="1" applyProtection="1">
      <protection locked="0"/>
    </xf>
    <xf numFmtId="44" fontId="2" fillId="6" borderId="0" xfId="0" applyNumberFormat="1" applyFont="1" applyFill="1" applyProtection="1">
      <protection locked="0"/>
    </xf>
    <xf numFmtId="171" fontId="8" fillId="0" borderId="0" xfId="1" applyNumberFormat="1" applyFont="1"/>
    <xf numFmtId="37" fontId="0" fillId="0" borderId="0" xfId="0" applyNumberFormat="1"/>
    <xf numFmtId="174" fontId="22" fillId="0" borderId="0" xfId="15" applyNumberFormat="1" applyFo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6" fillId="0" borderId="0" xfId="0" applyFont="1"/>
    <xf numFmtId="37" fontId="1" fillId="0" borderId="0" xfId="1" applyNumberFormat="1" applyFont="1"/>
    <xf numFmtId="10" fontId="22" fillId="0" borderId="0" xfId="15" applyNumberFormat="1" applyFont="1"/>
    <xf numFmtId="171" fontId="0" fillId="0" borderId="6" xfId="1" applyNumberFormat="1" applyFont="1" applyBorder="1"/>
    <xf numFmtId="10" fontId="1" fillId="0" borderId="0" xfId="15" applyNumberFormat="1" applyFont="1"/>
    <xf numFmtId="37" fontId="0" fillId="0" borderId="6" xfId="0" applyNumberFormat="1" applyBorder="1"/>
    <xf numFmtId="37" fontId="0" fillId="0" borderId="6" xfId="1" applyNumberFormat="1" applyFont="1" applyFill="1" applyBorder="1"/>
    <xf numFmtId="171" fontId="0" fillId="0" borderId="6" xfId="0" applyNumberFormat="1" applyBorder="1"/>
    <xf numFmtId="171" fontId="0" fillId="0" borderId="7" xfId="1" applyNumberFormat="1" applyFont="1" applyBorder="1"/>
    <xf numFmtId="165" fontId="0" fillId="0" borderId="0" xfId="1" applyFont="1"/>
    <xf numFmtId="165" fontId="6" fillId="6" borderId="1" xfId="1" applyFont="1" applyFill="1" applyBorder="1" applyAlignment="1">
      <alignment horizontal="right"/>
    </xf>
    <xf numFmtId="165" fontId="6" fillId="6" borderId="1" xfId="0" applyNumberFormat="1" applyFont="1" applyFill="1" applyBorder="1" applyAlignment="1">
      <alignment horizontal="right"/>
    </xf>
    <xf numFmtId="0" fontId="0" fillId="9" borderId="0" xfId="0" applyFill="1"/>
    <xf numFmtId="171" fontId="24" fillId="9" borderId="0" xfId="1" applyNumberFormat="1" applyFont="1" applyFill="1"/>
    <xf numFmtId="171" fontId="24" fillId="9" borderId="7" xfId="1" applyNumberFormat="1" applyFont="1" applyFill="1" applyBorder="1"/>
    <xf numFmtId="0" fontId="0" fillId="0" borderId="9" xfId="0" applyBorder="1"/>
    <xf numFmtId="0" fontId="2" fillId="0" borderId="10" xfId="0" applyFont="1" applyBorder="1" applyAlignment="1">
      <alignment horizontal="center"/>
    </xf>
    <xf numFmtId="177" fontId="2" fillId="0" borderId="0" xfId="4" applyNumberFormat="1" applyFont="1" applyFill="1"/>
    <xf numFmtId="177" fontId="2" fillId="0" borderId="0" xfId="0" applyNumberFormat="1" applyFont="1"/>
    <xf numFmtId="37" fontId="1" fillId="0" borderId="0" xfId="1" applyNumberFormat="1" applyFont="1" applyFill="1"/>
    <xf numFmtId="171" fontId="24" fillId="0" borderId="0" xfId="1" applyNumberFormat="1" applyFont="1" applyFill="1"/>
    <xf numFmtId="9" fontId="0" fillId="0" borderId="0" xfId="15" applyFont="1"/>
    <xf numFmtId="171" fontId="24" fillId="0" borderId="7" xfId="1" applyNumberFormat="1" applyFont="1" applyFill="1" applyBorder="1"/>
    <xf numFmtId="0" fontId="1" fillId="0" borderId="0" xfId="0" applyFont="1"/>
    <xf numFmtId="38" fontId="6" fillId="8" borderId="1" xfId="0" applyNumberFormat="1" applyFont="1" applyFill="1" applyBorder="1"/>
    <xf numFmtId="0" fontId="31" fillId="0" borderId="0" xfId="0" applyFont="1"/>
    <xf numFmtId="0" fontId="31" fillId="9" borderId="0" xfId="0" applyFont="1" applyFill="1"/>
    <xf numFmtId="175" fontId="1" fillId="0" borderId="0" xfId="0" applyNumberFormat="1" applyFont="1"/>
    <xf numFmtId="182" fontId="2" fillId="0" borderId="24" xfId="4" applyNumberFormat="1" applyFont="1" applyFill="1" applyBorder="1" applyAlignment="1"/>
    <xf numFmtId="165" fontId="0" fillId="0" borderId="0" xfId="1" applyFont="1" applyFill="1" applyBorder="1"/>
    <xf numFmtId="0" fontId="7" fillId="0" borderId="0" xfId="0" applyFont="1" applyAlignment="1">
      <alignment horizontal="left"/>
    </xf>
    <xf numFmtId="171" fontId="1" fillId="0" borderId="9" xfId="1" applyNumberFormat="1" applyFont="1" applyFill="1" applyBorder="1"/>
    <xf numFmtId="171" fontId="1" fillId="0" borderId="0" xfId="1" applyNumberFormat="1" applyFont="1" applyFill="1"/>
    <xf numFmtId="10" fontId="1" fillId="0" borderId="0" xfId="15" applyNumberFormat="1" applyFont="1" applyFill="1"/>
    <xf numFmtId="171" fontId="1" fillId="8" borderId="0" xfId="1" applyNumberFormat="1" applyFont="1" applyFill="1"/>
    <xf numFmtId="165" fontId="0" fillId="0" borderId="8" xfId="1" applyFont="1" applyFill="1" applyBorder="1"/>
    <xf numFmtId="165" fontId="2" fillId="0" borderId="0" xfId="1" applyFont="1" applyFill="1"/>
    <xf numFmtId="165" fontId="0" fillId="0" borderId="0" xfId="1" applyFont="1" applyFill="1"/>
    <xf numFmtId="171" fontId="2" fillId="0" borderId="0" xfId="1" applyNumberFormat="1" applyFont="1" applyFill="1"/>
    <xf numFmtId="171" fontId="30" fillId="0" borderId="0" xfId="1" applyNumberFormat="1" applyFont="1" applyFill="1"/>
    <xf numFmtId="0" fontId="8" fillId="10" borderId="0" xfId="0" applyFont="1" applyFill="1"/>
    <xf numFmtId="0" fontId="1" fillId="10" borderId="0" xfId="0" applyFont="1" applyFill="1" applyAlignment="1">
      <alignment horizontal="left" wrapText="1"/>
    </xf>
    <xf numFmtId="0" fontId="8" fillId="10" borderId="0" xfId="0" applyFont="1" applyFill="1" applyAlignment="1">
      <alignment horizontal="left" wrapText="1"/>
    </xf>
    <xf numFmtId="0" fontId="32" fillId="0" borderId="0" xfId="0" applyFont="1"/>
    <xf numFmtId="1" fontId="2" fillId="11" borderId="0" xfId="0" applyNumberFormat="1" applyFont="1" applyFill="1" applyProtection="1">
      <protection locked="0"/>
    </xf>
    <xf numFmtId="171" fontId="2" fillId="0" borderId="3" xfId="1" quotePrefix="1" applyNumberFormat="1" applyFont="1" applyFill="1" applyBorder="1" applyAlignment="1">
      <alignment horizontal="center"/>
    </xf>
    <xf numFmtId="2" fontId="33" fillId="2" borderId="1" xfId="0" applyNumberFormat="1" applyFont="1" applyFill="1" applyBorder="1" applyAlignment="1">
      <alignment horizontal="right"/>
    </xf>
    <xf numFmtId="2" fontId="34" fillId="2" borderId="1" xfId="0" applyNumberFormat="1" applyFont="1" applyFill="1" applyBorder="1" applyAlignment="1">
      <alignment horizontal="right"/>
    </xf>
    <xf numFmtId="0" fontId="5" fillId="8" borderId="0" xfId="0" applyFont="1" applyFill="1"/>
    <xf numFmtId="38" fontId="0" fillId="8" borderId="0" xfId="0" applyNumberFormat="1" applyFill="1"/>
    <xf numFmtId="38" fontId="6" fillId="8" borderId="0" xfId="0" applyNumberFormat="1" applyFont="1" applyFill="1"/>
    <xf numFmtId="0" fontId="6" fillId="8" borderId="0" xfId="0" applyFont="1" applyFill="1"/>
    <xf numFmtId="171" fontId="0" fillId="0" borderId="0" xfId="1" applyNumberFormat="1" applyFont="1" applyFill="1"/>
    <xf numFmtId="44" fontId="2" fillId="6" borderId="9" xfId="4" applyNumberFormat="1" applyFont="1" applyFill="1" applyBorder="1" applyAlignment="1" applyProtection="1">
      <alignment horizontal="right"/>
    </xf>
    <xf numFmtId="44" fontId="2" fillId="6" borderId="9" xfId="0" applyNumberFormat="1" applyFont="1" applyFill="1" applyBorder="1" applyAlignment="1" applyProtection="1">
      <alignment horizontal="right"/>
      <protection locked="0"/>
    </xf>
    <xf numFmtId="44" fontId="2" fillId="6" borderId="9" xfId="0" applyNumberFormat="1" applyFont="1" applyFill="1" applyBorder="1" applyAlignment="1">
      <alignment horizontal="right"/>
    </xf>
    <xf numFmtId="0" fontId="2" fillId="6" borderId="9" xfId="0" applyFont="1" applyFill="1" applyBorder="1" applyProtection="1">
      <protection locked="0"/>
    </xf>
    <xf numFmtId="176" fontId="2" fillId="6" borderId="9" xfId="0" applyNumberFormat="1" applyFont="1" applyFill="1" applyBorder="1" applyAlignment="1">
      <alignment horizontal="right"/>
    </xf>
    <xf numFmtId="178" fontId="2" fillId="6" borderId="9" xfId="0" applyNumberFormat="1" applyFont="1" applyFill="1" applyBorder="1"/>
    <xf numFmtId="178" fontId="2" fillId="6" borderId="9" xfId="0" applyNumberFormat="1" applyFont="1" applyFill="1" applyBorder="1" applyProtection="1">
      <protection locked="0"/>
    </xf>
    <xf numFmtId="178" fontId="2" fillId="6" borderId="9" xfId="4" applyNumberFormat="1" applyFont="1" applyFill="1" applyBorder="1" applyProtection="1"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2" fillId="6" borderId="0" xfId="0" applyFont="1" applyFill="1" applyAlignment="1">
      <alignment horizontal="center"/>
    </xf>
    <xf numFmtId="183" fontId="2" fillId="6" borderId="0" xfId="0" applyNumberFormat="1" applyFont="1" applyFill="1" applyAlignment="1">
      <alignment horizontal="center"/>
    </xf>
    <xf numFmtId="0" fontId="1" fillId="0" borderId="4" xfId="0" applyFont="1" applyBorder="1"/>
    <xf numFmtId="0" fontId="7" fillId="0" borderId="11" xfId="0" applyFont="1" applyBorder="1" applyAlignment="1">
      <alignment horizontal="right"/>
    </xf>
    <xf numFmtId="1" fontId="1" fillId="0" borderId="5" xfId="0" applyNumberFormat="1" applyFont="1" applyBorder="1"/>
    <xf numFmtId="1" fontId="1" fillId="0" borderId="0" xfId="0" applyNumberFormat="1" applyFont="1"/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11" borderId="0" xfId="0" applyFont="1" applyFill="1"/>
    <xf numFmtId="166" fontId="1" fillId="11" borderId="0" xfId="0" applyNumberFormat="1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1" fontId="1" fillId="11" borderId="0" xfId="0" applyNumberFormat="1" applyFont="1" applyFill="1"/>
    <xf numFmtId="1" fontId="1" fillId="0" borderId="6" xfId="0" applyNumberFormat="1" applyFont="1" applyBorder="1"/>
    <xf numFmtId="166" fontId="1" fillId="0" borderId="0" xfId="0" applyNumberFormat="1" applyFont="1"/>
    <xf numFmtId="0" fontId="1" fillId="0" borderId="6" xfId="0" applyFont="1" applyBorder="1"/>
    <xf numFmtId="42" fontId="1" fillId="0" borderId="1" xfId="0" applyNumberFormat="1" applyFont="1" applyBorder="1"/>
    <xf numFmtId="44" fontId="1" fillId="0" borderId="0" xfId="0" applyNumberFormat="1" applyFont="1" applyProtection="1">
      <protection locked="0"/>
    </xf>
    <xf numFmtId="42" fontId="1" fillId="0" borderId="0" xfId="0" applyNumberFormat="1" applyFont="1"/>
    <xf numFmtId="44" fontId="1" fillId="0" borderId="0" xfId="0" applyNumberFormat="1" applyFont="1"/>
    <xf numFmtId="0" fontId="1" fillId="0" borderId="13" xfId="0" applyFont="1" applyBorder="1"/>
    <xf numFmtId="14" fontId="1" fillId="0" borderId="0" xfId="0" applyNumberFormat="1" applyFont="1"/>
    <xf numFmtId="0" fontId="1" fillId="0" borderId="8" xfId="0" applyFont="1" applyBorder="1"/>
    <xf numFmtId="0" fontId="1" fillId="0" borderId="9" xfId="0" applyFont="1" applyBorder="1"/>
    <xf numFmtId="0" fontId="1" fillId="0" borderId="3" xfId="0" applyFont="1" applyBorder="1"/>
    <xf numFmtId="44" fontId="2" fillId="0" borderId="10" xfId="4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2" fillId="0" borderId="23" xfId="0" applyFont="1" applyBorder="1" applyAlignment="1">
      <alignment horizontal="center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" fillId="0" borderId="23" xfId="0" applyFont="1" applyBorder="1"/>
    <xf numFmtId="0" fontId="1" fillId="6" borderId="14" xfId="0" applyFont="1" applyFill="1" applyBorder="1" applyAlignment="1" applyProtection="1">
      <alignment horizontal="left"/>
      <protection locked="0"/>
    </xf>
    <xf numFmtId="175" fontId="1" fillId="6" borderId="0" xfId="0" applyNumberFormat="1" applyFont="1" applyFill="1" applyProtection="1">
      <protection locked="0"/>
    </xf>
    <xf numFmtId="0" fontId="1" fillId="6" borderId="0" xfId="0" applyFont="1" applyFill="1"/>
    <xf numFmtId="0" fontId="1" fillId="6" borderId="23" xfId="0" applyFont="1" applyFill="1" applyBorder="1"/>
    <xf numFmtId="175" fontId="1" fillId="6" borderId="0" xfId="0" applyNumberFormat="1" applyFont="1" applyFill="1" applyAlignment="1" applyProtection="1">
      <alignment horizontal="right"/>
      <protection locked="0"/>
    </xf>
    <xf numFmtId="175" fontId="1" fillId="0" borderId="2" xfId="0" applyNumberFormat="1" applyFont="1" applyBorder="1"/>
    <xf numFmtId="42" fontId="1" fillId="0" borderId="2" xfId="0" applyNumberFormat="1" applyFont="1" applyBorder="1"/>
    <xf numFmtId="0" fontId="1" fillId="0" borderId="2" xfId="0" applyFont="1" applyBorder="1"/>
    <xf numFmtId="0" fontId="1" fillId="0" borderId="22" xfId="0" applyFont="1" applyBorder="1"/>
    <xf numFmtId="41" fontId="1" fillId="0" borderId="0" xfId="0" applyNumberFormat="1" applyFont="1"/>
    <xf numFmtId="0" fontId="1" fillId="0" borderId="0" xfId="0" applyFont="1" applyAlignment="1">
      <alignment wrapText="1"/>
    </xf>
    <xf numFmtId="0" fontId="1" fillId="0" borderId="16" xfId="0" applyFont="1" applyBorder="1" applyAlignment="1">
      <alignment horizontal="centerContinuous" wrapText="1"/>
    </xf>
    <xf numFmtId="0" fontId="1" fillId="0" borderId="17" xfId="0" applyFont="1" applyBorder="1" applyAlignment="1">
      <alignment horizontal="centerContinuous" wrapText="1"/>
    </xf>
    <xf numFmtId="0" fontId="15" fillId="0" borderId="0" xfId="0" applyFont="1" applyAlignment="1">
      <alignment horizontal="right"/>
    </xf>
    <xf numFmtId="6" fontId="15" fillId="0" borderId="0" xfId="0" applyNumberFormat="1" applyFont="1" applyAlignment="1">
      <alignment horizontal="right"/>
    </xf>
    <xf numFmtId="10" fontId="0" fillId="0" borderId="0" xfId="0" applyNumberFormat="1"/>
    <xf numFmtId="171" fontId="1" fillId="0" borderId="0" xfId="0" applyNumberFormat="1" applyFont="1"/>
    <xf numFmtId="164" fontId="2" fillId="6" borderId="0" xfId="4" applyFont="1" applyFill="1" applyBorder="1" applyAlignment="1" applyProtection="1">
      <protection locked="0"/>
    </xf>
    <xf numFmtId="164" fontId="2" fillId="6" borderId="0" xfId="4" applyFont="1" applyFill="1" applyBorder="1" applyAlignment="1" applyProtection="1">
      <alignment horizontal="right"/>
      <protection locked="0"/>
    </xf>
    <xf numFmtId="164" fontId="2" fillId="0" borderId="5" xfId="4" applyFont="1" applyBorder="1" applyAlignment="1"/>
    <xf numFmtId="171" fontId="1" fillId="8" borderId="9" xfId="1" applyNumberFormat="1" applyFont="1" applyFill="1" applyBorder="1"/>
    <xf numFmtId="0" fontId="1" fillId="0" borderId="1" xfId="0" applyFont="1" applyBorder="1"/>
    <xf numFmtId="0" fontId="30" fillId="0" borderId="0" xfId="0" applyFont="1"/>
    <xf numFmtId="0" fontId="1" fillId="12" borderId="16" xfId="0" applyFont="1" applyFill="1" applyBorder="1" applyAlignment="1">
      <alignment horizontal="centerContinuous" wrapText="1"/>
    </xf>
    <xf numFmtId="0" fontId="1" fillId="12" borderId="17" xfId="0" applyFont="1" applyFill="1" applyBorder="1" applyAlignment="1">
      <alignment horizontal="centerContinuous" wrapText="1"/>
    </xf>
    <xf numFmtId="0" fontId="7" fillId="12" borderId="7" xfId="0" applyFont="1" applyFill="1" applyBorder="1" applyAlignment="1">
      <alignment horizontal="centerContinuous" wrapText="1"/>
    </xf>
    <xf numFmtId="0" fontId="7" fillId="12" borderId="24" xfId="0" applyFont="1" applyFill="1" applyBorder="1" applyAlignment="1">
      <alignment horizontal="centerContinuous" wrapText="1"/>
    </xf>
    <xf numFmtId="0" fontId="2" fillId="12" borderId="31" xfId="0" applyFont="1" applyFill="1" applyBorder="1"/>
    <xf numFmtId="0" fontId="1" fillId="12" borderId="32" xfId="0" applyFont="1" applyFill="1" applyBorder="1"/>
    <xf numFmtId="0" fontId="2" fillId="12" borderId="32" xfId="0" applyFont="1" applyFill="1" applyBorder="1"/>
    <xf numFmtId="164" fontId="1" fillId="12" borderId="33" xfId="4" applyFont="1" applyFill="1" applyBorder="1" applyAlignment="1"/>
    <xf numFmtId="0" fontId="2" fillId="12" borderId="14" xfId="0" applyFont="1" applyFill="1" applyBorder="1" applyAlignment="1">
      <alignment horizontal="left"/>
    </xf>
    <xf numFmtId="0" fontId="1" fillId="12" borderId="0" xfId="0" applyFont="1" applyFill="1"/>
    <xf numFmtId="164" fontId="1" fillId="12" borderId="23" xfId="4" applyFont="1" applyFill="1" applyBorder="1" applyAlignment="1"/>
    <xf numFmtId="0" fontId="1" fillId="12" borderId="0" xfId="0" applyFont="1" applyFill="1" applyAlignment="1">
      <alignment wrapText="1"/>
    </xf>
    <xf numFmtId="0" fontId="1" fillId="12" borderId="2" xfId="0" applyFont="1" applyFill="1" applyBorder="1" applyAlignment="1">
      <alignment wrapText="1"/>
    </xf>
    <xf numFmtId="9" fontId="2" fillId="12" borderId="22" xfId="15" applyFont="1" applyFill="1" applyBorder="1" applyAlignment="1"/>
    <xf numFmtId="0" fontId="38" fillId="0" borderId="15" xfId="0" applyFont="1" applyBorder="1" applyAlignment="1">
      <alignment horizontal="centerContinuous" wrapText="1"/>
    </xf>
    <xf numFmtId="42" fontId="39" fillId="0" borderId="0" xfId="0" applyNumberFormat="1" applyFont="1"/>
    <xf numFmtId="0" fontId="39" fillId="0" borderId="0" xfId="0" applyFont="1"/>
    <xf numFmtId="0" fontId="37" fillId="13" borderId="31" xfId="0" applyFont="1" applyFill="1" applyBorder="1"/>
    <xf numFmtId="42" fontId="37" fillId="13" borderId="33" xfId="0" applyNumberFormat="1" applyFont="1" applyFill="1" applyBorder="1"/>
    <xf numFmtId="171" fontId="37" fillId="13" borderId="34" xfId="1" quotePrefix="1" applyNumberFormat="1" applyFont="1" applyFill="1" applyBorder="1"/>
    <xf numFmtId="42" fontId="37" fillId="13" borderId="34" xfId="0" quotePrefix="1" applyNumberFormat="1" applyFont="1" applyFill="1" applyBorder="1"/>
    <xf numFmtId="0" fontId="37" fillId="13" borderId="34" xfId="0" applyFont="1" applyFill="1" applyBorder="1"/>
    <xf numFmtId="0" fontId="37" fillId="13" borderId="21" xfId="0" applyFont="1" applyFill="1" applyBorder="1"/>
    <xf numFmtId="0" fontId="39" fillId="13" borderId="22" xfId="0" applyFont="1" applyFill="1" applyBorder="1"/>
    <xf numFmtId="0" fontId="37" fillId="13" borderId="35" xfId="0" applyFont="1" applyFill="1" applyBorder="1"/>
    <xf numFmtId="0" fontId="39" fillId="0" borderId="31" xfId="0" applyFont="1" applyBorder="1"/>
    <xf numFmtId="0" fontId="39" fillId="0" borderId="32" xfId="0" applyFont="1" applyBorder="1"/>
    <xf numFmtId="0" fontId="39" fillId="0" borderId="36" xfId="0" applyFont="1" applyBorder="1"/>
    <xf numFmtId="0" fontId="39" fillId="0" borderId="37" xfId="0" applyFont="1" applyBorder="1"/>
    <xf numFmtId="0" fontId="39" fillId="0" borderId="18" xfId="0" applyFont="1" applyBorder="1"/>
    <xf numFmtId="0" fontId="39" fillId="0" borderId="26" xfId="0" applyFont="1" applyBorder="1"/>
    <xf numFmtId="0" fontId="39" fillId="0" borderId="1" xfId="0" applyFont="1" applyBorder="1"/>
    <xf numFmtId="0" fontId="39" fillId="0" borderId="38" xfId="0" applyFont="1" applyBorder="1"/>
    <xf numFmtId="0" fontId="39" fillId="0" borderId="39" xfId="0" applyFont="1" applyBorder="1"/>
    <xf numFmtId="0" fontId="39" fillId="0" borderId="10" xfId="0" applyFont="1" applyBorder="1"/>
    <xf numFmtId="0" fontId="41" fillId="0" borderId="18" xfId="0" applyFont="1" applyBorder="1"/>
    <xf numFmtId="0" fontId="41" fillId="0" borderId="26" xfId="0" applyFont="1" applyBorder="1"/>
    <xf numFmtId="9" fontId="41" fillId="0" borderId="1" xfId="15" applyFont="1" applyBorder="1"/>
    <xf numFmtId="164" fontId="39" fillId="0" borderId="1" xfId="4" applyFont="1" applyFill="1" applyBorder="1"/>
    <xf numFmtId="182" fontId="39" fillId="0" borderId="1" xfId="4" applyNumberFormat="1" applyFont="1" applyFill="1" applyBorder="1"/>
    <xf numFmtId="182" fontId="39" fillId="0" borderId="38" xfId="4" applyNumberFormat="1" applyFont="1" applyFill="1" applyBorder="1"/>
    <xf numFmtId="182" fontId="39" fillId="0" borderId="0" xfId="0" applyNumberFormat="1" applyFont="1"/>
    <xf numFmtId="182" fontId="39" fillId="0" borderId="40" xfId="4" applyNumberFormat="1" applyFont="1" applyFill="1" applyBorder="1"/>
    <xf numFmtId="182" fontId="39" fillId="0" borderId="41" xfId="4" applyNumberFormat="1" applyFont="1" applyFill="1" applyBorder="1"/>
    <xf numFmtId="182" fontId="39" fillId="0" borderId="43" xfId="4" applyNumberFormat="1" applyFont="1" applyFill="1" applyBorder="1"/>
    <xf numFmtId="182" fontId="39" fillId="0" borderId="44" xfId="4" applyNumberFormat="1" applyFont="1" applyFill="1" applyBorder="1"/>
    <xf numFmtId="182" fontId="39" fillId="0" borderId="45" xfId="4" applyNumberFormat="1" applyFont="1" applyFill="1" applyBorder="1"/>
    <xf numFmtId="0" fontId="42" fillId="0" borderId="0" xfId="0" applyFont="1"/>
    <xf numFmtId="0" fontId="39" fillId="0" borderId="0" xfId="0" applyFont="1" applyAlignment="1">
      <alignment horizontal="center"/>
    </xf>
    <xf numFmtId="182" fontId="39" fillId="0" borderId="0" xfId="4" applyNumberFormat="1" applyFont="1" applyFill="1" applyBorder="1"/>
    <xf numFmtId="0" fontId="39" fillId="0" borderId="27" xfId="0" applyFont="1" applyBorder="1" applyAlignment="1">
      <alignment horizontal="center" wrapText="1"/>
    </xf>
    <xf numFmtId="0" fontId="39" fillId="0" borderId="28" xfId="0" applyFont="1" applyBorder="1" applyAlignment="1">
      <alignment horizontal="center" wrapText="1"/>
    </xf>
    <xf numFmtId="182" fontId="39" fillId="0" borderId="30" xfId="4" applyNumberFormat="1" applyFont="1" applyFill="1" applyBorder="1"/>
    <xf numFmtId="182" fontId="39" fillId="0" borderId="28" xfId="4" applyNumberFormat="1" applyFont="1" applyFill="1" applyBorder="1"/>
    <xf numFmtId="182" fontId="39" fillId="0" borderId="29" xfId="4" applyNumberFormat="1" applyFont="1" applyFill="1" applyBorder="1"/>
    <xf numFmtId="0" fontId="39" fillId="0" borderId="0" xfId="0" applyFont="1" applyAlignment="1">
      <alignment horizontal="center" wrapText="1"/>
    </xf>
    <xf numFmtId="42" fontId="39" fillId="13" borderId="31" xfId="0" applyNumberFormat="1" applyFont="1" applyFill="1" applyBorder="1" applyAlignment="1">
      <alignment horizontal="center" wrapText="1"/>
    </xf>
    <xf numFmtId="42" fontId="39" fillId="13" borderId="32" xfId="0" applyNumberFormat="1" applyFont="1" applyFill="1" applyBorder="1" applyAlignment="1">
      <alignment horizontal="center" wrapText="1"/>
    </xf>
    <xf numFmtId="171" fontId="37" fillId="13" borderId="34" xfId="1" quotePrefix="1" applyNumberFormat="1" applyFont="1" applyFill="1" applyBorder="1" applyAlignment="1">
      <alignment vertical="center"/>
    </xf>
    <xf numFmtId="42" fontId="39" fillId="13" borderId="21" xfId="0" applyNumberFormat="1" applyFont="1" applyFill="1" applyBorder="1" applyAlignment="1">
      <alignment horizontal="center" wrapText="1"/>
    </xf>
    <xf numFmtId="42" fontId="39" fillId="13" borderId="2" xfId="0" applyNumberFormat="1" applyFont="1" applyFill="1" applyBorder="1" applyAlignment="1">
      <alignment horizontal="center" wrapText="1"/>
    </xf>
    <xf numFmtId="171" fontId="42" fillId="13" borderId="35" xfId="1" quotePrefix="1" applyNumberFormat="1" applyFont="1" applyFill="1" applyBorder="1"/>
    <xf numFmtId="171" fontId="39" fillId="13" borderId="35" xfId="1" quotePrefix="1" applyNumberFormat="1" applyFont="1" applyFill="1" applyBorder="1"/>
    <xf numFmtId="0" fontId="39" fillId="0" borderId="46" xfId="0" applyFont="1" applyBorder="1"/>
    <xf numFmtId="0" fontId="39" fillId="0" borderId="11" xfId="0" applyFont="1" applyBorder="1"/>
    <xf numFmtId="182" fontId="39" fillId="0" borderId="11" xfId="4" applyNumberFormat="1" applyFont="1" applyBorder="1"/>
    <xf numFmtId="182" fontId="39" fillId="0" borderId="36" xfId="4" applyNumberFormat="1" applyFont="1" applyBorder="1"/>
    <xf numFmtId="182" fontId="39" fillId="0" borderId="37" xfId="4" applyNumberFormat="1" applyFont="1" applyBorder="1"/>
    <xf numFmtId="0" fontId="39" fillId="0" borderId="47" xfId="0" applyFont="1" applyBorder="1"/>
    <xf numFmtId="182" fontId="39" fillId="0" borderId="1" xfId="4" applyNumberFormat="1" applyFont="1" applyBorder="1"/>
    <xf numFmtId="182" fontId="39" fillId="0" borderId="38" xfId="4" applyNumberFormat="1" applyFont="1" applyBorder="1"/>
    <xf numFmtId="0" fontId="39" fillId="0" borderId="48" xfId="0" applyFont="1" applyBorder="1"/>
    <xf numFmtId="0" fontId="39" fillId="0" borderId="44" xfId="0" applyFont="1" applyBorder="1"/>
    <xf numFmtId="9" fontId="39" fillId="0" borderId="44" xfId="15" applyFont="1" applyBorder="1"/>
    <xf numFmtId="9" fontId="39" fillId="0" borderId="45" xfId="15" applyFont="1" applyBorder="1"/>
    <xf numFmtId="164" fontId="1" fillId="6" borderId="23" xfId="0" applyNumberFormat="1" applyFont="1" applyFill="1" applyBorder="1"/>
    <xf numFmtId="0" fontId="40" fillId="0" borderId="0" xfId="0" applyFont="1" applyAlignment="1">
      <alignment horizontal="left" vertical="center"/>
    </xf>
    <xf numFmtId="0" fontId="16" fillId="0" borderId="18" xfId="0" applyFont="1" applyBorder="1"/>
    <xf numFmtId="0" fontId="37" fillId="0" borderId="26" xfId="0" applyFont="1" applyBorder="1"/>
    <xf numFmtId="9" fontId="16" fillId="0" borderId="1" xfId="15" applyFont="1" applyBorder="1"/>
    <xf numFmtId="0" fontId="44" fillId="6" borderId="29" xfId="0" applyFont="1" applyFill="1" applyBorder="1" applyAlignment="1">
      <alignment wrapText="1"/>
    </xf>
    <xf numFmtId="0" fontId="44" fillId="6" borderId="8" xfId="0" applyFont="1" applyFill="1" applyBorder="1"/>
    <xf numFmtId="0" fontId="44" fillId="6" borderId="0" xfId="0" applyFont="1" applyFill="1"/>
    <xf numFmtId="164" fontId="44" fillId="6" borderId="29" xfId="4" applyFont="1" applyFill="1" applyBorder="1" applyAlignment="1"/>
    <xf numFmtId="164" fontId="1" fillId="0" borderId="0" xfId="0" applyNumberFormat="1" applyFont="1"/>
    <xf numFmtId="164" fontId="1" fillId="0" borderId="0" xfId="4" applyFont="1"/>
    <xf numFmtId="0" fontId="32" fillId="0" borderId="2" xfId="0" applyFont="1" applyBorder="1"/>
    <xf numFmtId="171" fontId="0" fillId="14" borderId="0" xfId="1" applyNumberFormat="1" applyFont="1" applyFill="1"/>
    <xf numFmtId="0" fontId="0" fillId="14" borderId="0" xfId="0" applyFill="1"/>
    <xf numFmtId="171" fontId="0" fillId="14" borderId="0" xfId="0" applyNumberFormat="1" applyFill="1"/>
    <xf numFmtId="171" fontId="24" fillId="14" borderId="0" xfId="1" applyNumberFormat="1" applyFont="1" applyFill="1"/>
    <xf numFmtId="171" fontId="1" fillId="14" borderId="0" xfId="1" applyNumberFormat="1" applyFont="1" applyFill="1"/>
    <xf numFmtId="10" fontId="0" fillId="14" borderId="0" xfId="15" applyNumberFormat="1" applyFont="1" applyFill="1"/>
    <xf numFmtId="10" fontId="28" fillId="14" borderId="0" xfId="15" applyNumberFormat="1" applyFont="1" applyFill="1"/>
    <xf numFmtId="10" fontId="1" fillId="14" borderId="0" xfId="15" applyNumberFormat="1" applyFont="1" applyFill="1"/>
    <xf numFmtId="0" fontId="45" fillId="0" borderId="0" xfId="0" applyFont="1"/>
    <xf numFmtId="0" fontId="46" fillId="0" borderId="2" xfId="0" applyFont="1" applyBorder="1"/>
    <xf numFmtId="0" fontId="1" fillId="12" borderId="31" xfId="0" applyFont="1" applyFill="1" applyBorder="1"/>
    <xf numFmtId="164" fontId="1" fillId="12" borderId="34" xfId="4" applyFont="1" applyFill="1" applyBorder="1"/>
    <xf numFmtId="0" fontId="1" fillId="12" borderId="21" xfId="0" applyFont="1" applyFill="1" applyBorder="1"/>
    <xf numFmtId="0" fontId="1" fillId="12" borderId="2" xfId="0" applyFont="1" applyFill="1" applyBorder="1"/>
    <xf numFmtId="164" fontId="1" fillId="12" borderId="35" xfId="4" applyFont="1" applyFill="1" applyBorder="1" applyAlignment="1"/>
    <xf numFmtId="0" fontId="47" fillId="12" borderId="21" xfId="0" applyFont="1" applyFill="1" applyBorder="1"/>
    <xf numFmtId="0" fontId="47" fillId="12" borderId="2" xfId="0" applyFont="1" applyFill="1" applyBorder="1"/>
    <xf numFmtId="164" fontId="47" fillId="12" borderId="35" xfId="4" applyFont="1" applyFill="1" applyBorder="1" applyAlignment="1"/>
    <xf numFmtId="164" fontId="1" fillId="12" borderId="23" xfId="4" applyFont="1" applyFill="1" applyBorder="1" applyAlignment="1">
      <alignment vertical="center"/>
    </xf>
    <xf numFmtId="0" fontId="40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43" fillId="0" borderId="2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4" fillId="6" borderId="27" xfId="0" applyFont="1" applyFill="1" applyBorder="1" applyAlignment="1">
      <alignment horizontal="center" wrapText="1"/>
    </xf>
    <xf numFmtId="0" fontId="44" fillId="6" borderId="29" xfId="0" applyFont="1" applyFill="1" applyBorder="1" applyAlignment="1">
      <alignment horizontal="center" wrapText="1"/>
    </xf>
    <xf numFmtId="164" fontId="44" fillId="6" borderId="27" xfId="4" applyFont="1" applyFill="1" applyBorder="1" applyAlignment="1">
      <alignment horizontal="center"/>
    </xf>
    <xf numFmtId="164" fontId="44" fillId="6" borderId="29" xfId="4" applyFont="1" applyFill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46" fillId="0" borderId="2" xfId="0" applyFont="1" applyBorder="1" applyAlignment="1">
      <alignment horizontal="left"/>
    </xf>
    <xf numFmtId="0" fontId="1" fillId="12" borderId="31" xfId="0" applyFont="1" applyFill="1" applyBorder="1" applyAlignment="1">
      <alignment horizontal="center"/>
    </xf>
    <xf numFmtId="0" fontId="1" fillId="12" borderId="3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47" fillId="12" borderId="21" xfId="0" applyFont="1" applyFill="1" applyBorder="1" applyAlignment="1">
      <alignment horizontal="center"/>
    </xf>
    <xf numFmtId="0" fontId="47" fillId="12" borderId="2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left" vertical="center" wrapText="1"/>
    </xf>
    <xf numFmtId="0" fontId="2" fillId="12" borderId="0" xfId="0" applyFont="1" applyFill="1" applyAlignment="1">
      <alignment horizontal="left" vertical="center" wrapText="1"/>
    </xf>
    <xf numFmtId="0" fontId="2" fillId="6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6" borderId="0" xfId="0" applyFont="1" applyFill="1" applyAlignment="1" applyProtection="1">
      <alignment horizontal="center" wrapText="1"/>
      <protection locked="0"/>
    </xf>
    <xf numFmtId="0" fontId="2" fillId="6" borderId="0" xfId="0" applyFont="1" applyFill="1" applyAlignment="1" applyProtection="1">
      <alignment wrapText="1"/>
      <protection locked="0"/>
    </xf>
    <xf numFmtId="15" fontId="2" fillId="6" borderId="0" xfId="0" applyNumberFormat="1" applyFont="1" applyFill="1" applyAlignment="1" applyProtection="1">
      <alignment horizontal="center"/>
      <protection locked="0"/>
    </xf>
    <xf numFmtId="0" fontId="2" fillId="6" borderId="0" xfId="0" applyFont="1" applyFill="1" applyProtection="1">
      <protection locked="0"/>
    </xf>
    <xf numFmtId="0" fontId="39" fillId="0" borderId="18" xfId="0" applyFont="1" applyBorder="1" applyAlignment="1">
      <alignment horizontal="center" wrapText="1"/>
    </xf>
    <xf numFmtId="0" fontId="39" fillId="0" borderId="26" xfId="0" applyFont="1" applyBorder="1" applyAlignment="1">
      <alignment horizontal="center" wrapText="1"/>
    </xf>
    <xf numFmtId="0" fontId="39" fillId="0" borderId="18" xfId="0" applyFont="1" applyBorder="1" applyAlignment="1">
      <alignment horizontal="center"/>
    </xf>
    <xf numFmtId="0" fontId="39" fillId="0" borderId="26" xfId="0" applyFont="1" applyBorder="1" applyAlignment="1">
      <alignment horizontal="center"/>
    </xf>
    <xf numFmtId="0" fontId="39" fillId="0" borderId="42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7" fillId="12" borderId="20" xfId="0" applyFont="1" applyFill="1" applyBorder="1" applyAlignment="1">
      <alignment horizontal="center" wrapText="1"/>
    </xf>
    <xf numFmtId="0" fontId="7" fillId="12" borderId="7" xfId="0" applyFont="1" applyFill="1" applyBorder="1" applyAlignment="1">
      <alignment horizontal="center" wrapText="1"/>
    </xf>
    <xf numFmtId="0" fontId="2" fillId="12" borderId="21" xfId="0" applyFont="1" applyFill="1" applyBorder="1" applyAlignment="1">
      <alignment horizontal="center" wrapText="1"/>
    </xf>
    <xf numFmtId="0" fontId="2" fillId="12" borderId="2" xfId="0" applyFont="1" applyFill="1" applyBorder="1" applyAlignment="1">
      <alignment horizontal="center" wrapText="1"/>
    </xf>
    <xf numFmtId="0" fontId="37" fillId="12" borderId="15" xfId="0" applyFont="1" applyFill="1" applyBorder="1" applyAlignment="1">
      <alignment horizontal="center" wrapText="1"/>
    </xf>
    <xf numFmtId="0" fontId="37" fillId="12" borderId="16" xfId="0" applyFont="1" applyFill="1" applyBorder="1" applyAlignment="1">
      <alignment horizontal="center" wrapText="1"/>
    </xf>
    <xf numFmtId="0" fontId="9" fillId="8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6" borderId="25" xfId="0" applyFont="1" applyFill="1" applyBorder="1" applyAlignment="1">
      <alignment horizontal="left"/>
    </xf>
    <xf numFmtId="0" fontId="0" fillId="0" borderId="5" xfId="0" applyBorder="1"/>
    <xf numFmtId="0" fontId="0" fillId="0" borderId="26" xfId="0" applyBorder="1"/>
    <xf numFmtId="0" fontId="0" fillId="0" borderId="0" xfId="0"/>
    <xf numFmtId="0" fontId="5" fillId="4" borderId="20" xfId="0" applyFont="1" applyFill="1" applyBorder="1" applyAlignment="1">
      <alignment horizontal="justify" wrapText="1" shrinkToFit="1"/>
    </xf>
    <xf numFmtId="0" fontId="0" fillId="0" borderId="7" xfId="0" applyBorder="1" applyAlignment="1">
      <alignment horizontal="justify" wrapText="1" shrinkToFit="1"/>
    </xf>
    <xf numFmtId="0" fontId="0" fillId="0" borderId="24" xfId="0" applyBorder="1" applyAlignment="1">
      <alignment horizontal="justify" wrapText="1" shrinkToFit="1"/>
    </xf>
    <xf numFmtId="0" fontId="5" fillId="4" borderId="21" xfId="0" applyFont="1" applyFill="1" applyBorder="1" applyAlignment="1">
      <alignment horizontal="justify" wrapText="1" shrinkToFit="1"/>
    </xf>
    <xf numFmtId="0" fontId="0" fillId="0" borderId="2" xfId="0" applyBorder="1" applyAlignment="1">
      <alignment horizontal="justify" wrapText="1" shrinkToFit="1"/>
    </xf>
    <xf numFmtId="0" fontId="0" fillId="0" borderId="22" xfId="0" applyBorder="1" applyAlignment="1">
      <alignment horizontal="justify" wrapText="1" shrinkToFit="1"/>
    </xf>
  </cellXfs>
  <cellStyles count="22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FRxAmtStyle" xfId="6" xr:uid="{00000000-0005-0000-0000-000005000000}"/>
    <cellStyle name="FRxAmtStyle 2" xfId="7" xr:uid="{00000000-0005-0000-0000-000006000000}"/>
    <cellStyle name="FRxCurrStyle" xfId="8" xr:uid="{00000000-0005-0000-0000-000007000000}"/>
    <cellStyle name="FRxCurrStyle 2" xfId="9" xr:uid="{00000000-0005-0000-0000-000008000000}"/>
    <cellStyle name="FRxPcntStyle" xfId="10" xr:uid="{00000000-0005-0000-0000-000009000000}"/>
    <cellStyle name="FRxPcntStyle 2" xfId="11" xr:uid="{00000000-0005-0000-0000-00000A000000}"/>
    <cellStyle name="Normal" xfId="0" builtinId="0"/>
    <cellStyle name="Normal 2" xfId="12" xr:uid="{00000000-0005-0000-0000-00000C000000}"/>
    <cellStyle name="Normal 3" xfId="13" xr:uid="{00000000-0005-0000-0000-00000D000000}"/>
    <cellStyle name="Normal 4" xfId="14" xr:uid="{00000000-0005-0000-0000-00000E000000}"/>
    <cellStyle name="Percent" xfId="15" builtinId="5"/>
    <cellStyle name="STYLE1" xfId="16" xr:uid="{00000000-0005-0000-0000-000010000000}"/>
    <cellStyle name="STYLE1 2" xfId="17" xr:uid="{00000000-0005-0000-0000-000011000000}"/>
    <cellStyle name="STYLE1 3" xfId="18" xr:uid="{00000000-0005-0000-0000-000012000000}"/>
    <cellStyle name="STYLE2" xfId="19" xr:uid="{00000000-0005-0000-0000-000013000000}"/>
    <cellStyle name="STYLE3" xfId="20" xr:uid="{00000000-0005-0000-0000-000014000000}"/>
    <cellStyle name="STYLE4" xfId="21" xr:uid="{00000000-0005-0000-0000-000015000000}"/>
  </cellStyles>
  <dxfs count="0"/>
  <tableStyles count="0" defaultTableStyle="TableStyleMedium9" defaultPivotStyle="PivotStyleLight16"/>
  <colors>
    <mruColors>
      <color rgb="FF0000FF"/>
      <color rgb="FFFFCC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118</xdr:row>
      <xdr:rowOff>123825</xdr:rowOff>
    </xdr:from>
    <xdr:to>
      <xdr:col>9</xdr:col>
      <xdr:colOff>209550</xdr:colOff>
      <xdr:row>120</xdr:row>
      <xdr:rowOff>9525</xdr:rowOff>
    </xdr:to>
    <xdr:sp macro="" textlink="">
      <xdr:nvSpPr>
        <xdr:cNvPr id="3083" name="Text Box 11">
          <a:extLst>
            <a:ext uri="{FF2B5EF4-FFF2-40B4-BE49-F238E27FC236}">
              <a16:creationId xmlns:a16="http://schemas.microsoft.com/office/drawing/2014/main" id="{00000000-0008-0000-0400-00000B0C0000}"/>
            </a:ext>
          </a:extLst>
        </xdr:cNvPr>
        <xdr:cNvSpPr txBox="1">
          <a:spLocks noChangeArrowheads="1"/>
        </xdr:cNvSpPr>
      </xdr:nvSpPr>
      <xdr:spPr bwMode="auto">
        <a:xfrm>
          <a:off x="4229100" y="19059525"/>
          <a:ext cx="25908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Capital Contribution required from Customer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X125"/>
  <sheetViews>
    <sheetView showGridLines="0" tabSelected="1" view="pageBreakPreview" zoomScaleNormal="100" zoomScaleSheetLayoutView="100" workbookViewId="0">
      <selection activeCell="C3" sqref="C3:G3"/>
    </sheetView>
  </sheetViews>
  <sheetFormatPr defaultColWidth="9.140625" defaultRowHeight="12.75" x14ac:dyDescent="0.2"/>
  <cols>
    <col min="1" max="1" width="5.7109375" style="136" customWidth="1"/>
    <col min="2" max="2" width="30.28515625" style="136" customWidth="1"/>
    <col min="3" max="3" width="23.85546875" style="136" customWidth="1"/>
    <col min="4" max="4" width="15.85546875" style="136" customWidth="1"/>
    <col min="5" max="5" width="18.5703125" style="136" customWidth="1"/>
    <col min="6" max="8" width="12.28515625" style="136" customWidth="1"/>
    <col min="9" max="9" width="19" style="136" customWidth="1"/>
    <col min="10" max="10" width="12.28515625" style="136" customWidth="1"/>
    <col min="11" max="11" width="10.85546875" style="136" customWidth="1"/>
    <col min="12" max="12" width="12.28515625" style="136" bestFit="1" customWidth="1"/>
    <col min="13" max="13" width="8" style="136" customWidth="1"/>
    <col min="14" max="14" width="12.140625" style="136" customWidth="1"/>
    <col min="15" max="15" width="13.5703125" style="136" customWidth="1"/>
    <col min="16" max="16" width="9.140625" style="136"/>
    <col min="17" max="17" width="10.5703125" style="136" hidden="1" customWidth="1"/>
    <col min="18" max="18" width="9.140625" style="136" customWidth="1"/>
    <col min="19" max="16384" width="9.140625" style="136"/>
  </cols>
  <sheetData>
    <row r="1" spans="2:17" x14ac:dyDescent="0.2">
      <c r="B1" s="371" t="s">
        <v>135</v>
      </c>
      <c r="C1" s="372"/>
      <c r="D1" s="372"/>
      <c r="E1" s="372"/>
      <c r="F1" s="372"/>
      <c r="G1" s="372"/>
      <c r="H1" s="372"/>
      <c r="I1" s="372"/>
      <c r="J1" s="372"/>
      <c r="K1" s="373"/>
    </row>
    <row r="2" spans="2:17" x14ac:dyDescent="0.2">
      <c r="B2" s="174" t="s">
        <v>136</v>
      </c>
      <c r="C2" s="374" t="s">
        <v>301</v>
      </c>
      <c r="D2" s="375"/>
      <c r="E2" s="375"/>
      <c r="F2" s="375"/>
      <c r="G2" s="375"/>
      <c r="H2" s="79"/>
      <c r="I2" s="79"/>
      <c r="J2" s="79"/>
      <c r="K2" s="79"/>
      <c r="Q2" s="136" t="s">
        <v>224</v>
      </c>
    </row>
    <row r="3" spans="2:17" x14ac:dyDescent="0.2">
      <c r="B3" s="174" t="s">
        <v>137</v>
      </c>
      <c r="C3" s="376"/>
      <c r="D3" s="377"/>
      <c r="E3" s="377"/>
      <c r="F3" s="377"/>
      <c r="G3" s="377"/>
      <c r="H3" s="79"/>
      <c r="I3" s="79"/>
      <c r="J3" s="79"/>
      <c r="K3" s="79"/>
      <c r="Q3" s="136" t="s">
        <v>225</v>
      </c>
    </row>
    <row r="4" spans="2:17" x14ac:dyDescent="0.2">
      <c r="B4" s="174" t="s">
        <v>163</v>
      </c>
      <c r="C4" s="364" t="s">
        <v>299</v>
      </c>
      <c r="D4" s="365"/>
      <c r="E4" s="366"/>
      <c r="F4" s="366"/>
      <c r="G4" s="366"/>
      <c r="H4" s="370"/>
      <c r="I4" s="370"/>
      <c r="J4" s="79"/>
      <c r="K4" s="79"/>
      <c r="Q4" s="136" t="s">
        <v>226</v>
      </c>
    </row>
    <row r="5" spans="2:17" x14ac:dyDescent="0.2">
      <c r="B5" s="174" t="s">
        <v>164</v>
      </c>
      <c r="C5" s="364" t="s">
        <v>247</v>
      </c>
      <c r="D5" s="364"/>
      <c r="E5" s="364"/>
      <c r="F5" s="364"/>
      <c r="G5" s="364"/>
      <c r="H5" s="175"/>
      <c r="I5" s="175"/>
      <c r="J5" s="79"/>
      <c r="K5" s="79"/>
      <c r="Q5" s="136" t="s">
        <v>227</v>
      </c>
    </row>
    <row r="6" spans="2:17" x14ac:dyDescent="0.2">
      <c r="B6" s="174"/>
      <c r="C6" s="176"/>
      <c r="D6" s="176"/>
      <c r="E6" s="176"/>
      <c r="F6" s="176"/>
      <c r="G6" s="176"/>
      <c r="H6" s="175"/>
      <c r="I6" s="175"/>
      <c r="J6" s="79"/>
      <c r="K6" s="79"/>
      <c r="Q6" s="136" t="s">
        <v>228</v>
      </c>
    </row>
    <row r="7" spans="2:17" x14ac:dyDescent="0.2">
      <c r="B7" s="108" t="s">
        <v>223</v>
      </c>
      <c r="C7" s="177" t="s">
        <v>298</v>
      </c>
      <c r="D7" s="79" t="s">
        <v>221</v>
      </c>
      <c r="E7" s="178">
        <v>44978</v>
      </c>
      <c r="F7" s="79" t="s">
        <v>222</v>
      </c>
      <c r="G7" s="177" t="s">
        <v>300</v>
      </c>
      <c r="K7" s="1"/>
      <c r="Q7" s="136" t="s">
        <v>283</v>
      </c>
    </row>
    <row r="8" spans="2:17" x14ac:dyDescent="0.2">
      <c r="B8" s="174"/>
      <c r="C8" s="79"/>
      <c r="D8" s="79"/>
      <c r="E8" s="79"/>
      <c r="F8" s="79"/>
      <c r="G8" s="79"/>
      <c r="K8" s="1"/>
      <c r="Q8" s="136" t="s">
        <v>300</v>
      </c>
    </row>
    <row r="9" spans="2:17" x14ac:dyDescent="0.2">
      <c r="B9" s="108" t="s">
        <v>275</v>
      </c>
      <c r="C9" s="79" t="s">
        <v>276</v>
      </c>
      <c r="D9" s="79"/>
      <c r="E9" s="79"/>
      <c r="F9" s="79"/>
      <c r="G9" s="79"/>
      <c r="K9" s="1"/>
    </row>
    <row r="10" spans="2:17" x14ac:dyDescent="0.2">
      <c r="B10" s="174"/>
      <c r="C10" s="79"/>
      <c r="D10" s="79"/>
      <c r="E10" s="79"/>
      <c r="F10" s="79"/>
      <c r="G10" s="79"/>
      <c r="K10" s="1"/>
    </row>
    <row r="11" spans="2:17" ht="13.5" thickBot="1" x14ac:dyDescent="0.25">
      <c r="B11" s="80" t="s">
        <v>138</v>
      </c>
      <c r="C11" s="179"/>
      <c r="D11" s="81"/>
      <c r="E11" s="81"/>
      <c r="F11" s="179"/>
      <c r="G11" s="179"/>
      <c r="H11" s="179"/>
      <c r="I11" s="179"/>
      <c r="J11" s="179"/>
      <c r="K11" s="80"/>
    </row>
    <row r="12" spans="2:17" ht="13.5" thickTop="1" x14ac:dyDescent="0.2">
      <c r="B12" s="1"/>
      <c r="D12" s="79"/>
      <c r="E12" s="79"/>
      <c r="K12" s="1"/>
    </row>
    <row r="13" spans="2:17" x14ac:dyDescent="0.2">
      <c r="B13" s="82" t="s">
        <v>139</v>
      </c>
      <c r="C13" s="83"/>
      <c r="D13" s="83"/>
      <c r="E13" s="83" t="s">
        <v>140</v>
      </c>
      <c r="F13" s="367" t="s">
        <v>156</v>
      </c>
      <c r="G13" s="368"/>
      <c r="H13" s="368"/>
      <c r="I13" s="368"/>
      <c r="J13" s="368"/>
      <c r="K13" s="369"/>
    </row>
    <row r="14" spans="2:17" ht="18" customHeight="1" x14ac:dyDescent="0.2">
      <c r="B14" s="84"/>
      <c r="C14" s="85"/>
      <c r="D14" s="85"/>
      <c r="E14" s="85"/>
      <c r="F14" s="180" t="s">
        <v>284</v>
      </c>
      <c r="G14" s="180" t="s">
        <v>285</v>
      </c>
      <c r="H14" s="180" t="s">
        <v>286</v>
      </c>
      <c r="I14" s="180" t="s">
        <v>287</v>
      </c>
      <c r="J14" s="180" t="s">
        <v>288</v>
      </c>
      <c r="K14" s="180" t="s">
        <v>12</v>
      </c>
    </row>
    <row r="15" spans="2:17" x14ac:dyDescent="0.2">
      <c r="B15" s="136" t="s">
        <v>160</v>
      </c>
      <c r="F15" s="101"/>
      <c r="G15" s="101">
        <v>0</v>
      </c>
      <c r="H15" s="101">
        <v>0</v>
      </c>
      <c r="I15" s="101">
        <v>0</v>
      </c>
      <c r="J15" s="101">
        <v>0</v>
      </c>
      <c r="K15" s="181">
        <f t="shared" ref="K15:K20" si="0">SUM(F15:J15)</f>
        <v>0</v>
      </c>
    </row>
    <row r="16" spans="2:17" x14ac:dyDescent="0.2">
      <c r="B16" s="1"/>
      <c r="F16" s="102"/>
      <c r="G16" s="102"/>
      <c r="H16" s="102"/>
      <c r="I16" s="102"/>
      <c r="J16" s="102"/>
      <c r="K16" s="182">
        <f t="shared" si="0"/>
        <v>0</v>
      </c>
    </row>
    <row r="17" spans="2:14" x14ac:dyDescent="0.2">
      <c r="D17" s="183"/>
      <c r="E17" s="184"/>
      <c r="F17" s="102"/>
      <c r="G17" s="102"/>
      <c r="H17" s="102"/>
      <c r="I17" s="102"/>
      <c r="J17" s="102"/>
      <c r="K17" s="182">
        <f t="shared" si="0"/>
        <v>0</v>
      </c>
    </row>
    <row r="18" spans="2:14" x14ac:dyDescent="0.2">
      <c r="B18" s="185" t="s">
        <v>270</v>
      </c>
      <c r="C18" s="185"/>
      <c r="D18" s="186"/>
      <c r="E18" s="187">
        <v>750</v>
      </c>
      <c r="F18" s="157">
        <v>700</v>
      </c>
      <c r="G18" s="157">
        <v>700</v>
      </c>
      <c r="H18" s="157">
        <v>700</v>
      </c>
      <c r="I18" s="157">
        <v>700</v>
      </c>
      <c r="J18" s="157">
        <v>700</v>
      </c>
      <c r="K18" s="188">
        <f t="shared" si="0"/>
        <v>3500</v>
      </c>
    </row>
    <row r="19" spans="2:14" x14ac:dyDescent="0.2">
      <c r="D19" s="183"/>
      <c r="E19" s="184"/>
      <c r="F19" s="102"/>
      <c r="G19" s="102"/>
      <c r="H19" s="102"/>
      <c r="I19" s="102"/>
      <c r="J19" s="102"/>
      <c r="K19" s="182">
        <f t="shared" si="0"/>
        <v>0</v>
      </c>
    </row>
    <row r="20" spans="2:14" x14ac:dyDescent="0.2">
      <c r="F20" s="103"/>
      <c r="G20" s="103"/>
      <c r="H20" s="103"/>
      <c r="I20" s="103"/>
      <c r="J20" s="103"/>
      <c r="K20" s="189">
        <f t="shared" si="0"/>
        <v>0</v>
      </c>
    </row>
    <row r="21" spans="2:14" x14ac:dyDescent="0.2">
      <c r="C21" s="343" t="s">
        <v>141</v>
      </c>
      <c r="D21" s="343"/>
      <c r="E21" s="343"/>
      <c r="F21" s="182">
        <f t="shared" ref="F21:K21" si="1">SUM(F17:F20)</f>
        <v>700</v>
      </c>
      <c r="G21" s="182">
        <f t="shared" si="1"/>
        <v>700</v>
      </c>
      <c r="H21" s="182">
        <f t="shared" si="1"/>
        <v>700</v>
      </c>
      <c r="I21" s="182">
        <f t="shared" si="1"/>
        <v>700</v>
      </c>
      <c r="J21" s="182">
        <f t="shared" si="1"/>
        <v>700</v>
      </c>
      <c r="K21" s="182">
        <f t="shared" si="1"/>
        <v>3500</v>
      </c>
    </row>
    <row r="22" spans="2:14" x14ac:dyDescent="0.2">
      <c r="C22" s="343" t="s">
        <v>161</v>
      </c>
      <c r="D22" s="343"/>
      <c r="E22" s="343"/>
      <c r="F22" s="182">
        <f>IF(F21=0,0,(F17*$E$17+F18*$E$18+F19*$E$19)/F21)</f>
        <v>750</v>
      </c>
      <c r="G22" s="182">
        <f>IF(G21=0,F22,(G17*$E$17+G18*$E$18+G19*$E$19)/G21)</f>
        <v>750</v>
      </c>
      <c r="H22" s="182">
        <f>IF(H21=0,G22,(H17*$E$17+H18*$E$18+H19*$E$19)/H21)</f>
        <v>750</v>
      </c>
      <c r="I22" s="182">
        <f>IF(I21=0,H22,(I17*$E$17+I18*$E$18+I19*$E$19)/I21)</f>
        <v>750</v>
      </c>
      <c r="J22" s="182">
        <f>IF(J21=0,I22,(J17*$E$17+J18*$E$18+J19*$E$19)/J21)</f>
        <v>750</v>
      </c>
      <c r="K22" s="182">
        <f>IF(K21=0,0,(K17*$E$17+K18*$E$18+K19*$E$19)/K21)</f>
        <v>750</v>
      </c>
    </row>
    <row r="23" spans="2:14" x14ac:dyDescent="0.2">
      <c r="C23" s="343"/>
      <c r="D23" s="343"/>
      <c r="E23" s="343"/>
      <c r="F23" s="190"/>
      <c r="G23" s="190"/>
      <c r="H23" s="190"/>
      <c r="I23" s="190"/>
      <c r="J23" s="190"/>
      <c r="K23" s="190"/>
    </row>
    <row r="24" spans="2:14" x14ac:dyDescent="0.2">
      <c r="B24" s="82" t="s">
        <v>142</v>
      </c>
      <c r="C24" s="191"/>
      <c r="D24" s="191"/>
      <c r="E24" s="191"/>
      <c r="F24" s="191"/>
      <c r="G24" s="191"/>
      <c r="H24" s="191"/>
      <c r="I24" s="191"/>
      <c r="J24" s="191"/>
      <c r="K24" s="191"/>
    </row>
    <row r="25" spans="2:14" x14ac:dyDescent="0.2">
      <c r="B25" s="1"/>
    </row>
    <row r="26" spans="2:14" x14ac:dyDescent="0.2">
      <c r="B26" s="1"/>
      <c r="D26" s="85"/>
      <c r="E26" s="85"/>
      <c r="F26" s="84"/>
      <c r="L26" s="77"/>
      <c r="M26" s="77"/>
      <c r="N26" s="77"/>
    </row>
    <row r="27" spans="2:14" hidden="1" x14ac:dyDescent="0.2">
      <c r="B27" s="104"/>
      <c r="C27" s="104"/>
      <c r="D27" s="104">
        <v>0</v>
      </c>
      <c r="E27" s="104">
        <v>0</v>
      </c>
      <c r="F27" s="192">
        <f>($D27*F23*F21)+($D27*F15)</f>
        <v>0</v>
      </c>
      <c r="G27" s="192">
        <f>($E27*G23*G21)+($E27*G15)</f>
        <v>0</v>
      </c>
      <c r="H27" s="192">
        <f>($E27*H23*H21)+($E27*H15)</f>
        <v>0</v>
      </c>
      <c r="I27" s="192">
        <f>($E27*I23*I21)+($E27*I15)</f>
        <v>0</v>
      </c>
      <c r="J27" s="192">
        <f>($E27*J23*J21)+($E27*J15)</f>
        <v>0</v>
      </c>
      <c r="K27" s="192">
        <f>SUM(F27:J27)</f>
        <v>0</v>
      </c>
    </row>
    <row r="28" spans="2:14" x14ac:dyDescent="0.2">
      <c r="B28" s="82" t="s">
        <v>157</v>
      </c>
      <c r="D28" s="193"/>
      <c r="E28" s="193"/>
      <c r="F28" s="194"/>
      <c r="G28" s="194"/>
      <c r="H28" s="194"/>
      <c r="I28" s="194"/>
      <c r="J28" s="194"/>
      <c r="K28" s="194"/>
    </row>
    <row r="29" spans="2:14" x14ac:dyDescent="0.2">
      <c r="B29" s="136" t="s">
        <v>162</v>
      </c>
      <c r="D29" s="104">
        <f>+'New OM&amp;A Calc'!K38</f>
        <v>148.32479191438765</v>
      </c>
      <c r="E29" s="104">
        <f>+D29</f>
        <v>148.32479191438765</v>
      </c>
      <c r="L29" s="77"/>
      <c r="M29" s="77"/>
      <c r="N29" s="77"/>
    </row>
    <row r="30" spans="2:14" ht="13.5" thickBot="1" x14ac:dyDescent="0.25">
      <c r="D30" s="195"/>
    </row>
    <row r="31" spans="2:14" ht="13.5" thickBot="1" x14ac:dyDescent="0.25">
      <c r="B31" s="88" t="s">
        <v>148</v>
      </c>
      <c r="C31" s="179"/>
      <c r="D31" s="179"/>
      <c r="E31" s="179"/>
      <c r="F31" s="196"/>
      <c r="H31" s="246" t="s">
        <v>234</v>
      </c>
      <c r="I31" s="220"/>
      <c r="J31" s="221"/>
      <c r="K31" s="197"/>
      <c r="L31" s="225"/>
      <c r="M31" s="225"/>
      <c r="N31" s="225"/>
    </row>
    <row r="32" spans="2:14" ht="13.5" thickTop="1" x14ac:dyDescent="0.2">
      <c r="B32" s="198" t="s">
        <v>150</v>
      </c>
      <c r="F32" s="199"/>
      <c r="H32" s="92" t="s">
        <v>229</v>
      </c>
      <c r="I32" s="93"/>
      <c r="J32" s="94"/>
      <c r="K32" s="197"/>
    </row>
    <row r="33" spans="2:14" x14ac:dyDescent="0.2">
      <c r="B33" s="198"/>
      <c r="C33" s="136" t="s">
        <v>6</v>
      </c>
      <c r="F33" s="166">
        <f>+'Data Inputs'!E31</f>
        <v>33.409999999999997</v>
      </c>
      <c r="H33" s="95"/>
      <c r="I33" s="96"/>
      <c r="J33" s="141"/>
      <c r="K33" s="197"/>
      <c r="L33" s="225"/>
      <c r="M33" s="225"/>
      <c r="N33" s="225"/>
    </row>
    <row r="34" spans="2:14" x14ac:dyDescent="0.2">
      <c r="B34" s="198"/>
      <c r="C34" s="136" t="s">
        <v>78</v>
      </c>
      <c r="F34" s="166">
        <f>+'Data Inputs'!E32</f>
        <v>28.08</v>
      </c>
      <c r="H34" s="344" t="s">
        <v>230</v>
      </c>
      <c r="I34" s="345"/>
      <c r="J34" s="346"/>
      <c r="K34" s="197"/>
    </row>
    <row r="35" spans="2:14" ht="13.5" thickBot="1" x14ac:dyDescent="0.25">
      <c r="B35" s="198"/>
      <c r="F35" s="167"/>
      <c r="H35" s="347"/>
      <c r="I35" s="348"/>
      <c r="J35" s="349"/>
      <c r="K35" s="197"/>
    </row>
    <row r="36" spans="2:14" x14ac:dyDescent="0.2">
      <c r="B36" s="198"/>
      <c r="C36" s="136" t="s">
        <v>174</v>
      </c>
      <c r="F36" s="168">
        <f>+'Data Inputs'!E33</f>
        <v>213.88</v>
      </c>
      <c r="K36" s="197"/>
    </row>
    <row r="37" spans="2:14" x14ac:dyDescent="0.2">
      <c r="B37" s="198"/>
      <c r="C37" s="136" t="s">
        <v>175</v>
      </c>
      <c r="F37" s="168">
        <f>+'Data Inputs'!E34</f>
        <v>0</v>
      </c>
      <c r="K37" s="197"/>
    </row>
    <row r="38" spans="2:14" x14ac:dyDescent="0.2">
      <c r="B38" s="198"/>
      <c r="C38" s="136" t="s">
        <v>7</v>
      </c>
      <c r="F38" s="168">
        <f>+'Data Inputs'!E35</f>
        <v>0</v>
      </c>
      <c r="K38" s="197"/>
    </row>
    <row r="39" spans="2:14" x14ac:dyDescent="0.2">
      <c r="B39" s="198" t="s">
        <v>152</v>
      </c>
      <c r="F39" s="169"/>
      <c r="K39" s="197"/>
    </row>
    <row r="40" spans="2:14" x14ac:dyDescent="0.2">
      <c r="B40" s="198"/>
      <c r="C40" s="136" t="s">
        <v>153</v>
      </c>
      <c r="D40" s="174"/>
      <c r="F40" s="170">
        <f>+'Data Inputs'!E42</f>
        <v>0</v>
      </c>
      <c r="K40" s="197"/>
    </row>
    <row r="41" spans="2:14" x14ac:dyDescent="0.2">
      <c r="B41" s="198"/>
      <c r="C41" s="136" t="s">
        <v>154</v>
      </c>
      <c r="D41" s="174"/>
      <c r="F41" s="170">
        <f>+'Data Inputs'!E43</f>
        <v>2.0799999999999999E-2</v>
      </c>
      <c r="K41" s="197"/>
    </row>
    <row r="42" spans="2:14" x14ac:dyDescent="0.2">
      <c r="B42" s="198" t="s">
        <v>155</v>
      </c>
      <c r="F42" s="169"/>
      <c r="K42" s="197"/>
    </row>
    <row r="43" spans="2:14" x14ac:dyDescent="0.2">
      <c r="B43" s="198"/>
      <c r="C43" s="136" t="s">
        <v>174</v>
      </c>
      <c r="F43" s="171">
        <f>+'Data Inputs'!E48</f>
        <v>4.2717000000000001</v>
      </c>
      <c r="K43" s="197"/>
    </row>
    <row r="44" spans="2:14" x14ac:dyDescent="0.2">
      <c r="B44" s="198"/>
      <c r="C44" s="136" t="s">
        <v>175</v>
      </c>
      <c r="F44" s="172">
        <f>+'Data Inputs'!E49</f>
        <v>0</v>
      </c>
      <c r="K44" s="197"/>
    </row>
    <row r="45" spans="2:14" x14ac:dyDescent="0.2">
      <c r="B45" s="198"/>
      <c r="C45" s="136" t="s">
        <v>7</v>
      </c>
      <c r="F45" s="173">
        <f>+'Data Inputs'!E50</f>
        <v>0</v>
      </c>
      <c r="K45" s="197"/>
    </row>
    <row r="46" spans="2:14" x14ac:dyDescent="0.2">
      <c r="B46" s="200"/>
      <c r="C46" s="191"/>
      <c r="D46" s="191"/>
      <c r="E46" s="191"/>
      <c r="F46" s="201"/>
      <c r="K46" s="197"/>
    </row>
    <row r="47" spans="2:14" x14ac:dyDescent="0.2">
      <c r="F47" s="193"/>
      <c r="K47" s="197"/>
    </row>
    <row r="48" spans="2:14" x14ac:dyDescent="0.2">
      <c r="B48" s="1"/>
      <c r="K48" s="197"/>
    </row>
    <row r="49" spans="2:18" ht="13.5" thickBot="1" x14ac:dyDescent="0.25">
      <c r="B49" s="80" t="s">
        <v>144</v>
      </c>
      <c r="C49" s="179"/>
      <c r="D49" s="179"/>
      <c r="E49" s="179"/>
      <c r="F49" s="179"/>
      <c r="G49" s="179"/>
      <c r="H49" s="179"/>
      <c r="I49" s="179"/>
      <c r="J49" s="179"/>
      <c r="K49" s="179"/>
    </row>
    <row r="50" spans="2:18" ht="13.5" thickTop="1" x14ac:dyDescent="0.2">
      <c r="B50" s="1"/>
      <c r="K50" s="197"/>
    </row>
    <row r="51" spans="2:18" ht="13.5" thickBot="1" x14ac:dyDescent="0.25">
      <c r="B51" s="1"/>
      <c r="K51" s="197"/>
    </row>
    <row r="52" spans="2:18" ht="13.5" thickBot="1" x14ac:dyDescent="0.25">
      <c r="B52" s="339" t="s">
        <v>219</v>
      </c>
      <c r="C52" s="340"/>
      <c r="D52" s="340"/>
      <c r="E52" s="340"/>
      <c r="F52" s="340"/>
      <c r="G52" s="340"/>
      <c r="H52" s="340"/>
      <c r="I52" s="340"/>
      <c r="J52" s="340"/>
      <c r="K52" s="341"/>
    </row>
    <row r="53" spans="2:18" ht="10.5" customHeight="1" x14ac:dyDescent="0.2">
      <c r="B53" s="202"/>
      <c r="C53" s="203"/>
      <c r="D53" s="203"/>
      <c r="E53" s="203"/>
      <c r="F53" s="204"/>
      <c r="G53" s="79"/>
      <c r="H53" s="79"/>
      <c r="I53" s="79"/>
      <c r="J53" s="79"/>
      <c r="K53" s="205"/>
    </row>
    <row r="54" spans="2:18" ht="10.5" customHeight="1" x14ac:dyDescent="0.2">
      <c r="B54" s="202"/>
      <c r="C54" s="85" t="s">
        <v>159</v>
      </c>
      <c r="D54" s="85"/>
      <c r="E54" s="85"/>
      <c r="F54" s="204"/>
      <c r="G54" s="79"/>
      <c r="H54" s="79"/>
      <c r="I54" s="79"/>
      <c r="J54" s="79"/>
      <c r="K54" s="205"/>
    </row>
    <row r="55" spans="2:18" ht="13.5" thickBot="1" x14ac:dyDescent="0.25">
      <c r="B55" s="97" t="s">
        <v>145</v>
      </c>
      <c r="C55" s="206" t="s">
        <v>158</v>
      </c>
      <c r="D55" s="207"/>
      <c r="E55" s="207"/>
      <c r="F55" s="207"/>
      <c r="I55" s="86"/>
      <c r="J55" s="86"/>
      <c r="K55" s="208"/>
    </row>
    <row r="56" spans="2:18" ht="23.25" customHeight="1" thickBot="1" x14ac:dyDescent="0.3">
      <c r="B56" s="209" t="s">
        <v>146</v>
      </c>
      <c r="C56" s="226">
        <v>0</v>
      </c>
      <c r="D56" s="210"/>
      <c r="E56" s="388" t="s">
        <v>149</v>
      </c>
      <c r="F56" s="389"/>
      <c r="G56" s="389"/>
      <c r="H56" s="232"/>
      <c r="I56" s="233"/>
      <c r="J56" s="211"/>
      <c r="K56" s="212"/>
    </row>
    <row r="57" spans="2:18" ht="30.75" customHeight="1" thickBot="1" x14ac:dyDescent="0.25">
      <c r="B57" s="209" t="s">
        <v>271</v>
      </c>
      <c r="C57" s="226">
        <v>0</v>
      </c>
      <c r="D57" s="210"/>
      <c r="E57" s="384" t="s">
        <v>151</v>
      </c>
      <c r="F57" s="385"/>
      <c r="G57" s="385"/>
      <c r="H57" s="234"/>
      <c r="I57" s="235"/>
      <c r="J57" s="211"/>
      <c r="K57" s="212"/>
      <c r="O57" s="350" t="s">
        <v>274</v>
      </c>
      <c r="P57" s="351"/>
      <c r="Q57" s="312"/>
    </row>
    <row r="58" spans="2:18" ht="22.5" customHeight="1" x14ac:dyDescent="0.2">
      <c r="B58" s="209" t="s">
        <v>272</v>
      </c>
      <c r="C58" s="226">
        <v>0</v>
      </c>
      <c r="D58" s="210"/>
      <c r="E58" s="236" t="s">
        <v>266</v>
      </c>
      <c r="F58" s="237"/>
      <c r="G58" s="237"/>
      <c r="H58" s="238"/>
      <c r="I58" s="239">
        <f>+C62</f>
        <v>58500000</v>
      </c>
      <c r="J58" s="211"/>
      <c r="K58" s="212"/>
      <c r="O58" s="313"/>
      <c r="P58" s="314"/>
      <c r="Q58" s="314"/>
      <c r="R58" s="198"/>
    </row>
    <row r="59" spans="2:18" ht="22.5" customHeight="1" thickBot="1" x14ac:dyDescent="0.25">
      <c r="B59" s="209" t="s">
        <v>10</v>
      </c>
      <c r="C59" s="226">
        <v>58500000</v>
      </c>
      <c r="D59" s="210"/>
      <c r="E59" s="240" t="s">
        <v>237</v>
      </c>
      <c r="F59" s="241"/>
      <c r="G59" s="241"/>
      <c r="H59" s="241"/>
      <c r="I59" s="242">
        <f ca="1">IF(-'NPV Calculation'!C120&lt;0,0,-'NPV Calculation'!C120)</f>
        <v>43970871.280884698</v>
      </c>
      <c r="J59" s="211"/>
      <c r="K59" s="307"/>
      <c r="O59" s="313"/>
      <c r="P59" s="314"/>
      <c r="Q59" s="314"/>
      <c r="R59" s="198"/>
    </row>
    <row r="60" spans="2:18" ht="22.5" customHeight="1" thickBot="1" x14ac:dyDescent="0.25">
      <c r="B60" s="209" t="s">
        <v>273</v>
      </c>
      <c r="C60" s="226"/>
      <c r="D60" s="210"/>
      <c r="E60" s="362" t="s">
        <v>292</v>
      </c>
      <c r="F60" s="363"/>
      <c r="G60" s="241"/>
      <c r="H60" s="243"/>
      <c r="I60" s="337">
        <f ca="1">+I58-I59</f>
        <v>14529128.719115302</v>
      </c>
      <c r="J60" s="211"/>
      <c r="K60" s="307"/>
      <c r="O60" s="352">
        <f ca="1">+I60/K21</f>
        <v>4151.1796340329438</v>
      </c>
      <c r="P60" s="353"/>
      <c r="Q60" s="315"/>
    </row>
    <row r="61" spans="2:18" ht="27" customHeight="1" thickBot="1" x14ac:dyDescent="0.25">
      <c r="B61" s="209" t="s">
        <v>147</v>
      </c>
      <c r="C61" s="227">
        <v>0</v>
      </c>
      <c r="D61" s="213"/>
      <c r="E61" s="386" t="s">
        <v>236</v>
      </c>
      <c r="F61" s="387"/>
      <c r="G61" s="387"/>
      <c r="H61" s="244"/>
      <c r="I61" s="245">
        <f ca="1">+IFERROR(I59/I58,0)</f>
        <v>0.75163882531426829</v>
      </c>
      <c r="J61" s="211"/>
      <c r="K61" s="212"/>
      <c r="L61" s="317"/>
    </row>
    <row r="62" spans="2:18" ht="20.25" customHeight="1" x14ac:dyDescent="0.2">
      <c r="B62" s="100" t="s">
        <v>12</v>
      </c>
      <c r="C62" s="228">
        <f>SUM(C56:C61)</f>
        <v>58500000</v>
      </c>
      <c r="D62" s="99"/>
      <c r="E62" s="143"/>
      <c r="F62" s="222"/>
      <c r="G62" s="223"/>
      <c r="K62" s="208"/>
      <c r="L62" s="316"/>
    </row>
    <row r="63" spans="2:18" ht="13.5" thickBot="1" x14ac:dyDescent="0.25">
      <c r="B63" s="98"/>
      <c r="C63" s="214"/>
      <c r="D63" s="214"/>
      <c r="E63" s="215"/>
      <c r="F63" s="216"/>
      <c r="G63" s="216"/>
      <c r="H63" s="216"/>
      <c r="I63" s="216"/>
      <c r="J63" s="216"/>
      <c r="K63" s="217"/>
    </row>
    <row r="64" spans="2:18" x14ac:dyDescent="0.2">
      <c r="C64" s="1"/>
      <c r="D64" s="218"/>
    </row>
    <row r="65" spans="2:24" ht="18.75" thickBot="1" x14ac:dyDescent="0.3">
      <c r="B65" s="36"/>
      <c r="C65" s="140"/>
      <c r="D65" s="91"/>
      <c r="E65" s="354" t="s">
        <v>290</v>
      </c>
      <c r="F65" s="354"/>
      <c r="G65" s="328"/>
      <c r="H65" s="328"/>
      <c r="I65" s="328"/>
      <c r="M65" s="231" t="s">
        <v>291</v>
      </c>
    </row>
    <row r="66" spans="2:24" x14ac:dyDescent="0.2">
      <c r="B66" s="36"/>
      <c r="C66" s="140"/>
      <c r="D66" s="91"/>
      <c r="E66" s="329" t="s">
        <v>292</v>
      </c>
      <c r="F66" s="237"/>
      <c r="G66" s="237"/>
      <c r="H66" s="237"/>
      <c r="I66" s="330">
        <f ca="1">+I60</f>
        <v>14529128.719115302</v>
      </c>
    </row>
    <row r="67" spans="2:24" ht="13.5" thickBot="1" x14ac:dyDescent="0.25">
      <c r="B67" s="36"/>
      <c r="C67" s="91"/>
      <c r="D67" s="87"/>
      <c r="E67" s="331" t="s">
        <v>293</v>
      </c>
      <c r="F67" s="332"/>
      <c r="G67" s="332"/>
      <c r="H67" s="332"/>
      <c r="I67" s="333">
        <f>+'NPV Calculation'!C97</f>
        <v>17628102.797759995</v>
      </c>
      <c r="J67" s="194"/>
    </row>
    <row r="68" spans="2:24" ht="16.5" thickBot="1" x14ac:dyDescent="0.3">
      <c r="B68" s="36"/>
      <c r="C68" s="219"/>
      <c r="D68" s="87"/>
      <c r="E68" s="334" t="s">
        <v>294</v>
      </c>
      <c r="F68" s="335"/>
      <c r="G68" s="335"/>
      <c r="H68" s="335"/>
      <c r="I68" s="336">
        <f ca="1">MIN(I66:I67)</f>
        <v>14529128.719115302</v>
      </c>
      <c r="J68" s="194"/>
    </row>
    <row r="69" spans="2:24" x14ac:dyDescent="0.2">
      <c r="S69" s="156" t="s">
        <v>235</v>
      </c>
      <c r="T69" s="156"/>
      <c r="U69" s="156"/>
      <c r="V69" s="156"/>
      <c r="W69" s="156"/>
      <c r="X69" s="156"/>
    </row>
    <row r="70" spans="2:24" x14ac:dyDescent="0.2">
      <c r="S70" s="156" t="s">
        <v>230</v>
      </c>
      <c r="T70" s="156"/>
      <c r="U70" s="156"/>
      <c r="V70" s="156"/>
      <c r="W70" s="156"/>
      <c r="X70" s="156"/>
    </row>
    <row r="71" spans="2:24" x14ac:dyDescent="0.2">
      <c r="S71" s="156"/>
      <c r="T71" s="156"/>
      <c r="U71" s="156"/>
      <c r="V71" s="156"/>
      <c r="W71" s="156"/>
      <c r="X71" s="156"/>
    </row>
    <row r="72" spans="2:24" s="216" customFormat="1" ht="13.5" thickBot="1" x14ac:dyDescent="0.25">
      <c r="S72" s="318"/>
      <c r="T72" s="318"/>
      <c r="U72" s="318"/>
      <c r="V72" s="318"/>
      <c r="W72" s="318"/>
      <c r="X72" s="318"/>
    </row>
    <row r="73" spans="2:24" x14ac:dyDescent="0.2">
      <c r="S73" s="156"/>
      <c r="T73" s="156"/>
      <c r="U73" s="156"/>
      <c r="V73" s="156"/>
      <c r="W73" s="156"/>
      <c r="X73" s="156"/>
    </row>
    <row r="74" spans="2:24" x14ac:dyDescent="0.2">
      <c r="S74" s="156"/>
      <c r="T74" s="156"/>
      <c r="U74" s="156"/>
      <c r="V74" s="156"/>
      <c r="W74" s="156"/>
      <c r="X74" s="156"/>
    </row>
    <row r="75" spans="2:24" x14ac:dyDescent="0.2">
      <c r="S75" s="156"/>
      <c r="T75" s="156"/>
      <c r="U75" s="156"/>
      <c r="V75" s="156"/>
      <c r="W75" s="156"/>
      <c r="X75" s="156"/>
    </row>
    <row r="76" spans="2:24" ht="18.75" thickBot="1" x14ac:dyDescent="0.3">
      <c r="E76" s="355" t="s">
        <v>290</v>
      </c>
      <c r="F76" s="355"/>
      <c r="G76" s="328"/>
      <c r="H76" s="328"/>
      <c r="I76" s="328"/>
      <c r="M76" s="231" t="s">
        <v>295</v>
      </c>
      <c r="S76" s="156"/>
      <c r="T76" s="156"/>
      <c r="U76" s="156"/>
      <c r="V76" s="156"/>
      <c r="W76" s="156"/>
      <c r="X76" s="156"/>
    </row>
    <row r="77" spans="2:24" x14ac:dyDescent="0.2">
      <c r="E77" s="356" t="s">
        <v>296</v>
      </c>
      <c r="F77" s="357"/>
      <c r="G77" s="357"/>
      <c r="H77" s="357"/>
      <c r="I77" s="330">
        <f>+'NPV Calculation'!C78-'NPV Calculation'!C98</f>
        <v>60356809.761257075</v>
      </c>
      <c r="S77" s="156"/>
      <c r="T77" s="156"/>
      <c r="U77" s="156"/>
      <c r="V77" s="156"/>
      <c r="W77" s="156"/>
      <c r="X77" s="156"/>
    </row>
    <row r="78" spans="2:24" ht="13.5" thickBot="1" x14ac:dyDescent="0.25">
      <c r="E78" s="358" t="s">
        <v>297</v>
      </c>
      <c r="F78" s="359"/>
      <c r="G78" s="359"/>
      <c r="H78" s="359"/>
      <c r="I78" s="333">
        <f>+C62</f>
        <v>58500000</v>
      </c>
      <c r="S78" s="156"/>
      <c r="T78" s="156"/>
      <c r="U78" s="156"/>
      <c r="V78" s="156"/>
      <c r="W78" s="156"/>
      <c r="X78" s="156"/>
    </row>
    <row r="79" spans="2:24" ht="16.5" thickBot="1" x14ac:dyDescent="0.3">
      <c r="E79" s="360" t="s">
        <v>294</v>
      </c>
      <c r="F79" s="361"/>
      <c r="G79" s="361"/>
      <c r="H79" s="361"/>
      <c r="I79" s="336">
        <f>MIN(I77:I78)</f>
        <v>58500000</v>
      </c>
      <c r="S79" s="156"/>
      <c r="T79" s="156"/>
      <c r="U79" s="156"/>
      <c r="V79" s="156"/>
      <c r="W79" s="156"/>
      <c r="X79" s="156"/>
    </row>
    <row r="80" spans="2:24" x14ac:dyDescent="0.2">
      <c r="S80" s="156"/>
      <c r="T80" s="156"/>
      <c r="U80" s="156"/>
      <c r="V80" s="156"/>
      <c r="W80" s="156"/>
      <c r="X80" s="156"/>
    </row>
    <row r="81" spans="19:24" x14ac:dyDescent="0.2">
      <c r="S81" s="156"/>
      <c r="T81" s="156"/>
      <c r="U81" s="156"/>
      <c r="V81" s="156"/>
      <c r="W81" s="156"/>
      <c r="X81" s="156"/>
    </row>
    <row r="82" spans="19:24" x14ac:dyDescent="0.2">
      <c r="S82" s="156"/>
      <c r="T82" s="156"/>
      <c r="U82" s="156"/>
      <c r="V82" s="156"/>
      <c r="W82" s="156"/>
      <c r="X82" s="156"/>
    </row>
    <row r="83" spans="19:24" x14ac:dyDescent="0.2">
      <c r="S83" s="156"/>
      <c r="T83" s="156"/>
      <c r="U83" s="156"/>
      <c r="V83" s="156"/>
      <c r="W83" s="156"/>
      <c r="X83" s="156"/>
    </row>
    <row r="84" spans="19:24" x14ac:dyDescent="0.2">
      <c r="S84" s="156"/>
      <c r="T84" s="156"/>
      <c r="U84" s="156"/>
      <c r="V84" s="156"/>
      <c r="W84" s="156"/>
      <c r="X84" s="156"/>
    </row>
    <row r="85" spans="19:24" x14ac:dyDescent="0.2">
      <c r="S85" s="156"/>
      <c r="T85" s="156"/>
      <c r="U85" s="156"/>
      <c r="V85" s="156"/>
      <c r="W85" s="156"/>
      <c r="X85" s="156"/>
    </row>
    <row r="86" spans="19:24" x14ac:dyDescent="0.2">
      <c r="S86" s="156"/>
      <c r="T86" s="156"/>
      <c r="U86" s="156"/>
      <c r="V86" s="156"/>
      <c r="W86" s="156"/>
      <c r="X86" s="156"/>
    </row>
    <row r="87" spans="19:24" x14ac:dyDescent="0.2">
      <c r="S87" s="156"/>
      <c r="T87" s="156"/>
      <c r="U87" s="156"/>
      <c r="V87" s="156"/>
      <c r="W87" s="156"/>
      <c r="X87" s="156"/>
    </row>
    <row r="88" spans="19:24" x14ac:dyDescent="0.2">
      <c r="S88" s="156"/>
      <c r="T88" s="156"/>
      <c r="U88" s="156"/>
      <c r="V88" s="156"/>
      <c r="W88" s="156"/>
      <c r="X88" s="156"/>
    </row>
    <row r="89" spans="19:24" x14ac:dyDescent="0.2">
      <c r="S89" s="156"/>
      <c r="T89" s="156"/>
      <c r="U89" s="156"/>
      <c r="V89" s="156"/>
      <c r="W89" s="156"/>
      <c r="X89" s="156"/>
    </row>
    <row r="90" spans="19:24" x14ac:dyDescent="0.2">
      <c r="S90" s="156"/>
      <c r="T90" s="156"/>
      <c r="U90" s="156"/>
      <c r="V90" s="156"/>
      <c r="W90" s="156"/>
      <c r="X90" s="156"/>
    </row>
    <row r="91" spans="19:24" x14ac:dyDescent="0.2">
      <c r="S91" s="156"/>
      <c r="T91" s="156"/>
      <c r="U91" s="156"/>
      <c r="V91" s="156"/>
      <c r="W91" s="156"/>
      <c r="X91" s="156"/>
    </row>
    <row r="92" spans="19:24" x14ac:dyDescent="0.2">
      <c r="S92" s="156"/>
      <c r="T92" s="156"/>
      <c r="U92" s="156"/>
      <c r="V92" s="156"/>
      <c r="W92" s="156"/>
      <c r="X92" s="156"/>
    </row>
    <row r="93" spans="19:24" x14ac:dyDescent="0.2">
      <c r="S93" s="156"/>
      <c r="T93" s="156"/>
      <c r="U93" s="156"/>
      <c r="V93" s="156"/>
      <c r="W93" s="156"/>
      <c r="X93" s="156"/>
    </row>
    <row r="94" spans="19:24" x14ac:dyDescent="0.2">
      <c r="S94" s="156"/>
      <c r="T94" s="156"/>
      <c r="U94" s="156"/>
      <c r="V94" s="156"/>
      <c r="W94" s="156"/>
      <c r="X94" s="156"/>
    </row>
    <row r="95" spans="19:24" x14ac:dyDescent="0.2">
      <c r="S95" s="156"/>
      <c r="T95" s="156"/>
      <c r="U95" s="156"/>
      <c r="V95" s="156"/>
      <c r="W95" s="156"/>
      <c r="X95" s="156"/>
    </row>
    <row r="96" spans="19:24" x14ac:dyDescent="0.2">
      <c r="S96" s="156"/>
      <c r="T96" s="156"/>
      <c r="U96" s="156"/>
      <c r="V96" s="156"/>
      <c r="W96" s="156"/>
      <c r="X96" s="156"/>
    </row>
    <row r="97" spans="2:24" x14ac:dyDescent="0.2">
      <c r="S97" s="156"/>
      <c r="T97" s="156"/>
      <c r="U97" s="156"/>
      <c r="V97" s="156"/>
      <c r="W97" s="156"/>
      <c r="X97" s="156"/>
    </row>
    <row r="98" spans="2:24" x14ac:dyDescent="0.2">
      <c r="S98" s="156"/>
      <c r="T98" s="156"/>
      <c r="U98" s="156"/>
      <c r="V98" s="156"/>
      <c r="W98" s="156"/>
      <c r="X98" s="156"/>
    </row>
    <row r="99" spans="2:24" x14ac:dyDescent="0.2">
      <c r="S99" s="156"/>
      <c r="T99" s="156"/>
      <c r="U99" s="156"/>
      <c r="V99" s="156"/>
      <c r="W99" s="156"/>
      <c r="X99" s="156"/>
    </row>
    <row r="100" spans="2:24" x14ac:dyDescent="0.2">
      <c r="S100" s="156"/>
      <c r="T100" s="156"/>
      <c r="U100" s="156"/>
      <c r="V100" s="156"/>
      <c r="W100" s="156"/>
      <c r="X100" s="156"/>
    </row>
    <row r="101" spans="2:24" ht="12.75" customHeight="1" x14ac:dyDescent="0.2">
      <c r="B101" s="390" t="s">
        <v>268</v>
      </c>
      <c r="C101" s="390"/>
      <c r="D101" s="390"/>
      <c r="E101" s="390"/>
      <c r="S101" s="156"/>
      <c r="T101" s="156"/>
      <c r="U101" s="156"/>
      <c r="V101" s="156"/>
      <c r="W101" s="156"/>
      <c r="X101" s="156"/>
    </row>
    <row r="102" spans="2:24" ht="12.75" customHeight="1" x14ac:dyDescent="0.2">
      <c r="B102" s="390"/>
      <c r="C102" s="390"/>
      <c r="D102" s="390"/>
      <c r="E102" s="390"/>
      <c r="S102" s="156"/>
      <c r="T102" s="156"/>
      <c r="U102" s="156"/>
      <c r="V102" s="156"/>
      <c r="W102" s="156"/>
      <c r="X102" s="156"/>
    </row>
    <row r="103" spans="2:24" ht="12.75" customHeight="1" x14ac:dyDescent="0.2">
      <c r="B103" s="308"/>
      <c r="C103" s="308"/>
      <c r="D103" s="308"/>
      <c r="E103" s="308"/>
      <c r="S103" s="156"/>
      <c r="T103" s="156"/>
      <c r="U103" s="156"/>
      <c r="V103" s="156"/>
      <c r="W103" s="156"/>
      <c r="X103" s="156"/>
    </row>
    <row r="104" spans="2:24" ht="15" customHeight="1" thickBot="1" x14ac:dyDescent="0.3">
      <c r="B104" s="342" t="s">
        <v>269</v>
      </c>
      <c r="C104" s="342"/>
      <c r="D104" s="342"/>
      <c r="E104" s="342"/>
      <c r="F104" s="247"/>
      <c r="G104" s="247"/>
      <c r="H104" s="247"/>
      <c r="I104" s="248"/>
      <c r="J104" s="248"/>
      <c r="K104" s="248"/>
    </row>
    <row r="105" spans="2:24" ht="15" customHeight="1" x14ac:dyDescent="0.25">
      <c r="B105" s="249"/>
      <c r="C105" s="250" t="s">
        <v>248</v>
      </c>
      <c r="D105" s="251" t="s">
        <v>249</v>
      </c>
      <c r="E105" s="251" t="s">
        <v>250</v>
      </c>
      <c r="F105" s="251" t="s">
        <v>251</v>
      </c>
      <c r="G105" s="251" t="s">
        <v>252</v>
      </c>
      <c r="H105" s="252" t="s">
        <v>253</v>
      </c>
      <c r="I105" s="253" t="s">
        <v>12</v>
      </c>
      <c r="J105" s="248"/>
      <c r="K105" s="338"/>
      <c r="L105" s="338"/>
      <c r="M105" s="338"/>
      <c r="N105" s="338"/>
      <c r="O105" s="338"/>
      <c r="P105" s="338"/>
    </row>
    <row r="106" spans="2:24" ht="26.25" customHeight="1" thickBot="1" x14ac:dyDescent="0.3">
      <c r="B106" s="254"/>
      <c r="C106" s="255"/>
      <c r="D106" s="256"/>
      <c r="E106" s="256"/>
      <c r="F106" s="256"/>
      <c r="G106" s="256"/>
      <c r="H106" s="256"/>
      <c r="I106" s="256"/>
      <c r="J106" s="248"/>
      <c r="K106" s="338"/>
      <c r="L106" s="338"/>
      <c r="M106" s="338"/>
      <c r="N106" s="338"/>
      <c r="O106" s="338"/>
      <c r="P106" s="338"/>
    </row>
    <row r="107" spans="2:24" ht="30.75" customHeight="1" x14ac:dyDescent="0.2">
      <c r="B107" s="257" t="s">
        <v>254</v>
      </c>
      <c r="C107" s="258"/>
      <c r="D107" s="259">
        <v>0</v>
      </c>
      <c r="E107" s="259">
        <v>0</v>
      </c>
      <c r="F107" s="259">
        <v>0</v>
      </c>
      <c r="G107" s="259">
        <v>0</v>
      </c>
      <c r="H107" s="259">
        <v>0</v>
      </c>
      <c r="I107" s="260">
        <f>SUM(D107:H107)</f>
        <v>0</v>
      </c>
      <c r="J107" s="248"/>
      <c r="K107" s="248"/>
    </row>
    <row r="108" spans="2:24" ht="14.25" x14ac:dyDescent="0.2">
      <c r="B108" s="261" t="s">
        <v>255</v>
      </c>
      <c r="C108" s="262"/>
      <c r="D108" s="263">
        <v>0</v>
      </c>
      <c r="E108" s="263">
        <v>0</v>
      </c>
      <c r="F108" s="263">
        <v>0</v>
      </c>
      <c r="G108" s="263">
        <v>0</v>
      </c>
      <c r="H108" s="263">
        <v>0</v>
      </c>
      <c r="I108" s="264">
        <f>SUM(D108:H108)</f>
        <v>0</v>
      </c>
      <c r="J108" s="248"/>
      <c r="K108" s="248"/>
    </row>
    <row r="109" spans="2:24" ht="14.25" x14ac:dyDescent="0.2">
      <c r="B109" s="265" t="s">
        <v>256</v>
      </c>
      <c r="C109" s="266"/>
      <c r="D109" s="262">
        <f>+D108-D107</f>
        <v>0</v>
      </c>
      <c r="E109" s="263">
        <f>+E108-E107</f>
        <v>0</v>
      </c>
      <c r="F109" s="263">
        <f t="shared" ref="F109:I109" si="2">+F108-F107</f>
        <v>0</v>
      </c>
      <c r="G109" s="263">
        <f t="shared" si="2"/>
        <v>0</v>
      </c>
      <c r="H109" s="263">
        <f t="shared" si="2"/>
        <v>0</v>
      </c>
      <c r="I109" s="264">
        <f t="shared" si="2"/>
        <v>0</v>
      </c>
      <c r="J109" s="248"/>
      <c r="K109" s="248"/>
    </row>
    <row r="110" spans="2:24" ht="15.75" x14ac:dyDescent="0.25">
      <c r="B110" s="309" t="s">
        <v>279</v>
      </c>
      <c r="C110" s="310"/>
      <c r="D110" s="311">
        <f t="shared" ref="D110:I110" si="3">+IFERROR(D108/$I$107,0)</f>
        <v>0</v>
      </c>
      <c r="E110" s="311">
        <f t="shared" si="3"/>
        <v>0</v>
      </c>
      <c r="F110" s="311">
        <f t="shared" si="3"/>
        <v>0</v>
      </c>
      <c r="G110" s="311">
        <f t="shared" si="3"/>
        <v>0</v>
      </c>
      <c r="H110" s="311">
        <f t="shared" si="3"/>
        <v>0</v>
      </c>
      <c r="I110" s="311">
        <f t="shared" si="3"/>
        <v>0</v>
      </c>
      <c r="J110" s="248"/>
      <c r="K110" s="248"/>
    </row>
    <row r="111" spans="2:24" ht="14.25" x14ac:dyDescent="0.2">
      <c r="B111" s="267" t="s">
        <v>257</v>
      </c>
      <c r="C111" s="268"/>
      <c r="D111" s="269">
        <f t="shared" ref="D111:I111" si="4">+IFERROR(D109/$I$108,0)</f>
        <v>0</v>
      </c>
      <c r="E111" s="269">
        <f t="shared" si="4"/>
        <v>0</v>
      </c>
      <c r="F111" s="269">
        <f t="shared" si="4"/>
        <v>0</v>
      </c>
      <c r="G111" s="269">
        <f t="shared" si="4"/>
        <v>0</v>
      </c>
      <c r="H111" s="269">
        <f t="shared" si="4"/>
        <v>0</v>
      </c>
      <c r="I111" s="269">
        <f t="shared" si="4"/>
        <v>0</v>
      </c>
      <c r="J111" s="248"/>
      <c r="K111" s="248"/>
    </row>
    <row r="112" spans="2:24" ht="14.25" x14ac:dyDescent="0.2">
      <c r="B112" s="378" t="s">
        <v>258</v>
      </c>
      <c r="C112" s="379"/>
      <c r="D112" s="270">
        <f ca="1">+D110*($D$124*0.9)*-D111</f>
        <v>0</v>
      </c>
      <c r="E112" s="270">
        <f ca="1">+E124-D112-E114</f>
        <v>0</v>
      </c>
      <c r="F112" s="270">
        <f>+F110*($C$106*0.9)</f>
        <v>0</v>
      </c>
      <c r="G112" s="270">
        <v>0</v>
      </c>
      <c r="H112" s="271">
        <f>+H110*$C$106</f>
        <v>0</v>
      </c>
      <c r="I112" s="272">
        <f ca="1">SUM(D112:H112)</f>
        <v>0</v>
      </c>
      <c r="J112" s="248"/>
      <c r="K112" s="273"/>
    </row>
    <row r="113" spans="2:17" ht="14.25" x14ac:dyDescent="0.2">
      <c r="B113" s="380" t="s">
        <v>259</v>
      </c>
      <c r="C113" s="381"/>
      <c r="D113" s="274">
        <f ca="1">+D112</f>
        <v>0</v>
      </c>
      <c r="E113" s="274">
        <f ca="1">+D112+E112</f>
        <v>0</v>
      </c>
      <c r="F113" s="274">
        <f ca="1">+E113+F112</f>
        <v>0</v>
      </c>
      <c r="G113" s="274">
        <f t="shared" ref="G113:H113" ca="1" si="5">+F113+G112</f>
        <v>0</v>
      </c>
      <c r="H113" s="274">
        <f t="shared" ca="1" si="5"/>
        <v>0</v>
      </c>
      <c r="I113" s="275">
        <f ca="1">+H113</f>
        <v>0</v>
      </c>
      <c r="J113" s="248"/>
      <c r="K113" s="248"/>
    </row>
    <row r="114" spans="2:17" ht="15" thickBot="1" x14ac:dyDescent="0.25">
      <c r="B114" s="382" t="s">
        <v>260</v>
      </c>
      <c r="C114" s="383"/>
      <c r="D114" s="276">
        <v>0</v>
      </c>
      <c r="E114" s="277">
        <f>+D114</f>
        <v>0</v>
      </c>
      <c r="F114" s="277">
        <f>+E114</f>
        <v>0</v>
      </c>
      <c r="G114" s="277">
        <v>0</v>
      </c>
      <c r="H114" s="277">
        <f>+G114</f>
        <v>0</v>
      </c>
      <c r="I114" s="278"/>
      <c r="J114" s="279"/>
      <c r="K114" s="248"/>
    </row>
    <row r="115" spans="2:17" ht="15" thickBot="1" x14ac:dyDescent="0.25">
      <c r="B115" s="280"/>
      <c r="C115" s="280"/>
      <c r="D115" s="281"/>
      <c r="E115" s="281"/>
      <c r="F115" s="281"/>
      <c r="G115" s="281"/>
      <c r="H115" s="281"/>
      <c r="I115" s="281"/>
      <c r="J115" s="248"/>
      <c r="K115" s="248"/>
    </row>
    <row r="116" spans="2:17" ht="29.25" thickBot="1" x14ac:dyDescent="0.25">
      <c r="B116" s="282" t="s">
        <v>261</v>
      </c>
      <c r="C116" s="283"/>
      <c r="D116" s="284">
        <v>0</v>
      </c>
      <c r="E116" s="285">
        <f>+E124-E114</f>
        <v>0</v>
      </c>
      <c r="F116" s="285"/>
      <c r="G116" s="284">
        <f>+G124-G114</f>
        <v>0</v>
      </c>
      <c r="H116" s="285"/>
      <c r="I116" s="286"/>
      <c r="J116" s="248"/>
      <c r="K116" s="248"/>
    </row>
    <row r="117" spans="2:17" ht="14.25" x14ac:dyDescent="0.2">
      <c r="B117" s="287"/>
      <c r="C117" s="287"/>
      <c r="D117" s="281"/>
      <c r="E117" s="281"/>
      <c r="F117" s="281"/>
      <c r="G117" s="281"/>
      <c r="H117" s="281"/>
      <c r="I117" s="281"/>
      <c r="J117" s="248"/>
      <c r="K117" s="248"/>
    </row>
    <row r="118" spans="2:17" ht="14.25" x14ac:dyDescent="0.2">
      <c r="B118" s="248"/>
      <c r="C118" s="248"/>
      <c r="D118" s="247"/>
      <c r="E118" s="248"/>
      <c r="F118" s="248"/>
      <c r="G118" s="248"/>
      <c r="H118" s="248"/>
      <c r="I118" s="248"/>
      <c r="J118" s="248"/>
      <c r="K118" s="248"/>
    </row>
    <row r="119" spans="2:17" ht="16.5" thickBot="1" x14ac:dyDescent="0.3">
      <c r="B119" s="342" t="s">
        <v>262</v>
      </c>
      <c r="C119" s="342"/>
      <c r="D119" s="342"/>
      <c r="E119" s="342"/>
      <c r="F119" s="248"/>
      <c r="G119" s="248"/>
      <c r="H119" s="248"/>
      <c r="I119" s="248"/>
      <c r="J119" s="248"/>
      <c r="K119" s="248"/>
      <c r="Q119" s="136" t="s">
        <v>264</v>
      </c>
    </row>
    <row r="120" spans="2:17" ht="15" x14ac:dyDescent="0.2">
      <c r="B120" s="288"/>
      <c r="C120" s="289"/>
      <c r="D120" s="290" t="s">
        <v>249</v>
      </c>
      <c r="E120" s="290" t="s">
        <v>250</v>
      </c>
      <c r="F120" s="290" t="s">
        <v>251</v>
      </c>
      <c r="G120" s="290" t="s">
        <v>252</v>
      </c>
      <c r="H120" s="290" t="s">
        <v>253</v>
      </c>
      <c r="I120" s="290" t="s">
        <v>263</v>
      </c>
      <c r="J120" s="248"/>
      <c r="K120" s="248"/>
      <c r="Q120" s="136" t="s">
        <v>230</v>
      </c>
    </row>
    <row r="121" spans="2:17" ht="15" thickBot="1" x14ac:dyDescent="0.25">
      <c r="B121" s="291"/>
      <c r="C121" s="292"/>
      <c r="D121" s="293" t="s">
        <v>230</v>
      </c>
      <c r="E121" s="293" t="s">
        <v>230</v>
      </c>
      <c r="F121" s="293" t="s">
        <v>230</v>
      </c>
      <c r="G121" s="293" t="s">
        <v>230</v>
      </c>
      <c r="H121" s="293" t="s">
        <v>230</v>
      </c>
      <c r="I121" s="294"/>
      <c r="J121" s="248"/>
      <c r="K121" s="248"/>
      <c r="Q121" s="136" t="s">
        <v>265</v>
      </c>
    </row>
    <row r="122" spans="2:17" ht="15" thickBot="1" x14ac:dyDescent="0.25">
      <c r="B122" s="295" t="s">
        <v>266</v>
      </c>
      <c r="C122" s="296"/>
      <c r="D122" s="297">
        <v>0</v>
      </c>
      <c r="E122" s="298">
        <v>0</v>
      </c>
      <c r="F122" s="298"/>
      <c r="G122" s="298">
        <v>0</v>
      </c>
      <c r="H122" s="298"/>
      <c r="I122" s="299">
        <f>+D122-E122</f>
        <v>0</v>
      </c>
      <c r="J122" s="248"/>
      <c r="K122" s="248"/>
    </row>
    <row r="123" spans="2:17" ht="14.25" x14ac:dyDescent="0.2">
      <c r="B123" s="300" t="s">
        <v>237</v>
      </c>
      <c r="C123" s="263"/>
      <c r="D123" s="301">
        <f ca="1">+D122-D124</f>
        <v>-14529128.719115302</v>
      </c>
      <c r="E123" s="301">
        <v>0</v>
      </c>
      <c r="F123" s="301"/>
      <c r="G123" s="301">
        <v>0</v>
      </c>
      <c r="H123" s="301"/>
      <c r="I123" s="299">
        <f ca="1">+D123-E123</f>
        <v>-14529128.719115302</v>
      </c>
      <c r="J123" s="248"/>
      <c r="K123" s="248"/>
    </row>
    <row r="124" spans="2:17" ht="14.25" x14ac:dyDescent="0.2">
      <c r="B124" s="300" t="s">
        <v>232</v>
      </c>
      <c r="C124" s="263"/>
      <c r="D124" s="301">
        <f ca="1">+I60</f>
        <v>14529128.719115302</v>
      </c>
      <c r="E124" s="301">
        <v>0</v>
      </c>
      <c r="F124" s="301"/>
      <c r="G124" s="301">
        <v>0</v>
      </c>
      <c r="H124" s="301"/>
      <c r="I124" s="302">
        <f ca="1">+D124-E124</f>
        <v>14529128.719115302</v>
      </c>
      <c r="J124" s="248"/>
      <c r="K124" s="248"/>
    </row>
    <row r="125" spans="2:17" ht="15" thickBot="1" x14ac:dyDescent="0.25">
      <c r="B125" s="303" t="s">
        <v>267</v>
      </c>
      <c r="C125" s="304"/>
      <c r="D125" s="305">
        <f ca="1">+IFERROR(D123/D122,0)</f>
        <v>0</v>
      </c>
      <c r="E125" s="305"/>
      <c r="F125" s="305"/>
      <c r="G125" s="305"/>
      <c r="H125" s="305"/>
      <c r="I125" s="306">
        <f ca="1">+D125-E125</f>
        <v>0</v>
      </c>
      <c r="J125" s="248"/>
      <c r="K125" s="248"/>
    </row>
  </sheetData>
  <mergeCells count="30">
    <mergeCell ref="C21:E21"/>
    <mergeCell ref="B112:C112"/>
    <mergeCell ref="B113:C113"/>
    <mergeCell ref="B114:C114"/>
    <mergeCell ref="B119:E119"/>
    <mergeCell ref="E57:G57"/>
    <mergeCell ref="E61:G61"/>
    <mergeCell ref="E56:G56"/>
    <mergeCell ref="B101:E102"/>
    <mergeCell ref="C4:G4"/>
    <mergeCell ref="F13:K13"/>
    <mergeCell ref="H4:I4"/>
    <mergeCell ref="C5:G5"/>
    <mergeCell ref="B1:K1"/>
    <mergeCell ref="C2:G2"/>
    <mergeCell ref="C3:G3"/>
    <mergeCell ref="K105:P106"/>
    <mergeCell ref="B52:K52"/>
    <mergeCell ref="B104:E104"/>
    <mergeCell ref="C22:E22"/>
    <mergeCell ref="C23:E23"/>
    <mergeCell ref="H34:J35"/>
    <mergeCell ref="O57:P57"/>
    <mergeCell ref="O60:P60"/>
    <mergeCell ref="E65:F65"/>
    <mergeCell ref="E76:F76"/>
    <mergeCell ref="E77:H77"/>
    <mergeCell ref="E78:H78"/>
    <mergeCell ref="E79:H79"/>
    <mergeCell ref="E60:F60"/>
  </mergeCells>
  <phoneticPr fontId="0" type="noConversion"/>
  <dataValidations count="3">
    <dataValidation type="list" allowBlank="1" showInputMessage="1" showErrorMessage="1" sqref="G7" xr:uid="{00000000-0002-0000-0300-000000000000}">
      <formula1>$Q$2:$Q$9</formula1>
    </dataValidation>
    <dataValidation type="list" allowBlank="1" showInputMessage="1" showErrorMessage="1" sqref="H34:J35" xr:uid="{00000000-0002-0000-0300-000001000000}">
      <formula1>$S$68:$S$69</formula1>
    </dataValidation>
    <dataValidation type="list" allowBlank="1" showInputMessage="1" showErrorMessage="1" sqref="D121:H121" xr:uid="{00000000-0002-0000-0300-000002000000}">
      <formula1>$Q$118:$Q$125</formula1>
    </dataValidation>
  </dataValidations>
  <pageMargins left="0.59055118110236227" right="0.23622047244094491" top="0.39370078740157483" bottom="0.39370078740157483" header="0.19685039370078741" footer="0.19685039370078741"/>
  <pageSetup scale="59" fitToHeight="0" orientation="portrait" r:id="rId1"/>
  <headerFooter alignWithMargins="0">
    <oddFooter>&amp;L&amp;6&amp;F&amp;R&amp;8Page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7"/>
  <sheetViews>
    <sheetView zoomScale="140" zoomScaleNormal="140" workbookViewId="0">
      <pane ySplit="2" topLeftCell="A3" activePane="bottomLeft" state="frozenSplit"/>
      <selection pane="bottomLeft" activeCell="C108" sqref="C108:J108"/>
    </sheetView>
  </sheetViews>
  <sheetFormatPr defaultRowHeight="12.75" x14ac:dyDescent="0.2"/>
  <cols>
    <col min="1" max="1" width="6.140625" style="74" customWidth="1"/>
    <col min="2" max="2" width="4.140625" style="35" customWidth="1"/>
    <col min="3" max="3" width="3.42578125" style="1" customWidth="1"/>
    <col min="4" max="4" width="31" customWidth="1"/>
    <col min="5" max="5" width="12.28515625" style="6" bestFit="1" customWidth="1"/>
    <col min="6" max="10" width="10.140625" style="6" bestFit="1" customWidth="1"/>
  </cols>
  <sheetData>
    <row r="1" spans="1:10" ht="25.5" x14ac:dyDescent="0.2">
      <c r="A1" s="74" t="s">
        <v>120</v>
      </c>
      <c r="C1" s="1" t="s">
        <v>8</v>
      </c>
      <c r="E1" s="395" t="str">
        <f>+Summary!C2</f>
        <v>27.6kV Brooklin N Dev-ICM - C - 5-Yr DCF Model Calculation Results</v>
      </c>
      <c r="F1" s="396"/>
      <c r="G1" s="396"/>
      <c r="H1" s="396"/>
      <c r="I1" s="396"/>
      <c r="J1" s="397"/>
    </row>
    <row r="2" spans="1:10" x14ac:dyDescent="0.2">
      <c r="C2" s="1" t="s">
        <v>67</v>
      </c>
      <c r="E2" s="395" t="str">
        <f>+Summary!C4</f>
        <v>Brooklin Landowners</v>
      </c>
      <c r="F2" s="396"/>
      <c r="G2" s="396"/>
      <c r="H2" s="396"/>
      <c r="I2" s="396"/>
      <c r="J2" s="397"/>
    </row>
    <row r="3" spans="1:10" ht="24" customHeight="1" x14ac:dyDescent="0.2">
      <c r="C3" s="1" t="s">
        <v>40</v>
      </c>
      <c r="E3" s="51">
        <v>5</v>
      </c>
      <c r="F3" s="399" t="s">
        <v>114</v>
      </c>
      <c r="G3" s="400"/>
      <c r="H3" s="400"/>
      <c r="I3" s="400"/>
      <c r="J3" s="401"/>
    </row>
    <row r="4" spans="1:10" ht="13.5" thickBot="1" x14ac:dyDescent="0.25">
      <c r="C4" s="1" t="s">
        <v>41</v>
      </c>
      <c r="E4" s="51">
        <v>25</v>
      </c>
      <c r="F4" s="402" t="s">
        <v>113</v>
      </c>
      <c r="G4" s="403"/>
      <c r="H4" s="403"/>
      <c r="I4" s="403"/>
      <c r="J4" s="404"/>
    </row>
    <row r="5" spans="1:10" x14ac:dyDescent="0.2">
      <c r="A5" s="74">
        <v>1</v>
      </c>
      <c r="C5" s="1" t="s">
        <v>21</v>
      </c>
    </row>
    <row r="6" spans="1:10" x14ac:dyDescent="0.2">
      <c r="D6" s="8" t="s">
        <v>5</v>
      </c>
      <c r="E6" s="11" t="s">
        <v>0</v>
      </c>
      <c r="F6" s="11" t="s">
        <v>1</v>
      </c>
      <c r="G6" s="11" t="s">
        <v>2</v>
      </c>
      <c r="H6" s="11" t="s">
        <v>3</v>
      </c>
      <c r="I6" s="11" t="s">
        <v>4</v>
      </c>
      <c r="J6"/>
    </row>
    <row r="7" spans="1:10" x14ac:dyDescent="0.2">
      <c r="D7" s="2" t="s">
        <v>6</v>
      </c>
      <c r="E7" s="90">
        <f>+Summary!F21</f>
        <v>700</v>
      </c>
      <c r="F7" s="90">
        <f>+Summary!G21</f>
        <v>700</v>
      </c>
      <c r="G7" s="90">
        <f>+Summary!H21</f>
        <v>700</v>
      </c>
      <c r="H7" s="90">
        <f>+Summary!I21</f>
        <v>700</v>
      </c>
      <c r="I7" s="90">
        <f>+Summary!J21</f>
        <v>700</v>
      </c>
      <c r="J7"/>
    </row>
    <row r="8" spans="1:10" x14ac:dyDescent="0.2">
      <c r="D8" s="2" t="s">
        <v>78</v>
      </c>
      <c r="E8" s="50"/>
      <c r="F8" s="50"/>
      <c r="G8" s="50"/>
      <c r="H8" s="50"/>
      <c r="I8" s="50"/>
      <c r="J8"/>
    </row>
    <row r="9" spans="1:10" x14ac:dyDescent="0.2">
      <c r="D9" s="2" t="s">
        <v>174</v>
      </c>
      <c r="E9" s="50"/>
      <c r="F9" s="50"/>
      <c r="G9" s="50"/>
      <c r="H9" s="50"/>
      <c r="I9" s="50"/>
      <c r="J9"/>
    </row>
    <row r="10" spans="1:10" x14ac:dyDescent="0.2">
      <c r="D10" s="2" t="s">
        <v>175</v>
      </c>
      <c r="E10" s="50"/>
      <c r="F10" s="50"/>
      <c r="G10" s="50"/>
      <c r="H10" s="50"/>
      <c r="I10" s="50"/>
      <c r="J10"/>
    </row>
    <row r="11" spans="1:10" x14ac:dyDescent="0.2">
      <c r="D11" s="2" t="s">
        <v>7</v>
      </c>
      <c r="E11" s="50"/>
      <c r="F11" s="50"/>
      <c r="G11" s="50"/>
      <c r="H11" s="50"/>
      <c r="I11" s="50"/>
      <c r="J11"/>
    </row>
    <row r="12" spans="1:10" x14ac:dyDescent="0.2">
      <c r="D12" s="2" t="s">
        <v>83</v>
      </c>
      <c r="E12" s="50"/>
      <c r="F12" s="50"/>
      <c r="G12" s="50"/>
      <c r="H12" s="50"/>
      <c r="I12" s="50"/>
      <c r="J12"/>
    </row>
    <row r="13" spans="1:10" x14ac:dyDescent="0.2">
      <c r="D13" s="2" t="s">
        <v>83</v>
      </c>
      <c r="E13" s="50"/>
      <c r="F13" s="50"/>
      <c r="G13" s="50"/>
      <c r="H13" s="50"/>
      <c r="I13" s="50"/>
      <c r="J13"/>
    </row>
    <row r="14" spans="1:10" x14ac:dyDescent="0.2">
      <c r="D14" s="2" t="s">
        <v>84</v>
      </c>
      <c r="E14" s="50"/>
      <c r="F14" s="50"/>
      <c r="G14" s="50"/>
      <c r="H14" s="50"/>
      <c r="I14" s="50"/>
      <c r="J14"/>
    </row>
    <row r="15" spans="1:10" x14ac:dyDescent="0.2">
      <c r="D15" s="2" t="s">
        <v>84</v>
      </c>
      <c r="E15" s="50"/>
      <c r="F15" s="50"/>
      <c r="G15" s="50"/>
      <c r="H15" s="50"/>
      <c r="I15" s="50"/>
      <c r="J15"/>
    </row>
    <row r="16" spans="1:10" x14ac:dyDescent="0.2">
      <c r="A16" s="74">
        <v>2</v>
      </c>
      <c r="C16" s="1" t="s">
        <v>79</v>
      </c>
      <c r="J16"/>
    </row>
    <row r="17" spans="1:14" x14ac:dyDescent="0.2">
      <c r="D17" s="8" t="s">
        <v>5</v>
      </c>
      <c r="E17" s="11" t="s">
        <v>0</v>
      </c>
      <c r="F17" s="11" t="s">
        <v>1</v>
      </c>
      <c r="G17" s="11" t="s">
        <v>2</v>
      </c>
      <c r="H17" s="11" t="s">
        <v>3</v>
      </c>
      <c r="I17" s="11" t="s">
        <v>4</v>
      </c>
      <c r="J17"/>
    </row>
    <row r="18" spans="1:14" x14ac:dyDescent="0.2">
      <c r="D18" s="2" t="s">
        <v>6</v>
      </c>
      <c r="E18" s="90">
        <f>+Summary!F22</f>
        <v>750</v>
      </c>
      <c r="F18" s="90">
        <f>+Summary!G22</f>
        <v>750</v>
      </c>
      <c r="G18" s="90">
        <f>+Summary!H22</f>
        <v>750</v>
      </c>
      <c r="H18" s="90">
        <f>+Summary!I22</f>
        <v>750</v>
      </c>
      <c r="I18" s="90">
        <f>+Summary!J22</f>
        <v>750</v>
      </c>
      <c r="J18"/>
    </row>
    <row r="19" spans="1:14" x14ac:dyDescent="0.2">
      <c r="D19" s="2" t="s">
        <v>78</v>
      </c>
      <c r="E19" s="50"/>
      <c r="F19" s="50"/>
      <c r="G19" s="50"/>
      <c r="H19" s="50"/>
      <c r="I19" s="50"/>
      <c r="J19"/>
    </row>
    <row r="20" spans="1:14" x14ac:dyDescent="0.2">
      <c r="D20" s="2" t="s">
        <v>83</v>
      </c>
      <c r="E20" s="50"/>
      <c r="F20" s="50"/>
      <c r="G20" s="50"/>
      <c r="H20" s="50"/>
      <c r="I20" s="50"/>
      <c r="J20"/>
    </row>
    <row r="21" spans="1:14" x14ac:dyDescent="0.2">
      <c r="D21" s="2" t="s">
        <v>83</v>
      </c>
      <c r="E21" s="50"/>
      <c r="F21" s="50"/>
      <c r="G21" s="50"/>
      <c r="H21" s="50"/>
      <c r="I21" s="50"/>
      <c r="J21"/>
    </row>
    <row r="22" spans="1:14" x14ac:dyDescent="0.2">
      <c r="A22" s="74">
        <v>3</v>
      </c>
      <c r="C22" s="1" t="s">
        <v>80</v>
      </c>
      <c r="J22"/>
    </row>
    <row r="23" spans="1:14" x14ac:dyDescent="0.2">
      <c r="D23" s="8" t="s">
        <v>5</v>
      </c>
      <c r="E23" s="11" t="s">
        <v>0</v>
      </c>
      <c r="F23" s="11" t="s">
        <v>1</v>
      </c>
      <c r="G23" s="11" t="s">
        <v>2</v>
      </c>
      <c r="H23" s="11" t="s">
        <v>3</v>
      </c>
      <c r="I23" s="11" t="s">
        <v>4</v>
      </c>
      <c r="J23"/>
    </row>
    <row r="24" spans="1:14" x14ac:dyDescent="0.2">
      <c r="D24" s="2" t="s">
        <v>174</v>
      </c>
      <c r="E24" s="50"/>
      <c r="F24" s="50"/>
      <c r="G24" s="50"/>
      <c r="H24" s="50"/>
      <c r="I24" s="50"/>
      <c r="J24"/>
    </row>
    <row r="25" spans="1:14" x14ac:dyDescent="0.2">
      <c r="D25" s="2" t="s">
        <v>175</v>
      </c>
      <c r="E25" s="50">
        <v>0</v>
      </c>
      <c r="F25" s="50">
        <f>+E25</f>
        <v>0</v>
      </c>
      <c r="G25" s="50">
        <f t="shared" ref="G25:I25" si="0">+F25</f>
        <v>0</v>
      </c>
      <c r="H25" s="50">
        <f t="shared" si="0"/>
        <v>0</v>
      </c>
      <c r="I25" s="50">
        <f t="shared" si="0"/>
        <v>0</v>
      </c>
      <c r="J25"/>
    </row>
    <row r="26" spans="1:14" x14ac:dyDescent="0.2">
      <c r="D26" s="2" t="s">
        <v>7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/>
    </row>
    <row r="27" spans="1:14" x14ac:dyDescent="0.2">
      <c r="D27" s="2" t="s">
        <v>84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/>
    </row>
    <row r="28" spans="1:14" x14ac:dyDescent="0.2">
      <c r="D28" s="2" t="s">
        <v>84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/>
    </row>
    <row r="29" spans="1:14" x14ac:dyDescent="0.2">
      <c r="A29" s="74">
        <v>4</v>
      </c>
      <c r="C29" s="1" t="s">
        <v>20</v>
      </c>
      <c r="J29"/>
    </row>
    <row r="30" spans="1:14" x14ac:dyDescent="0.2">
      <c r="D30" s="8" t="s">
        <v>5</v>
      </c>
      <c r="E30" s="11" t="s">
        <v>0</v>
      </c>
      <c r="F30" s="11" t="s">
        <v>1</v>
      </c>
      <c r="G30" s="11" t="s">
        <v>2</v>
      </c>
      <c r="H30" s="11" t="s">
        <v>3</v>
      </c>
      <c r="I30" s="11" t="s">
        <v>4</v>
      </c>
      <c r="J30"/>
    </row>
    <row r="31" spans="1:14" x14ac:dyDescent="0.2">
      <c r="D31" s="2" t="s">
        <v>6</v>
      </c>
      <c r="E31" s="160">
        <v>33.409999999999997</v>
      </c>
      <c r="F31" s="160">
        <f>+E31</f>
        <v>33.409999999999997</v>
      </c>
      <c r="G31" s="160">
        <f t="shared" ref="G31:I32" si="1">+F31</f>
        <v>33.409999999999997</v>
      </c>
      <c r="H31" s="160">
        <f t="shared" si="1"/>
        <v>33.409999999999997</v>
      </c>
      <c r="I31" s="160">
        <f t="shared" si="1"/>
        <v>33.409999999999997</v>
      </c>
      <c r="J31" s="327"/>
    </row>
    <row r="32" spans="1:14" x14ac:dyDescent="0.2">
      <c r="D32" s="2" t="s">
        <v>78</v>
      </c>
      <c r="E32" s="160">
        <v>28.08</v>
      </c>
      <c r="F32" s="160">
        <f>+E32</f>
        <v>28.08</v>
      </c>
      <c r="G32" s="160">
        <f t="shared" si="1"/>
        <v>28.08</v>
      </c>
      <c r="H32" s="160">
        <f t="shared" si="1"/>
        <v>28.08</v>
      </c>
      <c r="I32" s="160">
        <f t="shared" si="1"/>
        <v>28.08</v>
      </c>
      <c r="J32" s="327"/>
      <c r="N32" s="142"/>
    </row>
    <row r="33" spans="1:10" x14ac:dyDescent="0.2">
      <c r="D33" s="230" t="s">
        <v>244</v>
      </c>
      <c r="E33" s="160">
        <v>213.88</v>
      </c>
      <c r="F33" s="160">
        <f>+E33</f>
        <v>213.88</v>
      </c>
      <c r="G33" s="160">
        <f>+F33</f>
        <v>213.88</v>
      </c>
      <c r="H33" s="160">
        <f t="shared" ref="H33:I35" si="2">+G33</f>
        <v>213.88</v>
      </c>
      <c r="I33" s="160">
        <f t="shared" si="2"/>
        <v>213.88</v>
      </c>
      <c r="J33" s="327"/>
    </row>
    <row r="34" spans="1:10" x14ac:dyDescent="0.2">
      <c r="D34" s="230" t="s">
        <v>245</v>
      </c>
      <c r="E34" s="160">
        <v>0</v>
      </c>
      <c r="F34" s="160">
        <v>0</v>
      </c>
      <c r="G34" s="160">
        <v>0</v>
      </c>
      <c r="H34" s="160">
        <f t="shared" si="2"/>
        <v>0</v>
      </c>
      <c r="I34" s="160">
        <f t="shared" si="2"/>
        <v>0</v>
      </c>
      <c r="J34" s="231"/>
    </row>
    <row r="35" spans="1:10" x14ac:dyDescent="0.2">
      <c r="D35" s="2" t="s">
        <v>7</v>
      </c>
      <c r="E35" s="160">
        <v>0</v>
      </c>
      <c r="F35" s="160">
        <v>0</v>
      </c>
      <c r="G35" s="160">
        <f>+F35</f>
        <v>0</v>
      </c>
      <c r="H35" s="160">
        <f t="shared" si="2"/>
        <v>0</v>
      </c>
      <c r="I35" s="160">
        <f t="shared" si="2"/>
        <v>0</v>
      </c>
      <c r="J35" s="231"/>
    </row>
    <row r="36" spans="1:10" x14ac:dyDescent="0.2">
      <c r="D36" s="2" t="s">
        <v>83</v>
      </c>
      <c r="E36" s="159"/>
      <c r="F36" s="159"/>
      <c r="G36" s="159"/>
      <c r="H36" s="159"/>
      <c r="I36" s="159"/>
      <c r="J36"/>
    </row>
    <row r="37" spans="1:10" x14ac:dyDescent="0.2">
      <c r="D37" s="2" t="s">
        <v>83</v>
      </c>
      <c r="E37" s="13"/>
      <c r="F37" s="13"/>
      <c r="G37" s="13"/>
      <c r="H37" s="13"/>
      <c r="I37" s="13"/>
      <c r="J37"/>
    </row>
    <row r="38" spans="1:10" x14ac:dyDescent="0.2">
      <c r="D38" s="2" t="s">
        <v>84</v>
      </c>
      <c r="E38" s="13"/>
      <c r="F38" s="13"/>
      <c r="G38" s="13"/>
      <c r="H38" s="13"/>
      <c r="I38" s="13"/>
      <c r="J38"/>
    </row>
    <row r="39" spans="1:10" x14ac:dyDescent="0.2">
      <c r="D39" s="2" t="s">
        <v>84</v>
      </c>
      <c r="E39" s="13"/>
      <c r="F39" s="13"/>
      <c r="G39" s="13"/>
      <c r="H39" s="13"/>
      <c r="I39" s="13"/>
      <c r="J39"/>
    </row>
    <row r="40" spans="1:10" x14ac:dyDescent="0.2">
      <c r="A40" s="74">
        <v>5</v>
      </c>
      <c r="C40" s="1" t="s">
        <v>81</v>
      </c>
      <c r="J40"/>
    </row>
    <row r="41" spans="1:10" x14ac:dyDescent="0.2">
      <c r="D41" s="8" t="s">
        <v>5</v>
      </c>
      <c r="E41" s="11" t="s">
        <v>0</v>
      </c>
      <c r="F41" s="11" t="s">
        <v>1</v>
      </c>
      <c r="G41" s="11" t="s">
        <v>2</v>
      </c>
      <c r="H41" s="11" t="s">
        <v>3</v>
      </c>
      <c r="I41" s="11" t="s">
        <v>4</v>
      </c>
      <c r="J41"/>
    </row>
    <row r="42" spans="1:10" x14ac:dyDescent="0.2">
      <c r="D42" s="2" t="s">
        <v>6</v>
      </c>
      <c r="E42" s="14">
        <v>0</v>
      </c>
      <c r="F42" s="14">
        <v>0</v>
      </c>
      <c r="G42" s="14">
        <f t="shared" ref="G42:I43" si="3">+F42</f>
        <v>0</v>
      </c>
      <c r="H42" s="14">
        <f t="shared" si="3"/>
        <v>0</v>
      </c>
      <c r="I42" s="14">
        <f t="shared" si="3"/>
        <v>0</v>
      </c>
      <c r="J42" s="136"/>
    </row>
    <row r="43" spans="1:10" x14ac:dyDescent="0.2">
      <c r="D43" s="2" t="s">
        <v>78</v>
      </c>
      <c r="E43" s="14">
        <v>2.0799999999999999E-2</v>
      </c>
      <c r="F43" s="14">
        <f>+E43</f>
        <v>2.0799999999999999E-2</v>
      </c>
      <c r="G43" s="14">
        <f t="shared" si="3"/>
        <v>2.0799999999999999E-2</v>
      </c>
      <c r="H43" s="14">
        <f t="shared" si="3"/>
        <v>2.0799999999999999E-2</v>
      </c>
      <c r="I43" s="14">
        <f t="shared" si="3"/>
        <v>2.0799999999999999E-2</v>
      </c>
      <c r="J43" s="327"/>
    </row>
    <row r="44" spans="1:10" x14ac:dyDescent="0.2">
      <c r="D44" s="2" t="s">
        <v>83</v>
      </c>
      <c r="E44" s="12"/>
      <c r="F44" s="12"/>
      <c r="G44" s="12"/>
      <c r="H44" s="12"/>
      <c r="I44" s="12"/>
      <c r="J44"/>
    </row>
    <row r="45" spans="1:10" x14ac:dyDescent="0.2">
      <c r="D45" s="2" t="s">
        <v>83</v>
      </c>
      <c r="E45" s="12"/>
      <c r="F45" s="12"/>
      <c r="G45" s="12"/>
      <c r="H45" s="12"/>
      <c r="I45" s="12"/>
      <c r="J45"/>
    </row>
    <row r="46" spans="1:10" x14ac:dyDescent="0.2">
      <c r="A46" s="74">
        <v>6</v>
      </c>
      <c r="C46" s="1" t="s">
        <v>82</v>
      </c>
      <c r="J46"/>
    </row>
    <row r="47" spans="1:10" x14ac:dyDescent="0.2">
      <c r="D47" s="8" t="s">
        <v>5</v>
      </c>
      <c r="E47" s="11" t="s">
        <v>0</v>
      </c>
      <c r="F47" s="11" t="s">
        <v>1</v>
      </c>
      <c r="G47" s="11" t="s">
        <v>2</v>
      </c>
      <c r="H47" s="11" t="s">
        <v>3</v>
      </c>
      <c r="I47" s="11" t="s">
        <v>4</v>
      </c>
      <c r="J47"/>
    </row>
    <row r="48" spans="1:10" x14ac:dyDescent="0.2">
      <c r="D48" s="230" t="s">
        <v>244</v>
      </c>
      <c r="E48" s="14">
        <v>4.2717000000000001</v>
      </c>
      <c r="F48" s="14">
        <f>+E48</f>
        <v>4.2717000000000001</v>
      </c>
      <c r="G48" s="14">
        <f t="shared" ref="G48:H50" si="4">F48</f>
        <v>4.2717000000000001</v>
      </c>
      <c r="H48" s="14">
        <f t="shared" si="4"/>
        <v>4.2717000000000001</v>
      </c>
      <c r="I48" s="14">
        <f>H48</f>
        <v>4.2717000000000001</v>
      </c>
      <c r="J48" s="327"/>
    </row>
    <row r="49" spans="1:10" x14ac:dyDescent="0.2">
      <c r="D49" s="230" t="s">
        <v>245</v>
      </c>
      <c r="E49" s="14">
        <v>0</v>
      </c>
      <c r="F49" s="14">
        <v>0</v>
      </c>
      <c r="G49" s="14">
        <f t="shared" si="4"/>
        <v>0</v>
      </c>
      <c r="H49" s="14">
        <f t="shared" si="4"/>
        <v>0</v>
      </c>
      <c r="I49" s="14">
        <f>H49</f>
        <v>0</v>
      </c>
      <c r="J49" s="231"/>
    </row>
    <row r="50" spans="1:10" x14ac:dyDescent="0.2">
      <c r="D50" s="2" t="s">
        <v>7</v>
      </c>
      <c r="E50" s="14">
        <v>0</v>
      </c>
      <c r="F50" s="14">
        <v>0</v>
      </c>
      <c r="G50" s="14">
        <f t="shared" si="4"/>
        <v>0</v>
      </c>
      <c r="H50" s="14">
        <f t="shared" si="4"/>
        <v>0</v>
      </c>
      <c r="I50" s="14">
        <f>H50</f>
        <v>0</v>
      </c>
      <c r="J50" s="231"/>
    </row>
    <row r="51" spans="1:10" x14ac:dyDescent="0.2">
      <c r="D51" s="2" t="s">
        <v>84</v>
      </c>
      <c r="E51" s="14"/>
      <c r="F51" s="14"/>
      <c r="G51" s="14"/>
      <c r="H51" s="14"/>
      <c r="I51" s="14"/>
      <c r="J51"/>
    </row>
    <row r="52" spans="1:10" x14ac:dyDescent="0.2">
      <c r="D52" s="2" t="s">
        <v>84</v>
      </c>
      <c r="E52" s="14"/>
      <c r="F52" s="14"/>
      <c r="G52" s="14"/>
      <c r="H52" s="14"/>
      <c r="I52" s="14"/>
      <c r="J52"/>
    </row>
    <row r="53" spans="1:10" x14ac:dyDescent="0.2">
      <c r="A53" s="74">
        <v>7</v>
      </c>
      <c r="C53" s="393" t="s">
        <v>35</v>
      </c>
      <c r="D53" s="398"/>
      <c r="E53" s="398"/>
      <c r="F53" s="398"/>
      <c r="G53" s="398"/>
      <c r="H53" s="398"/>
      <c r="I53" s="398"/>
      <c r="J53" s="398"/>
    </row>
    <row r="54" spans="1:10" x14ac:dyDescent="0.2">
      <c r="D54" s="8" t="s">
        <v>9</v>
      </c>
      <c r="E54" s="11" t="s">
        <v>0</v>
      </c>
      <c r="F54" s="11" t="s">
        <v>1</v>
      </c>
      <c r="G54" s="11" t="s">
        <v>2</v>
      </c>
      <c r="H54" s="11" t="s">
        <v>3</v>
      </c>
      <c r="I54" s="11" t="s">
        <v>4</v>
      </c>
      <c r="J54" s="11" t="s">
        <v>12</v>
      </c>
    </row>
    <row r="55" spans="1:10" x14ac:dyDescent="0.2">
      <c r="D55" s="2" t="str">
        <f>Summary!B56</f>
        <v>Eng &amp; Admin</v>
      </c>
      <c r="E55" s="49">
        <f>+Summary!C56</f>
        <v>0</v>
      </c>
      <c r="F55" s="49"/>
      <c r="G55" s="49"/>
      <c r="H55" s="49"/>
      <c r="I55" s="49"/>
      <c r="J55" s="89">
        <f>SUM(E55:I55)</f>
        <v>0</v>
      </c>
    </row>
    <row r="56" spans="1:10" x14ac:dyDescent="0.2">
      <c r="D56" s="2" t="str">
        <f>Summary!B57</f>
        <v>Connecting (Section A)</v>
      </c>
      <c r="E56" s="49">
        <f>+Summary!C57</f>
        <v>0</v>
      </c>
      <c r="F56" s="49"/>
      <c r="G56" s="49"/>
      <c r="H56" s="49"/>
      <c r="I56" s="49"/>
      <c r="J56" s="89">
        <f t="shared" ref="J56:J64" si="5">SUM(E56:I56)</f>
        <v>0</v>
      </c>
    </row>
    <row r="57" spans="1:10" x14ac:dyDescent="0.2">
      <c r="D57" s="2" t="str">
        <f>Summary!B58</f>
        <v>Material (Section A)</v>
      </c>
      <c r="E57" s="49">
        <f>+Summary!C58</f>
        <v>0</v>
      </c>
      <c r="F57" s="49"/>
      <c r="G57" s="49"/>
      <c r="H57" s="49"/>
      <c r="I57" s="49"/>
      <c r="J57" s="89">
        <f t="shared" si="5"/>
        <v>0</v>
      </c>
    </row>
    <row r="58" spans="1:10" x14ac:dyDescent="0.2">
      <c r="D58" s="2" t="str">
        <f>Summary!B59</f>
        <v>Other</v>
      </c>
      <c r="E58" s="49">
        <f>+Summary!C59-32200000+300000</f>
        <v>26600000</v>
      </c>
      <c r="F58" s="49">
        <f>31900000/4</f>
        <v>7975000</v>
      </c>
      <c r="G58" s="49">
        <f t="shared" ref="G58:I58" si="6">+F58</f>
        <v>7975000</v>
      </c>
      <c r="H58" s="49">
        <f t="shared" si="6"/>
        <v>7975000</v>
      </c>
      <c r="I58" s="49">
        <f t="shared" si="6"/>
        <v>7975000</v>
      </c>
      <c r="J58" s="89">
        <f t="shared" si="5"/>
        <v>58500000</v>
      </c>
    </row>
    <row r="59" spans="1:10" x14ac:dyDescent="0.2">
      <c r="D59" s="2" t="str">
        <f>Summary!B60</f>
        <v>Installation (Section B)</v>
      </c>
      <c r="E59" s="49">
        <f>+Summary!C60</f>
        <v>0</v>
      </c>
      <c r="F59" s="49"/>
      <c r="G59" s="49"/>
      <c r="H59" s="49"/>
      <c r="I59" s="49"/>
      <c r="J59" s="89">
        <f t="shared" si="5"/>
        <v>0</v>
      </c>
    </row>
    <row r="60" spans="1:10" x14ac:dyDescent="0.2">
      <c r="D60" s="2" t="str">
        <f>Summary!B61</f>
        <v>Inspection</v>
      </c>
      <c r="E60" s="49">
        <f>+Summary!C61</f>
        <v>0</v>
      </c>
      <c r="F60" s="49"/>
      <c r="G60" s="49"/>
      <c r="H60" s="49"/>
      <c r="I60" s="49"/>
      <c r="J60" s="89">
        <f t="shared" si="5"/>
        <v>0</v>
      </c>
    </row>
    <row r="61" spans="1:10" x14ac:dyDescent="0.2">
      <c r="D61" s="2" t="s">
        <v>143</v>
      </c>
      <c r="E61" s="49">
        <f>+Summary!F27</f>
        <v>0</v>
      </c>
      <c r="F61" s="49">
        <f>+Summary!G27</f>
        <v>0</v>
      </c>
      <c r="G61" s="49">
        <f>+Summary!H27</f>
        <v>0</v>
      </c>
      <c r="H61" s="49">
        <f>+Summary!I27</f>
        <v>0</v>
      </c>
      <c r="I61" s="49">
        <f>+Summary!J27</f>
        <v>0</v>
      </c>
      <c r="J61" s="89">
        <f t="shared" si="5"/>
        <v>0</v>
      </c>
    </row>
    <row r="62" spans="1:10" x14ac:dyDescent="0.2">
      <c r="D62" s="2"/>
      <c r="E62" s="49">
        <v>0</v>
      </c>
      <c r="F62" s="49"/>
      <c r="G62" s="49"/>
      <c r="H62" s="49"/>
      <c r="I62" s="49"/>
      <c r="J62" s="89">
        <f t="shared" si="5"/>
        <v>0</v>
      </c>
    </row>
    <row r="63" spans="1:10" x14ac:dyDescent="0.2">
      <c r="D63" s="2" t="s">
        <v>12</v>
      </c>
      <c r="E63" s="48">
        <f>SUM(E55:E62)</f>
        <v>26600000</v>
      </c>
      <c r="F63" s="48">
        <f>SUM(F55:F62)</f>
        <v>7975000</v>
      </c>
      <c r="G63" s="48">
        <f>SUM(G55:G62)</f>
        <v>7975000</v>
      </c>
      <c r="H63" s="48">
        <f>SUM(H55:H62)</f>
        <v>7975000</v>
      </c>
      <c r="I63" s="48">
        <f>SUM(I55:I62)</f>
        <v>7975000</v>
      </c>
      <c r="J63" s="89">
        <f t="shared" si="5"/>
        <v>58500000</v>
      </c>
    </row>
    <row r="64" spans="1:10" x14ac:dyDescent="0.2">
      <c r="D64" s="2" t="s">
        <v>115</v>
      </c>
      <c r="E64" s="49"/>
      <c r="F64" s="49"/>
      <c r="G64" s="49"/>
      <c r="H64" s="49"/>
      <c r="I64" s="49"/>
      <c r="J64" s="89">
        <f t="shared" si="5"/>
        <v>0</v>
      </c>
    </row>
    <row r="65" spans="1:10" x14ac:dyDescent="0.2">
      <c r="A65" s="74">
        <v>8</v>
      </c>
      <c r="C65" s="393" t="s">
        <v>34</v>
      </c>
      <c r="D65" s="394"/>
      <c r="E65" s="394"/>
      <c r="F65" s="394"/>
      <c r="G65" s="394"/>
      <c r="H65" s="394"/>
      <c r="I65" s="394"/>
      <c r="J65" s="394"/>
    </row>
    <row r="66" spans="1:10" x14ac:dyDescent="0.2">
      <c r="D66" s="8" t="s">
        <v>5</v>
      </c>
      <c r="E66" s="11" t="s">
        <v>0</v>
      </c>
      <c r="F66" s="11" t="s">
        <v>1</v>
      </c>
      <c r="G66" s="11" t="s">
        <v>2</v>
      </c>
      <c r="H66" s="11" t="s">
        <v>3</v>
      </c>
      <c r="I66" s="11" t="s">
        <v>4</v>
      </c>
      <c r="J66"/>
    </row>
    <row r="67" spans="1:10" x14ac:dyDescent="0.2">
      <c r="D67" s="2" t="s">
        <v>6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/>
    </row>
    <row r="68" spans="1:10" x14ac:dyDescent="0.2">
      <c r="D68" s="2" t="s">
        <v>78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/>
    </row>
    <row r="69" spans="1:10" x14ac:dyDescent="0.2">
      <c r="D69" s="2" t="s">
        <v>174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/>
    </row>
    <row r="70" spans="1:10" x14ac:dyDescent="0.2">
      <c r="D70" s="2" t="s">
        <v>175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/>
    </row>
    <row r="71" spans="1:10" x14ac:dyDescent="0.2">
      <c r="D71" s="2" t="s">
        <v>7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/>
    </row>
    <row r="72" spans="1:10" x14ac:dyDescent="0.2">
      <c r="D72" s="2" t="s">
        <v>83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/>
    </row>
    <row r="73" spans="1:10" x14ac:dyDescent="0.2">
      <c r="D73" s="2" t="s">
        <v>83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/>
    </row>
    <row r="74" spans="1:10" x14ac:dyDescent="0.2">
      <c r="D74" s="2" t="s">
        <v>84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/>
    </row>
    <row r="75" spans="1:10" x14ac:dyDescent="0.2">
      <c r="D75" s="2" t="s">
        <v>84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/>
    </row>
    <row r="76" spans="1:10" x14ac:dyDescent="0.2">
      <c r="D76" s="2" t="s">
        <v>12</v>
      </c>
      <c r="E76" s="47">
        <f>SUM(E67:E75)</f>
        <v>0</v>
      </c>
      <c r="F76" s="47">
        <f>SUM(F67:F75)</f>
        <v>0</v>
      </c>
      <c r="G76" s="47">
        <f>SUM(G67:G75)</f>
        <v>0</v>
      </c>
      <c r="H76" s="47">
        <f>SUM(H67:H75)</f>
        <v>0</v>
      </c>
      <c r="I76" s="47">
        <f>SUM(I67:I75)</f>
        <v>0</v>
      </c>
      <c r="J76"/>
    </row>
    <row r="77" spans="1:10" x14ac:dyDescent="0.2">
      <c r="A77" s="74">
        <v>9</v>
      </c>
      <c r="C77" s="393" t="s">
        <v>123</v>
      </c>
      <c r="D77" s="394"/>
      <c r="E77" s="394"/>
      <c r="F77" s="394"/>
      <c r="G77" s="394"/>
      <c r="H77" s="394"/>
      <c r="I77" s="394"/>
      <c r="J77" s="394"/>
    </row>
    <row r="78" spans="1:10" x14ac:dyDescent="0.2">
      <c r="D78" s="8" t="s">
        <v>5</v>
      </c>
      <c r="E78" s="11" t="s">
        <v>0</v>
      </c>
      <c r="F78" s="11" t="s">
        <v>1</v>
      </c>
      <c r="G78" s="11" t="s">
        <v>2</v>
      </c>
      <c r="H78" s="11" t="s">
        <v>3</v>
      </c>
      <c r="I78" s="11" t="s">
        <v>4</v>
      </c>
      <c r="J78" s="11" t="s">
        <v>11</v>
      </c>
    </row>
    <row r="79" spans="1:10" x14ac:dyDescent="0.2">
      <c r="D79" s="2" t="s">
        <v>6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</row>
    <row r="80" spans="1:10" x14ac:dyDescent="0.2">
      <c r="D80" s="2" t="s">
        <v>78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</row>
    <row r="81" spans="1:11" x14ac:dyDescent="0.2">
      <c r="D81" s="2" t="s">
        <v>174</v>
      </c>
      <c r="E81" s="50">
        <v>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</row>
    <row r="82" spans="1:11" x14ac:dyDescent="0.2">
      <c r="D82" s="2" t="s">
        <v>175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</row>
    <row r="83" spans="1:11" x14ac:dyDescent="0.2">
      <c r="D83" s="2" t="s">
        <v>7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</row>
    <row r="84" spans="1:11" x14ac:dyDescent="0.2">
      <c r="D84" s="2" t="s">
        <v>83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</row>
    <row r="85" spans="1:11" x14ac:dyDescent="0.2">
      <c r="D85" s="2" t="s">
        <v>83</v>
      </c>
      <c r="E85" s="50">
        <v>0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</row>
    <row r="86" spans="1:11" x14ac:dyDescent="0.2">
      <c r="D86" s="2" t="s">
        <v>84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</row>
    <row r="87" spans="1:11" x14ac:dyDescent="0.2">
      <c r="D87" s="2" t="s">
        <v>84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</row>
    <row r="88" spans="1:11" ht="24" customHeight="1" x14ac:dyDescent="0.2">
      <c r="A88" s="74">
        <v>10</v>
      </c>
      <c r="C88" s="391" t="s">
        <v>121</v>
      </c>
      <c r="D88" s="392"/>
      <c r="E88" s="392"/>
      <c r="F88" s="392"/>
      <c r="G88" s="392"/>
      <c r="H88" s="392"/>
      <c r="I88" s="392"/>
      <c r="J88" s="392"/>
    </row>
    <row r="89" spans="1:11" x14ac:dyDescent="0.2">
      <c r="D89" s="8" t="s">
        <v>5</v>
      </c>
      <c r="E89" s="11" t="s">
        <v>0</v>
      </c>
      <c r="F89" s="11" t="s">
        <v>1</v>
      </c>
      <c r="G89" s="11" t="s">
        <v>2</v>
      </c>
      <c r="H89" s="11" t="s">
        <v>3</v>
      </c>
      <c r="I89" s="11" t="s">
        <v>4</v>
      </c>
      <c r="J89" s="11" t="s">
        <v>11</v>
      </c>
    </row>
    <row r="90" spans="1:11" x14ac:dyDescent="0.2">
      <c r="D90" s="2" t="s">
        <v>6</v>
      </c>
      <c r="E90" s="123">
        <f>+Summary!D29</f>
        <v>148.32479191438765</v>
      </c>
      <c r="F90" s="124">
        <f t="shared" ref="F90:J94" si="7">+E90</f>
        <v>148.32479191438765</v>
      </c>
      <c r="G90" s="124">
        <f t="shared" si="7"/>
        <v>148.32479191438765</v>
      </c>
      <c r="H90" s="124">
        <f t="shared" si="7"/>
        <v>148.32479191438765</v>
      </c>
      <c r="I90" s="124">
        <f t="shared" si="7"/>
        <v>148.32479191438765</v>
      </c>
      <c r="J90" s="124">
        <f t="shared" si="7"/>
        <v>148.32479191438765</v>
      </c>
      <c r="K90" s="327"/>
    </row>
    <row r="91" spans="1:11" x14ac:dyDescent="0.2">
      <c r="D91" s="2" t="s">
        <v>78</v>
      </c>
      <c r="E91" s="123">
        <f>+E90</f>
        <v>148.32479191438765</v>
      </c>
      <c r="F91" s="124">
        <f t="shared" si="7"/>
        <v>148.32479191438765</v>
      </c>
      <c r="G91" s="124">
        <f t="shared" si="7"/>
        <v>148.32479191438765</v>
      </c>
      <c r="H91" s="124">
        <f t="shared" si="7"/>
        <v>148.32479191438765</v>
      </c>
      <c r="I91" s="124">
        <f t="shared" si="7"/>
        <v>148.32479191438765</v>
      </c>
      <c r="J91" s="124">
        <f t="shared" si="7"/>
        <v>148.32479191438765</v>
      </c>
      <c r="K91" s="136"/>
    </row>
    <row r="92" spans="1:11" x14ac:dyDescent="0.2">
      <c r="D92" s="230" t="s">
        <v>244</v>
      </c>
      <c r="E92" s="123">
        <f>+E91</f>
        <v>148.32479191438765</v>
      </c>
      <c r="F92" s="124">
        <f t="shared" si="7"/>
        <v>148.32479191438765</v>
      </c>
      <c r="G92" s="124">
        <f t="shared" si="7"/>
        <v>148.32479191438765</v>
      </c>
      <c r="H92" s="124">
        <f t="shared" si="7"/>
        <v>148.32479191438765</v>
      </c>
      <c r="I92" s="124">
        <f t="shared" si="7"/>
        <v>148.32479191438765</v>
      </c>
      <c r="J92" s="124">
        <f t="shared" si="7"/>
        <v>148.32479191438765</v>
      </c>
    </row>
    <row r="93" spans="1:11" x14ac:dyDescent="0.2">
      <c r="D93" s="230" t="s">
        <v>245</v>
      </c>
      <c r="E93" s="123">
        <v>0</v>
      </c>
      <c r="F93" s="124">
        <f t="shared" si="7"/>
        <v>0</v>
      </c>
      <c r="G93" s="124">
        <f t="shared" si="7"/>
        <v>0</v>
      </c>
      <c r="H93" s="124">
        <f t="shared" si="7"/>
        <v>0</v>
      </c>
      <c r="I93" s="124">
        <f t="shared" si="7"/>
        <v>0</v>
      </c>
      <c r="J93" s="124">
        <f t="shared" si="7"/>
        <v>0</v>
      </c>
      <c r="K93" s="231"/>
    </row>
    <row r="94" spans="1:11" x14ac:dyDescent="0.2">
      <c r="D94" s="2" t="s">
        <v>7</v>
      </c>
      <c r="E94" s="123">
        <f>+E92</f>
        <v>148.32479191438765</v>
      </c>
      <c r="F94" s="124">
        <f t="shared" si="7"/>
        <v>148.32479191438765</v>
      </c>
      <c r="G94" s="124">
        <f t="shared" si="7"/>
        <v>148.32479191438765</v>
      </c>
      <c r="H94" s="124">
        <f t="shared" si="7"/>
        <v>148.32479191438765</v>
      </c>
      <c r="I94" s="124">
        <f t="shared" si="7"/>
        <v>148.32479191438765</v>
      </c>
      <c r="J94" s="124">
        <f t="shared" si="7"/>
        <v>148.32479191438765</v>
      </c>
      <c r="K94" s="231"/>
    </row>
    <row r="95" spans="1:11" x14ac:dyDescent="0.2">
      <c r="D95" s="2" t="s">
        <v>83</v>
      </c>
      <c r="E95" s="50"/>
      <c r="F95" s="50"/>
      <c r="G95" s="50"/>
      <c r="H95" s="50"/>
      <c r="I95" s="50"/>
      <c r="J95" s="50"/>
    </row>
    <row r="96" spans="1:11" x14ac:dyDescent="0.2">
      <c r="D96" s="2" t="s">
        <v>83</v>
      </c>
      <c r="E96" s="50"/>
      <c r="F96" s="50"/>
      <c r="G96" s="50"/>
      <c r="H96" s="50"/>
      <c r="I96" s="50"/>
      <c r="J96" s="50"/>
    </row>
    <row r="97" spans="1:14" x14ac:dyDescent="0.2">
      <c r="D97" s="2" t="s">
        <v>84</v>
      </c>
      <c r="E97" s="50"/>
      <c r="F97" s="50"/>
      <c r="G97" s="50"/>
      <c r="H97" s="50"/>
      <c r="I97" s="50"/>
      <c r="J97" s="50"/>
    </row>
    <row r="98" spans="1:14" x14ac:dyDescent="0.2">
      <c r="D98" s="2" t="s">
        <v>84</v>
      </c>
      <c r="E98" s="50"/>
      <c r="F98" s="50"/>
      <c r="G98" s="50"/>
      <c r="H98" s="50"/>
      <c r="I98" s="50"/>
      <c r="J98" s="50"/>
    </row>
    <row r="99" spans="1:14" x14ac:dyDescent="0.2">
      <c r="A99" s="74">
        <v>11</v>
      </c>
      <c r="C99" s="393" t="s">
        <v>18</v>
      </c>
      <c r="D99" s="394"/>
      <c r="E99" s="394"/>
      <c r="F99" s="394"/>
      <c r="G99" s="394"/>
      <c r="H99" s="394"/>
      <c r="I99" s="394"/>
      <c r="J99" s="394"/>
    </row>
    <row r="100" spans="1:14" s="9" customFormat="1" x14ac:dyDescent="0.2">
      <c r="A100" s="74"/>
      <c r="B100" s="35"/>
      <c r="D100" s="8" t="s">
        <v>19</v>
      </c>
      <c r="E100" s="11" t="s">
        <v>0</v>
      </c>
      <c r="F100" s="11" t="s">
        <v>1</v>
      </c>
      <c r="G100" s="11" t="s">
        <v>2</v>
      </c>
      <c r="H100" s="11" t="s">
        <v>3</v>
      </c>
      <c r="I100" s="11" t="s">
        <v>4</v>
      </c>
      <c r="J100" s="11" t="s">
        <v>11</v>
      </c>
    </row>
    <row r="101" spans="1:14" x14ac:dyDescent="0.2">
      <c r="D101" s="2" t="s">
        <v>23</v>
      </c>
      <c r="E101" s="15">
        <f>(0.0269)</f>
        <v>2.69E-2</v>
      </c>
      <c r="F101" s="15">
        <f t="shared" ref="F101:J102" si="8">+E101</f>
        <v>2.69E-2</v>
      </c>
      <c r="G101" s="15">
        <f t="shared" si="8"/>
        <v>2.69E-2</v>
      </c>
      <c r="H101" s="15">
        <f t="shared" si="8"/>
        <v>2.69E-2</v>
      </c>
      <c r="I101" s="15">
        <f t="shared" si="8"/>
        <v>2.69E-2</v>
      </c>
      <c r="J101" s="15">
        <f t="shared" si="8"/>
        <v>2.69E-2</v>
      </c>
      <c r="K101" s="327"/>
      <c r="M101" s="136"/>
      <c r="N101" s="231"/>
    </row>
    <row r="102" spans="1:14" x14ac:dyDescent="0.2">
      <c r="D102" s="2" t="s">
        <v>24</v>
      </c>
      <c r="E102" s="15">
        <v>9.6600000000000005E-2</v>
      </c>
      <c r="F102" s="15">
        <f t="shared" si="8"/>
        <v>9.6600000000000005E-2</v>
      </c>
      <c r="G102" s="15">
        <f t="shared" si="8"/>
        <v>9.6600000000000005E-2</v>
      </c>
      <c r="H102" s="15">
        <f t="shared" si="8"/>
        <v>9.6600000000000005E-2</v>
      </c>
      <c r="I102" s="15">
        <f t="shared" si="8"/>
        <v>9.6600000000000005E-2</v>
      </c>
      <c r="J102" s="15">
        <f t="shared" si="8"/>
        <v>9.6600000000000005E-2</v>
      </c>
      <c r="K102" s="327"/>
      <c r="N102" s="231"/>
    </row>
    <row r="103" spans="1:14" x14ac:dyDescent="0.2">
      <c r="D103" s="2" t="s">
        <v>118</v>
      </c>
      <c r="E103" s="15">
        <f>+'Debt Equity Ratio'!V16</f>
        <v>0.64679319311168071</v>
      </c>
      <c r="F103" s="15">
        <f>+E103</f>
        <v>0.64679319311168071</v>
      </c>
      <c r="G103" s="15">
        <f t="shared" ref="G103:J104" si="9">+F103</f>
        <v>0.64679319311168071</v>
      </c>
      <c r="H103" s="15">
        <f t="shared" si="9"/>
        <v>0.64679319311168071</v>
      </c>
      <c r="I103" s="15">
        <f t="shared" si="9"/>
        <v>0.64679319311168071</v>
      </c>
      <c r="J103" s="15">
        <f t="shared" si="9"/>
        <v>0.64679319311168071</v>
      </c>
      <c r="K103" s="327"/>
      <c r="M103" s="136"/>
      <c r="N103" s="231"/>
    </row>
    <row r="104" spans="1:14" x14ac:dyDescent="0.2">
      <c r="D104" s="2" t="s">
        <v>119</v>
      </c>
      <c r="E104" s="15">
        <f>+'Debt Equity Ratio'!V17</f>
        <v>0.35320680688831929</v>
      </c>
      <c r="F104" s="15">
        <f>+E104</f>
        <v>0.35320680688831929</v>
      </c>
      <c r="G104" s="15">
        <f t="shared" si="9"/>
        <v>0.35320680688831929</v>
      </c>
      <c r="H104" s="15">
        <f t="shared" si="9"/>
        <v>0.35320680688831929</v>
      </c>
      <c r="I104" s="15">
        <f t="shared" si="9"/>
        <v>0.35320680688831929</v>
      </c>
      <c r="J104" s="15">
        <f t="shared" si="9"/>
        <v>0.35320680688831929</v>
      </c>
      <c r="K104" s="327"/>
      <c r="M104" s="136"/>
      <c r="N104" s="231"/>
    </row>
    <row r="105" spans="1:14" x14ac:dyDescent="0.2">
      <c r="D105" s="2" t="s">
        <v>25</v>
      </c>
      <c r="E105" s="17">
        <f t="shared" ref="E105:J105" si="10">+E111</f>
        <v>0.26500000000000001</v>
      </c>
      <c r="F105" s="17">
        <f t="shared" si="10"/>
        <v>0.26500000000000001</v>
      </c>
      <c r="G105" s="17">
        <f t="shared" si="10"/>
        <v>0.26500000000000001</v>
      </c>
      <c r="H105" s="17">
        <f t="shared" si="10"/>
        <v>0.26500000000000001</v>
      </c>
      <c r="I105" s="17">
        <f t="shared" si="10"/>
        <v>0.26500000000000001</v>
      </c>
      <c r="J105" s="17">
        <f t="shared" si="10"/>
        <v>0.26500000000000001</v>
      </c>
      <c r="K105" s="9"/>
    </row>
    <row r="106" spans="1:14" ht="25.5" x14ac:dyDescent="0.2">
      <c r="C106" s="36"/>
      <c r="D106" s="36" t="s">
        <v>68</v>
      </c>
      <c r="E106" s="16">
        <f>(E103*(1-E105)*E101)+(E104*E102)</f>
        <v>4.6907849163019238E-2</v>
      </c>
      <c r="F106" s="16">
        <f>+(F103*(1-F105)*F101)+(F104*F102)</f>
        <v>4.6907849163019238E-2</v>
      </c>
      <c r="G106" s="16">
        <f>+(G103*(1-G105)*G101)+(G104*G102)</f>
        <v>4.6907849163019238E-2</v>
      </c>
      <c r="H106" s="16">
        <f>+(H103*(1-H105)*H101)+(H104*H102)</f>
        <v>4.6907849163019238E-2</v>
      </c>
      <c r="I106" s="16">
        <f>+(I103*(1-I105)*I101)+(I104*I102)</f>
        <v>4.6907849163019238E-2</v>
      </c>
      <c r="J106" s="16">
        <f>+(J103*(1-J105)*J101)+(J104*J102)</f>
        <v>4.6907849163019238E-2</v>
      </c>
    </row>
    <row r="108" spans="1:14" x14ac:dyDescent="0.2">
      <c r="A108" s="74">
        <v>12</v>
      </c>
      <c r="C108" s="393" t="s">
        <v>27</v>
      </c>
      <c r="D108" s="394"/>
      <c r="E108" s="394"/>
      <c r="F108" s="394"/>
      <c r="G108" s="394"/>
      <c r="H108" s="394"/>
      <c r="I108" s="394"/>
      <c r="J108" s="394"/>
    </row>
    <row r="109" spans="1:14" x14ac:dyDescent="0.2">
      <c r="C109" s="9"/>
      <c r="D109" s="8" t="s">
        <v>30</v>
      </c>
      <c r="E109" s="11" t="s">
        <v>0</v>
      </c>
      <c r="F109" s="11" t="s">
        <v>1</v>
      </c>
      <c r="G109" s="11" t="s">
        <v>2</v>
      </c>
      <c r="H109" s="11" t="s">
        <v>3</v>
      </c>
      <c r="I109" s="11" t="s">
        <v>4</v>
      </c>
      <c r="J109" s="11" t="s">
        <v>11</v>
      </c>
    </row>
    <row r="110" spans="1:14" x14ac:dyDescent="0.2">
      <c r="D110" s="2" t="s">
        <v>26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</row>
    <row r="111" spans="1:14" x14ac:dyDescent="0.2">
      <c r="D111" s="2" t="s">
        <v>25</v>
      </c>
      <c r="E111" s="15">
        <v>0.26500000000000001</v>
      </c>
      <c r="F111" s="15">
        <v>0.26500000000000001</v>
      </c>
      <c r="G111" s="15">
        <f>+F111</f>
        <v>0.26500000000000001</v>
      </c>
      <c r="H111" s="15">
        <f>+G111</f>
        <v>0.26500000000000001</v>
      </c>
      <c r="I111" s="15">
        <f>+H111</f>
        <v>0.26500000000000001</v>
      </c>
      <c r="J111" s="15">
        <f>+I111</f>
        <v>0.26500000000000001</v>
      </c>
      <c r="K111" s="327"/>
    </row>
    <row r="112" spans="1:14" x14ac:dyDescent="0.2">
      <c r="D112" s="2" t="s">
        <v>28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327"/>
    </row>
    <row r="113" spans="4:11" x14ac:dyDescent="0.2">
      <c r="D113" s="2" t="s">
        <v>29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327"/>
    </row>
    <row r="114" spans="4:11" x14ac:dyDescent="0.2">
      <c r="D114" s="2" t="s">
        <v>33</v>
      </c>
      <c r="E114" s="18">
        <v>0.08</v>
      </c>
      <c r="F114" s="18">
        <v>0.08</v>
      </c>
      <c r="G114" s="18">
        <v>0.08</v>
      </c>
      <c r="H114" s="18">
        <v>0.08</v>
      </c>
      <c r="I114" s="18">
        <v>0.08</v>
      </c>
      <c r="J114" s="18">
        <v>0.08</v>
      </c>
      <c r="K114" s="327"/>
    </row>
    <row r="115" spans="4:11" x14ac:dyDescent="0.2">
      <c r="D115" s="2" t="s">
        <v>69</v>
      </c>
      <c r="E115" s="137">
        <v>0</v>
      </c>
      <c r="F115" s="69">
        <f>+E115</f>
        <v>0</v>
      </c>
      <c r="G115" s="69">
        <f>+F115</f>
        <v>0</v>
      </c>
      <c r="H115" s="69">
        <f>+G115</f>
        <v>0</v>
      </c>
      <c r="I115" s="69">
        <f>+H115</f>
        <v>0</v>
      </c>
      <c r="J115" s="69">
        <f>+I115</f>
        <v>0</v>
      </c>
    </row>
    <row r="116" spans="4:11" x14ac:dyDescent="0.2">
      <c r="D116" s="2" t="s">
        <v>116</v>
      </c>
      <c r="E116" s="69">
        <v>0</v>
      </c>
      <c r="F116" s="69">
        <v>0</v>
      </c>
      <c r="G116" s="69">
        <v>0</v>
      </c>
      <c r="H116" s="69">
        <v>0</v>
      </c>
      <c r="I116" s="69">
        <v>0</v>
      </c>
      <c r="J116" s="69">
        <v>0</v>
      </c>
    </row>
    <row r="117" spans="4:11" x14ac:dyDescent="0.2">
      <c r="D117" s="2" t="s">
        <v>70</v>
      </c>
      <c r="E117" s="37">
        <f t="shared" ref="E117:J117" si="11">+E115-E116</f>
        <v>0</v>
      </c>
      <c r="F117" s="37">
        <f t="shared" si="11"/>
        <v>0</v>
      </c>
      <c r="G117" s="37">
        <f t="shared" si="11"/>
        <v>0</v>
      </c>
      <c r="H117" s="37">
        <f t="shared" si="11"/>
        <v>0</v>
      </c>
      <c r="I117" s="37">
        <f t="shared" si="11"/>
        <v>0</v>
      </c>
      <c r="J117" s="37">
        <f t="shared" si="11"/>
        <v>0</v>
      </c>
    </row>
  </sheetData>
  <mergeCells count="10">
    <mergeCell ref="C88:J88"/>
    <mergeCell ref="C99:J99"/>
    <mergeCell ref="C108:J108"/>
    <mergeCell ref="C65:J65"/>
    <mergeCell ref="E1:J1"/>
    <mergeCell ref="E2:J2"/>
    <mergeCell ref="C77:J77"/>
    <mergeCell ref="C53:J53"/>
    <mergeCell ref="F3:J3"/>
    <mergeCell ref="F4:J4"/>
  </mergeCells>
  <phoneticPr fontId="0" type="noConversion"/>
  <dataValidations disablePrompts="1" xWindow="384" yWindow="199" count="2">
    <dataValidation type="whole" allowBlank="1" showInputMessage="1" showErrorMessage="1" errorTitle="Try again " error="Value input is out of the acceptable range or is not a whole number. Please re-input a whole number between 1 and 5." promptTitle="Customer connection horizon" prompt="This must be a whole number between 1 and 5" sqref="E3" xr:uid="{00000000-0002-0000-0200-000000000000}">
      <formula1>1</formula1>
      <formula2>5</formula2>
    </dataValidation>
    <dataValidation type="whole" allowBlank="1" showInputMessage="1" showErrorMessage="1" errorTitle="Try again " error="Value input is out of the acceptable range or is not a whole number. Please re-input a whole number between 1 and 25." promptTitle="Customer connection horizon" prompt="This must be a whole number between 1 and 25" sqref="E4" xr:uid="{00000000-0002-0000-0200-000001000000}">
      <formula1>1</formula1>
      <formula2>25</formula2>
    </dataValidation>
  </dataValidations>
  <printOptions headings="1"/>
  <pageMargins left="0.53" right="0.22" top="0.8" bottom="1" header="0.5" footer="0.5"/>
  <pageSetup scale="83" fitToHeight="0" orientation="portrait" r:id="rId1"/>
  <headerFooter alignWithMargins="0">
    <oddFooter>&amp;L&amp;P of &amp;N&amp;C&amp;F &amp;A&amp;R&amp;D &amp;T</oddFooter>
  </headerFooter>
  <rowBreaks count="2" manualBreakCount="2">
    <brk id="52" max="16383" man="1"/>
    <brk id="9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162"/>
  <sheetViews>
    <sheetView zoomScaleNormal="100" workbookViewId="0">
      <pane xSplit="2" ySplit="5" topLeftCell="C96" activePane="bottomRight" state="frozenSplit"/>
      <selection activeCell="E51" sqref="E51"/>
      <selection pane="topRight" activeCell="E51" sqref="E51"/>
      <selection pane="bottomLeft" activeCell="E51" sqref="E51"/>
      <selection pane="bottomRight" activeCell="E95" sqref="E95"/>
    </sheetView>
  </sheetViews>
  <sheetFormatPr defaultRowHeight="12.75" x14ac:dyDescent="0.2"/>
  <cols>
    <col min="1" max="1" width="3.42578125" style="4" customWidth="1"/>
    <col min="2" max="2" width="31.5703125" style="5" customWidth="1"/>
    <col min="3" max="3" width="14.5703125" style="5" customWidth="1"/>
    <col min="4" max="4" width="10.28515625" style="5" bestFit="1" customWidth="1"/>
    <col min="5" max="28" width="11.85546875" style="5" customWidth="1"/>
  </cols>
  <sheetData>
    <row r="1" spans="1:29" x14ac:dyDescent="0.2">
      <c r="A1" s="38" t="s">
        <v>22</v>
      </c>
      <c r="B1" s="39"/>
      <c r="C1" s="40"/>
      <c r="D1" s="41">
        <f>+'Data Inputs'!E106</f>
        <v>4.6907849163019238E-2</v>
      </c>
      <c r="E1" s="41">
        <f>+'Data Inputs'!F106</f>
        <v>4.6907849163019238E-2</v>
      </c>
      <c r="F1" s="41">
        <f>+'Data Inputs'!G106</f>
        <v>4.6907849163019238E-2</v>
      </c>
      <c r="G1" s="41">
        <f>+'Data Inputs'!H106</f>
        <v>4.6907849163019238E-2</v>
      </c>
      <c r="H1" s="41">
        <f>+'Data Inputs'!I106</f>
        <v>4.6907849163019238E-2</v>
      </c>
      <c r="I1" s="41">
        <f>+'Data Inputs'!$J106</f>
        <v>4.6907849163019238E-2</v>
      </c>
      <c r="J1" s="41">
        <f>+'Data Inputs'!$J106</f>
        <v>4.6907849163019238E-2</v>
      </c>
      <c r="K1" s="41">
        <f>+'Data Inputs'!$J106</f>
        <v>4.6907849163019238E-2</v>
      </c>
      <c r="L1" s="41">
        <f>+'Data Inputs'!$J106</f>
        <v>4.6907849163019238E-2</v>
      </c>
      <c r="M1" s="41">
        <f>+'Data Inputs'!$J106</f>
        <v>4.6907849163019238E-2</v>
      </c>
      <c r="N1" s="41">
        <f>+'Data Inputs'!$J106</f>
        <v>4.6907849163019238E-2</v>
      </c>
      <c r="O1" s="41">
        <f>+'Data Inputs'!$J106</f>
        <v>4.6907849163019238E-2</v>
      </c>
      <c r="P1" s="41">
        <f>+'Data Inputs'!$J106</f>
        <v>4.6907849163019238E-2</v>
      </c>
      <c r="Q1" s="41">
        <f>+'Data Inputs'!$J106</f>
        <v>4.6907849163019238E-2</v>
      </c>
      <c r="R1" s="41">
        <f>+'Data Inputs'!$J106</f>
        <v>4.6907849163019238E-2</v>
      </c>
      <c r="S1" s="41">
        <f>+'Data Inputs'!$J106</f>
        <v>4.6907849163019238E-2</v>
      </c>
      <c r="T1" s="41">
        <f>+'Data Inputs'!$J106</f>
        <v>4.6907849163019238E-2</v>
      </c>
      <c r="U1" s="41">
        <f>+'Data Inputs'!$J106</f>
        <v>4.6907849163019238E-2</v>
      </c>
      <c r="V1" s="41">
        <f>+'Data Inputs'!$J106</f>
        <v>4.6907849163019238E-2</v>
      </c>
      <c r="W1" s="41">
        <f>+'Data Inputs'!$J106</f>
        <v>4.6907849163019238E-2</v>
      </c>
      <c r="X1" s="41">
        <f>+'Data Inputs'!$J106</f>
        <v>4.6907849163019238E-2</v>
      </c>
      <c r="Y1" s="41">
        <f>+'Data Inputs'!$J106</f>
        <v>4.6907849163019238E-2</v>
      </c>
      <c r="Z1" s="41">
        <f>+'Data Inputs'!$J106</f>
        <v>4.6907849163019238E-2</v>
      </c>
      <c r="AA1" s="41">
        <f>+'Data Inputs'!$J106</f>
        <v>4.6907849163019238E-2</v>
      </c>
      <c r="AB1" s="41">
        <f>+'Data Inputs'!$J106</f>
        <v>4.6907849163019238E-2</v>
      </c>
    </row>
    <row r="2" spans="1:29" x14ac:dyDescent="0.2">
      <c r="A2" s="38" t="s">
        <v>76</v>
      </c>
      <c r="B2" s="39"/>
      <c r="C2" s="42"/>
      <c r="D2" s="41">
        <f>ROUND(1/((1+D1)^D5),5)</f>
        <v>0.95518999999999998</v>
      </c>
      <c r="E2" s="41">
        <f t="shared" ref="E2:AB2" si="0">ROUND(1/((1+E1)^E5),5)</f>
        <v>0.91239999999999999</v>
      </c>
      <c r="F2" s="41">
        <f t="shared" si="0"/>
        <v>0.87151000000000001</v>
      </c>
      <c r="G2" s="41">
        <f t="shared" si="0"/>
        <v>0.83247000000000004</v>
      </c>
      <c r="H2" s="41">
        <f t="shared" si="0"/>
        <v>0.79517000000000004</v>
      </c>
      <c r="I2" s="41">
        <f t="shared" si="0"/>
        <v>0.75953999999999999</v>
      </c>
      <c r="J2" s="41">
        <f t="shared" si="0"/>
        <v>0.72550999999999999</v>
      </c>
      <c r="K2" s="41">
        <f t="shared" si="0"/>
        <v>0.69299999999999995</v>
      </c>
      <c r="L2" s="41">
        <f t="shared" si="0"/>
        <v>0.66195000000000004</v>
      </c>
      <c r="M2" s="41">
        <f t="shared" si="0"/>
        <v>0.63229000000000002</v>
      </c>
      <c r="N2" s="41">
        <f t="shared" si="0"/>
        <v>0.60396000000000005</v>
      </c>
      <c r="O2" s="41">
        <f t="shared" si="0"/>
        <v>0.57689999999999997</v>
      </c>
      <c r="P2" s="41">
        <f t="shared" si="0"/>
        <v>0.55105000000000004</v>
      </c>
      <c r="Q2" s="41">
        <f t="shared" si="0"/>
        <v>0.52636000000000005</v>
      </c>
      <c r="R2" s="41">
        <f t="shared" si="0"/>
        <v>0.50277000000000005</v>
      </c>
      <c r="S2" s="41">
        <f t="shared" si="0"/>
        <v>0.48025000000000001</v>
      </c>
      <c r="T2" s="41">
        <f t="shared" si="0"/>
        <v>0.45873000000000003</v>
      </c>
      <c r="U2" s="41">
        <f t="shared" si="0"/>
        <v>0.43818000000000001</v>
      </c>
      <c r="V2" s="41">
        <f t="shared" si="0"/>
        <v>0.41854000000000002</v>
      </c>
      <c r="W2" s="41">
        <f t="shared" si="0"/>
        <v>0.39978999999999998</v>
      </c>
      <c r="X2" s="41">
        <f t="shared" si="0"/>
        <v>0.38188</v>
      </c>
      <c r="Y2" s="41">
        <f t="shared" si="0"/>
        <v>0.36476999999999998</v>
      </c>
      <c r="Z2" s="41">
        <f t="shared" si="0"/>
        <v>0.34842000000000001</v>
      </c>
      <c r="AA2" s="41">
        <f t="shared" si="0"/>
        <v>0.33280999999999999</v>
      </c>
      <c r="AB2" s="41">
        <f t="shared" si="0"/>
        <v>0.31790000000000002</v>
      </c>
    </row>
    <row r="3" spans="1:29" x14ac:dyDescent="0.2">
      <c r="A3" s="38" t="s">
        <v>77</v>
      </c>
      <c r="B3" s="39"/>
      <c r="C3" s="42"/>
      <c r="D3" s="60">
        <f>ROUND((1+D1)^-(D5-0.5),5)</f>
        <v>0.97733999999999999</v>
      </c>
      <c r="E3" s="60">
        <f t="shared" ref="E3:AB3" si="1">ROUND((1+E1)^-(E5-0.5),5)</f>
        <v>0.93354999999999999</v>
      </c>
      <c r="F3" s="60">
        <f t="shared" si="1"/>
        <v>0.89171999999999996</v>
      </c>
      <c r="G3" s="60">
        <f t="shared" si="1"/>
        <v>0.85177000000000003</v>
      </c>
      <c r="H3" s="60">
        <f t="shared" si="1"/>
        <v>0.81359999999999999</v>
      </c>
      <c r="I3" s="60">
        <f t="shared" si="1"/>
        <v>0.77715000000000001</v>
      </c>
      <c r="J3" s="60">
        <f t="shared" si="1"/>
        <v>0.74233000000000005</v>
      </c>
      <c r="K3" s="60">
        <f t="shared" si="1"/>
        <v>0.70906999999999998</v>
      </c>
      <c r="L3" s="60">
        <f t="shared" si="1"/>
        <v>0.67730000000000001</v>
      </c>
      <c r="M3" s="60">
        <f t="shared" si="1"/>
        <v>0.64695000000000003</v>
      </c>
      <c r="N3" s="60">
        <f t="shared" si="1"/>
        <v>0.61795999999999995</v>
      </c>
      <c r="O3" s="60">
        <f t="shared" si="1"/>
        <v>0.59026999999999996</v>
      </c>
      <c r="P3" s="60">
        <f t="shared" si="1"/>
        <v>0.56381999999999999</v>
      </c>
      <c r="Q3" s="60">
        <f t="shared" si="1"/>
        <v>0.53856000000000004</v>
      </c>
      <c r="R3" s="60">
        <f t="shared" si="1"/>
        <v>0.51443000000000005</v>
      </c>
      <c r="S3" s="60">
        <f t="shared" si="1"/>
        <v>0.49137999999999998</v>
      </c>
      <c r="T3" s="60">
        <f t="shared" si="1"/>
        <v>0.46936</v>
      </c>
      <c r="U3" s="60">
        <f t="shared" si="1"/>
        <v>0.44833000000000001</v>
      </c>
      <c r="V3" s="60">
        <f t="shared" si="1"/>
        <v>0.42825000000000002</v>
      </c>
      <c r="W3" s="60">
        <f t="shared" si="1"/>
        <v>0.40905999999999998</v>
      </c>
      <c r="X3" s="60">
        <f t="shared" si="1"/>
        <v>0.39073000000000002</v>
      </c>
      <c r="Y3" s="60">
        <f t="shared" si="1"/>
        <v>0.37322</v>
      </c>
      <c r="Z3" s="60">
        <f t="shared" si="1"/>
        <v>0.35649999999999998</v>
      </c>
      <c r="AA3" s="60">
        <f t="shared" si="1"/>
        <v>0.34053</v>
      </c>
      <c r="AB3" s="60">
        <f t="shared" si="1"/>
        <v>0.32527</v>
      </c>
    </row>
    <row r="4" spans="1:29" x14ac:dyDescent="0.2">
      <c r="A4" s="43"/>
      <c r="B4" s="44"/>
      <c r="C4" s="44"/>
      <c r="D4" s="45" t="s">
        <v>42</v>
      </c>
      <c r="E4" s="45" t="s">
        <v>43</v>
      </c>
      <c r="F4" s="45" t="s">
        <v>44</v>
      </c>
      <c r="G4" s="45" t="s">
        <v>45</v>
      </c>
      <c r="H4" s="45" t="s">
        <v>46</v>
      </c>
      <c r="I4" s="45" t="s">
        <v>47</v>
      </c>
      <c r="J4" s="45" t="s">
        <v>48</v>
      </c>
      <c r="K4" s="45" t="s">
        <v>49</v>
      </c>
      <c r="L4" s="45" t="s">
        <v>50</v>
      </c>
      <c r="M4" s="45" t="s">
        <v>51</v>
      </c>
      <c r="N4" s="45" t="s">
        <v>52</v>
      </c>
      <c r="O4" s="45" t="s">
        <v>53</v>
      </c>
      <c r="P4" s="45" t="s">
        <v>54</v>
      </c>
      <c r="Q4" s="45" t="s">
        <v>55</v>
      </c>
      <c r="R4" s="45" t="s">
        <v>56</v>
      </c>
      <c r="S4" s="45" t="s">
        <v>57</v>
      </c>
      <c r="T4" s="45" t="s">
        <v>58</v>
      </c>
      <c r="U4" s="45" t="s">
        <v>59</v>
      </c>
      <c r="V4" s="45" t="s">
        <v>60</v>
      </c>
      <c r="W4" s="45" t="s">
        <v>61</v>
      </c>
      <c r="X4" s="45" t="s">
        <v>62</v>
      </c>
      <c r="Y4" s="45" t="s">
        <v>63</v>
      </c>
      <c r="Z4" s="45" t="s">
        <v>64</v>
      </c>
      <c r="AA4" s="45" t="s">
        <v>65</v>
      </c>
      <c r="AB4" s="45" t="s">
        <v>66</v>
      </c>
      <c r="AC4" s="61"/>
    </row>
    <row r="5" spans="1:29" s="3" customFormat="1" ht="13.5" thickBot="1" x14ac:dyDescent="0.25">
      <c r="A5" s="43"/>
      <c r="B5" s="45"/>
      <c r="C5" s="46" t="s">
        <v>12</v>
      </c>
      <c r="D5" s="46">
        <v>1</v>
      </c>
      <c r="E5" s="46">
        <v>2</v>
      </c>
      <c r="F5" s="46">
        <v>3</v>
      </c>
      <c r="G5" s="46">
        <v>4</v>
      </c>
      <c r="H5" s="46">
        <v>5</v>
      </c>
      <c r="I5" s="46">
        <v>6</v>
      </c>
      <c r="J5" s="46">
        <v>7</v>
      </c>
      <c r="K5" s="46">
        <v>8</v>
      </c>
      <c r="L5" s="46">
        <v>9</v>
      </c>
      <c r="M5" s="46">
        <v>10</v>
      </c>
      <c r="N5" s="46">
        <v>11</v>
      </c>
      <c r="O5" s="46">
        <v>12</v>
      </c>
      <c r="P5" s="46">
        <v>13</v>
      </c>
      <c r="Q5" s="46">
        <v>14</v>
      </c>
      <c r="R5" s="46">
        <v>15</v>
      </c>
      <c r="S5" s="46">
        <v>16</v>
      </c>
      <c r="T5" s="46">
        <v>17</v>
      </c>
      <c r="U5" s="46">
        <v>18</v>
      </c>
      <c r="V5" s="46">
        <v>19</v>
      </c>
      <c r="W5" s="46">
        <v>20</v>
      </c>
      <c r="X5" s="46">
        <v>21</v>
      </c>
      <c r="Y5" s="46">
        <v>22</v>
      </c>
      <c r="Z5" s="46">
        <v>23</v>
      </c>
      <c r="AA5" s="46">
        <v>24</v>
      </c>
      <c r="AB5" s="46">
        <v>25</v>
      </c>
    </row>
    <row r="6" spans="1:29" s="3" customFormat="1" x14ac:dyDescent="0.2">
      <c r="A6" s="4" t="s">
        <v>110</v>
      </c>
      <c r="B6" s="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9" x14ac:dyDescent="0.2">
      <c r="A7" s="4" t="s">
        <v>13</v>
      </c>
    </row>
    <row r="8" spans="1:29" x14ac:dyDescent="0.2">
      <c r="B8" s="5" t="s">
        <v>6</v>
      </c>
      <c r="C8" s="24">
        <f t="shared" ref="C8:C16" si="2">SUM(D8:AB8)</f>
        <v>31572450</v>
      </c>
      <c r="D8" s="24">
        <f>('Data Inputs'!E7/2)*'Data Inputs'!E31*12</f>
        <v>140321.99999999997</v>
      </c>
      <c r="E8" s="24">
        <f>('Data Inputs'!E7+('Data Inputs'!F7/2))*'Data Inputs'!F31*12</f>
        <v>420966</v>
      </c>
      <c r="F8" s="24">
        <f>('Data Inputs'!E7+'Data Inputs'!F7+('Data Inputs'!G7/2))*'Data Inputs'!G31*12</f>
        <v>701609.99999999988</v>
      </c>
      <c r="G8" s="24">
        <f>('Data Inputs'!E7+'Data Inputs'!F7+'Data Inputs'!G7+('Data Inputs'!H7/2))*'Data Inputs'!H31*12</f>
        <v>982253.99999999977</v>
      </c>
      <c r="H8" s="24">
        <f>('Data Inputs'!$E7+'Data Inputs'!$F7+'Data Inputs'!$G7+'Data Inputs'!$H7+('Data Inputs'!$I7/2))*'Data Inputs'!$I31*12</f>
        <v>1262897.9999999998</v>
      </c>
      <c r="I8" s="24">
        <f>('Data Inputs'!$E7+'Data Inputs'!$F7+'Data Inputs'!$G7+'Data Inputs'!$H7+'Data Inputs'!$I7)*'Data Inputs'!$I31*12</f>
        <v>1403219.9999999998</v>
      </c>
      <c r="J8" s="24">
        <f>('Data Inputs'!$E7+'Data Inputs'!$F7+'Data Inputs'!$G7+'Data Inputs'!$H7+'Data Inputs'!$I7)*'Data Inputs'!$I31*12</f>
        <v>1403219.9999999998</v>
      </c>
      <c r="K8" s="24">
        <f>('Data Inputs'!$E7+'Data Inputs'!$F7+'Data Inputs'!$G7+'Data Inputs'!$H7+'Data Inputs'!$I7)*'Data Inputs'!$I31*12</f>
        <v>1403219.9999999998</v>
      </c>
      <c r="L8" s="24">
        <f>('Data Inputs'!$E7+'Data Inputs'!$F7+'Data Inputs'!$G7+'Data Inputs'!$H7+'Data Inputs'!$I7)*'Data Inputs'!$I31*12</f>
        <v>1403219.9999999998</v>
      </c>
      <c r="M8" s="24">
        <f>('Data Inputs'!$E7+'Data Inputs'!$F7+'Data Inputs'!$G7+'Data Inputs'!$H7+'Data Inputs'!$I7)*'Data Inputs'!$I31*12</f>
        <v>1403219.9999999998</v>
      </c>
      <c r="N8" s="24">
        <f>('Data Inputs'!$E7+'Data Inputs'!$F7+'Data Inputs'!$G7+'Data Inputs'!$H7+'Data Inputs'!$I7)*'Data Inputs'!$I31*12</f>
        <v>1403219.9999999998</v>
      </c>
      <c r="O8" s="24">
        <f>('Data Inputs'!$E7+'Data Inputs'!$F7+'Data Inputs'!$G7+'Data Inputs'!$H7+'Data Inputs'!$I7)*'Data Inputs'!$I31*12</f>
        <v>1403219.9999999998</v>
      </c>
      <c r="P8" s="24">
        <f>('Data Inputs'!$E7+'Data Inputs'!$F7+'Data Inputs'!$G7+'Data Inputs'!$H7+'Data Inputs'!$I7)*'Data Inputs'!$I31*12</f>
        <v>1403219.9999999998</v>
      </c>
      <c r="Q8" s="24">
        <f>('Data Inputs'!$E7+'Data Inputs'!$F7+'Data Inputs'!$G7+'Data Inputs'!$H7+'Data Inputs'!$I7)*'Data Inputs'!$I31*12</f>
        <v>1403219.9999999998</v>
      </c>
      <c r="R8" s="24">
        <f>('Data Inputs'!$E7+'Data Inputs'!$F7+'Data Inputs'!$G7+'Data Inputs'!$H7+'Data Inputs'!$I7)*'Data Inputs'!$I31*12</f>
        <v>1403219.9999999998</v>
      </c>
      <c r="S8" s="24">
        <f>('Data Inputs'!$E7+'Data Inputs'!$F7+'Data Inputs'!$G7+'Data Inputs'!$H7+'Data Inputs'!$I7)*'Data Inputs'!$I31*12</f>
        <v>1403219.9999999998</v>
      </c>
      <c r="T8" s="24">
        <f>('Data Inputs'!$E7+'Data Inputs'!$F7+'Data Inputs'!$G7+'Data Inputs'!$H7+'Data Inputs'!$I7)*'Data Inputs'!$I31*12</f>
        <v>1403219.9999999998</v>
      </c>
      <c r="U8" s="24">
        <f>('Data Inputs'!$E7+'Data Inputs'!$F7+'Data Inputs'!$G7+'Data Inputs'!$H7+'Data Inputs'!$I7)*'Data Inputs'!$I31*12</f>
        <v>1403219.9999999998</v>
      </c>
      <c r="V8" s="24">
        <f>('Data Inputs'!$E7+'Data Inputs'!$F7+'Data Inputs'!$G7+'Data Inputs'!$H7+'Data Inputs'!$I7)*'Data Inputs'!$I31*12</f>
        <v>1403219.9999999998</v>
      </c>
      <c r="W8" s="24">
        <f>('Data Inputs'!$E7+'Data Inputs'!$F7+'Data Inputs'!$G7+'Data Inputs'!$H7+'Data Inputs'!$I7)*'Data Inputs'!$I31*12</f>
        <v>1403219.9999999998</v>
      </c>
      <c r="X8" s="24">
        <f>('Data Inputs'!$E7+'Data Inputs'!$F7+'Data Inputs'!$G7+'Data Inputs'!$H7+'Data Inputs'!$I7)*'Data Inputs'!$I31*12</f>
        <v>1403219.9999999998</v>
      </c>
      <c r="Y8" s="24">
        <f>('Data Inputs'!$E7+'Data Inputs'!$F7+'Data Inputs'!$G7+'Data Inputs'!$H7+'Data Inputs'!$I7)*'Data Inputs'!$I31*12</f>
        <v>1403219.9999999998</v>
      </c>
      <c r="Z8" s="24">
        <f>('Data Inputs'!$E7+'Data Inputs'!$F7+'Data Inputs'!$G7+'Data Inputs'!$H7+'Data Inputs'!$I7)*'Data Inputs'!$I31*12</f>
        <v>1403219.9999999998</v>
      </c>
      <c r="AA8" s="24">
        <f>('Data Inputs'!$E7+'Data Inputs'!$F7+'Data Inputs'!$G7+'Data Inputs'!$H7+'Data Inputs'!$I7)*'Data Inputs'!$I31*12</f>
        <v>1403219.9999999998</v>
      </c>
      <c r="AB8" s="24">
        <f>('Data Inputs'!$E7+'Data Inputs'!$F7+'Data Inputs'!$G7+'Data Inputs'!$H7+'Data Inputs'!$I7)*'Data Inputs'!$I31*12</f>
        <v>1403219.9999999998</v>
      </c>
    </row>
    <row r="9" spans="1:29" x14ac:dyDescent="0.2">
      <c r="B9" s="5" t="s">
        <v>78</v>
      </c>
      <c r="C9" s="24">
        <f t="shared" si="2"/>
        <v>0</v>
      </c>
      <c r="D9" s="24">
        <f>('Data Inputs'!E8/2)*'Data Inputs'!E32*12</f>
        <v>0</v>
      </c>
      <c r="E9" s="24">
        <f>('Data Inputs'!E8+('Data Inputs'!F8/2))*'Data Inputs'!F32*12</f>
        <v>0</v>
      </c>
      <c r="F9" s="24">
        <f>('Data Inputs'!E8+'Data Inputs'!F8+('Data Inputs'!G8/2))*'Data Inputs'!G32*12</f>
        <v>0</v>
      </c>
      <c r="G9" s="24">
        <f>('Data Inputs'!E8+'Data Inputs'!F8+'Data Inputs'!G8+('Data Inputs'!H8/2))*'Data Inputs'!H32*12</f>
        <v>0</v>
      </c>
      <c r="H9" s="24">
        <f>('Data Inputs'!$E8+'Data Inputs'!$F8+'Data Inputs'!$G8+'Data Inputs'!$H8+('Data Inputs'!$I8/2))*'Data Inputs'!$I32*12</f>
        <v>0</v>
      </c>
      <c r="I9" s="24">
        <f>('Data Inputs'!$E8+'Data Inputs'!$F8+'Data Inputs'!$G8+'Data Inputs'!$H8+'Data Inputs'!$I8)*'Data Inputs'!$I32*12</f>
        <v>0</v>
      </c>
      <c r="J9" s="24">
        <f>('Data Inputs'!$E8+'Data Inputs'!$F8+'Data Inputs'!$G8+'Data Inputs'!$H8+'Data Inputs'!$I8)*'Data Inputs'!$I32*12</f>
        <v>0</v>
      </c>
      <c r="K9" s="24">
        <f>('Data Inputs'!$E8+'Data Inputs'!$F8+'Data Inputs'!$G8+'Data Inputs'!$H8+'Data Inputs'!$I8)*'Data Inputs'!$I32*12</f>
        <v>0</v>
      </c>
      <c r="L9" s="24">
        <f>('Data Inputs'!$E8+'Data Inputs'!$F8+'Data Inputs'!$G8+'Data Inputs'!$H8+'Data Inputs'!$I8)*'Data Inputs'!$I32*12</f>
        <v>0</v>
      </c>
      <c r="M9" s="24">
        <f>('Data Inputs'!$E8+'Data Inputs'!$F8+'Data Inputs'!$G8+'Data Inputs'!$H8+'Data Inputs'!$I8)*'Data Inputs'!$I32*12</f>
        <v>0</v>
      </c>
      <c r="N9" s="24">
        <f>('Data Inputs'!$E8+'Data Inputs'!$F8+'Data Inputs'!$G8+'Data Inputs'!$H8+'Data Inputs'!$I8)*'Data Inputs'!$I32*12</f>
        <v>0</v>
      </c>
      <c r="O9" s="24">
        <f>('Data Inputs'!$E8+'Data Inputs'!$F8+'Data Inputs'!$G8+'Data Inputs'!$H8+'Data Inputs'!$I8)*'Data Inputs'!$I32*12</f>
        <v>0</v>
      </c>
      <c r="P9" s="24">
        <f>('Data Inputs'!$E8+'Data Inputs'!$F8+'Data Inputs'!$G8+'Data Inputs'!$H8+'Data Inputs'!$I8)*'Data Inputs'!$I32*12</f>
        <v>0</v>
      </c>
      <c r="Q9" s="24">
        <f>('Data Inputs'!$E8+'Data Inputs'!$F8+'Data Inputs'!$G8+'Data Inputs'!$H8+'Data Inputs'!$I8)*'Data Inputs'!$I32*12</f>
        <v>0</v>
      </c>
      <c r="R9" s="24">
        <f>('Data Inputs'!$E8+'Data Inputs'!$F8+'Data Inputs'!$G8+'Data Inputs'!$H8+'Data Inputs'!$I8)*'Data Inputs'!$I32*12</f>
        <v>0</v>
      </c>
      <c r="S9" s="24">
        <f>('Data Inputs'!$E8+'Data Inputs'!$F8+'Data Inputs'!$G8+'Data Inputs'!$H8+'Data Inputs'!$I8)*'Data Inputs'!$I32*12</f>
        <v>0</v>
      </c>
      <c r="T9" s="24">
        <f>('Data Inputs'!$E8+'Data Inputs'!$F8+'Data Inputs'!$G8+'Data Inputs'!$H8+'Data Inputs'!$I8)*'Data Inputs'!$I32*12</f>
        <v>0</v>
      </c>
      <c r="U9" s="24">
        <f>('Data Inputs'!$E8+'Data Inputs'!$F8+'Data Inputs'!$G8+'Data Inputs'!$H8+'Data Inputs'!$I8)*'Data Inputs'!$I32*12</f>
        <v>0</v>
      </c>
      <c r="V9" s="24">
        <f>('Data Inputs'!$E8+'Data Inputs'!$F8+'Data Inputs'!$G8+'Data Inputs'!$H8+'Data Inputs'!$I8)*'Data Inputs'!$I32*12</f>
        <v>0</v>
      </c>
      <c r="W9" s="24">
        <f>('Data Inputs'!$E8+'Data Inputs'!$F8+'Data Inputs'!$G8+'Data Inputs'!$H8+'Data Inputs'!$I8)*'Data Inputs'!$I32*12</f>
        <v>0</v>
      </c>
      <c r="X9" s="24">
        <f>('Data Inputs'!$E8+'Data Inputs'!$F8+'Data Inputs'!$G8+'Data Inputs'!$H8+'Data Inputs'!$I8)*'Data Inputs'!$I32*12</f>
        <v>0</v>
      </c>
      <c r="Y9" s="24">
        <f>('Data Inputs'!$E8+'Data Inputs'!$F8+'Data Inputs'!$G8+'Data Inputs'!$H8+'Data Inputs'!$I8)*'Data Inputs'!$I32*12</f>
        <v>0</v>
      </c>
      <c r="Z9" s="24">
        <f>('Data Inputs'!$E8+'Data Inputs'!$F8+'Data Inputs'!$G8+'Data Inputs'!$H8+'Data Inputs'!$I8)*'Data Inputs'!$I32*12</f>
        <v>0</v>
      </c>
      <c r="AA9" s="24">
        <f>('Data Inputs'!$E8+'Data Inputs'!$F8+'Data Inputs'!$G8+'Data Inputs'!$H8+'Data Inputs'!$I8)*'Data Inputs'!$I32*12</f>
        <v>0</v>
      </c>
      <c r="AB9" s="24">
        <f>('Data Inputs'!$E8+'Data Inputs'!$F8+'Data Inputs'!$G8+'Data Inputs'!$H8+'Data Inputs'!$I8)*'Data Inputs'!$I32*12</f>
        <v>0</v>
      </c>
    </row>
    <row r="10" spans="1:29" x14ac:dyDescent="0.2">
      <c r="B10" s="5" t="s">
        <v>174</v>
      </c>
      <c r="C10" s="24">
        <f t="shared" si="2"/>
        <v>0</v>
      </c>
      <c r="D10" s="24">
        <f>('Data Inputs'!E9/2)*'Data Inputs'!E33*12</f>
        <v>0</v>
      </c>
      <c r="E10" s="24">
        <f>('Data Inputs'!E9+('Data Inputs'!F9/2))*'Data Inputs'!F33*12</f>
        <v>0</v>
      </c>
      <c r="F10" s="24">
        <f>('Data Inputs'!E9+'Data Inputs'!F9+('Data Inputs'!G9/2))*'Data Inputs'!G33*12</f>
        <v>0</v>
      </c>
      <c r="G10" s="24">
        <f>('Data Inputs'!E9+'Data Inputs'!F9+'Data Inputs'!G9+('Data Inputs'!H9/2))*'Data Inputs'!H33*12</f>
        <v>0</v>
      </c>
      <c r="H10" s="24">
        <f>('Data Inputs'!$E9+'Data Inputs'!$F9+'Data Inputs'!$G9+'Data Inputs'!$H9+('Data Inputs'!$I9/2))*'Data Inputs'!$I33*12</f>
        <v>0</v>
      </c>
      <c r="I10" s="24">
        <f>('Data Inputs'!$E9+'Data Inputs'!$F9+'Data Inputs'!$G9+'Data Inputs'!$H9+'Data Inputs'!$I9)*'Data Inputs'!$I33*12</f>
        <v>0</v>
      </c>
      <c r="J10" s="24">
        <f>('Data Inputs'!$E9+'Data Inputs'!$F9+'Data Inputs'!$G9+'Data Inputs'!$H9+'Data Inputs'!$I9)*'Data Inputs'!$I33*12</f>
        <v>0</v>
      </c>
      <c r="K10" s="24">
        <f>('Data Inputs'!$E9+'Data Inputs'!$F9+'Data Inputs'!$G9+'Data Inputs'!$H9+'Data Inputs'!$I9)*'Data Inputs'!$I33*12</f>
        <v>0</v>
      </c>
      <c r="L10" s="24">
        <f>('Data Inputs'!$E9+'Data Inputs'!$F9+'Data Inputs'!$G9+'Data Inputs'!$H9+'Data Inputs'!$I9)*'Data Inputs'!$I33*12</f>
        <v>0</v>
      </c>
      <c r="M10" s="24">
        <f>('Data Inputs'!$E9+'Data Inputs'!$F9+'Data Inputs'!$G9+'Data Inputs'!$H9+'Data Inputs'!$I9)*'Data Inputs'!$I33*12</f>
        <v>0</v>
      </c>
      <c r="N10" s="24">
        <f>('Data Inputs'!$E9+'Data Inputs'!$F9+'Data Inputs'!$G9+'Data Inputs'!$H9+'Data Inputs'!$I9)*'Data Inputs'!$I33*12</f>
        <v>0</v>
      </c>
      <c r="O10" s="24">
        <f>('Data Inputs'!$E9+'Data Inputs'!$F9+'Data Inputs'!$G9+'Data Inputs'!$H9+'Data Inputs'!$I9)*'Data Inputs'!$I33*12</f>
        <v>0</v>
      </c>
      <c r="P10" s="24">
        <f>('Data Inputs'!$E9+'Data Inputs'!$F9+'Data Inputs'!$G9+'Data Inputs'!$H9+'Data Inputs'!$I9)*'Data Inputs'!$I33*12</f>
        <v>0</v>
      </c>
      <c r="Q10" s="24">
        <f>('Data Inputs'!$E9+'Data Inputs'!$F9+'Data Inputs'!$G9+'Data Inputs'!$H9+'Data Inputs'!$I9)*'Data Inputs'!$I33*12</f>
        <v>0</v>
      </c>
      <c r="R10" s="24">
        <f>('Data Inputs'!$E9+'Data Inputs'!$F9+'Data Inputs'!$G9+'Data Inputs'!$H9+'Data Inputs'!$I9)*'Data Inputs'!$I33*12</f>
        <v>0</v>
      </c>
      <c r="S10" s="24">
        <f>('Data Inputs'!$E9+'Data Inputs'!$F9+'Data Inputs'!$G9+'Data Inputs'!$H9+'Data Inputs'!$I9)*'Data Inputs'!$I33*12</f>
        <v>0</v>
      </c>
      <c r="T10" s="24">
        <f>('Data Inputs'!$E9+'Data Inputs'!$F9+'Data Inputs'!$G9+'Data Inputs'!$H9+'Data Inputs'!$I9)*'Data Inputs'!$I33*12</f>
        <v>0</v>
      </c>
      <c r="U10" s="24">
        <f>('Data Inputs'!$E9+'Data Inputs'!$F9+'Data Inputs'!$G9+'Data Inputs'!$H9+'Data Inputs'!$I9)*'Data Inputs'!$I33*12</f>
        <v>0</v>
      </c>
      <c r="V10" s="24">
        <f>('Data Inputs'!$E9+'Data Inputs'!$F9+'Data Inputs'!$G9+'Data Inputs'!$H9+'Data Inputs'!$I9)*'Data Inputs'!$I33*12</f>
        <v>0</v>
      </c>
      <c r="W10" s="24">
        <f>('Data Inputs'!$E9+'Data Inputs'!$F9+'Data Inputs'!$G9+'Data Inputs'!$H9+'Data Inputs'!$I9)*'Data Inputs'!$I33*12</f>
        <v>0</v>
      </c>
      <c r="X10" s="24">
        <f>('Data Inputs'!$E9+'Data Inputs'!$F9+'Data Inputs'!$G9+'Data Inputs'!$H9+'Data Inputs'!$I9)*'Data Inputs'!$I33*12</f>
        <v>0</v>
      </c>
      <c r="Y10" s="24">
        <f>('Data Inputs'!$E9+'Data Inputs'!$F9+'Data Inputs'!$G9+'Data Inputs'!$H9+'Data Inputs'!$I9)*'Data Inputs'!$I33*12</f>
        <v>0</v>
      </c>
      <c r="Z10" s="24">
        <f>('Data Inputs'!$E9+'Data Inputs'!$F9+'Data Inputs'!$G9+'Data Inputs'!$H9+'Data Inputs'!$I9)*'Data Inputs'!$I33*12</f>
        <v>0</v>
      </c>
      <c r="AA10" s="24">
        <f>('Data Inputs'!$E9+'Data Inputs'!$F9+'Data Inputs'!$G9+'Data Inputs'!$H9+'Data Inputs'!$I9)*'Data Inputs'!$I33*12</f>
        <v>0</v>
      </c>
      <c r="AB10" s="24">
        <f>('Data Inputs'!$E9+'Data Inputs'!$F9+'Data Inputs'!$G9+'Data Inputs'!$H9+'Data Inputs'!$I9)*'Data Inputs'!$I33*12</f>
        <v>0</v>
      </c>
    </row>
    <row r="11" spans="1:29" x14ac:dyDescent="0.2">
      <c r="B11" s="5" t="s">
        <v>175</v>
      </c>
      <c r="C11" s="24">
        <f t="shared" si="2"/>
        <v>0</v>
      </c>
      <c r="D11" s="24">
        <f>('Data Inputs'!E10/2)*'Data Inputs'!E33*12</f>
        <v>0</v>
      </c>
      <c r="E11" s="24">
        <f>('Data Inputs'!E10+('Data Inputs'!F10/2))*'Data Inputs'!F33*12</f>
        <v>0</v>
      </c>
      <c r="F11" s="24">
        <f>('Data Inputs'!E10+'Data Inputs'!F10+('Data Inputs'!G10/2))*'Data Inputs'!G33*12</f>
        <v>0</v>
      </c>
      <c r="G11" s="24">
        <f>('Data Inputs'!E10+'Data Inputs'!F10+'Data Inputs'!G10+('Data Inputs'!H10/2))*'Data Inputs'!H33*12</f>
        <v>0</v>
      </c>
      <c r="H11" s="24">
        <f>('Data Inputs'!$E10+'Data Inputs'!$F10+'Data Inputs'!$G10+'Data Inputs'!$H10+('Data Inputs'!$I10/2))*'Data Inputs'!$I33*12</f>
        <v>0</v>
      </c>
      <c r="I11" s="24">
        <f>('Data Inputs'!$E10+'Data Inputs'!$F10+'Data Inputs'!$G10+'Data Inputs'!$H10+'Data Inputs'!$I10)*'Data Inputs'!$I33*12</f>
        <v>0</v>
      </c>
      <c r="J11" s="24">
        <f>('Data Inputs'!$E10+'Data Inputs'!$F10+'Data Inputs'!$G10+'Data Inputs'!$H10+'Data Inputs'!$I10)*'Data Inputs'!$I33*12</f>
        <v>0</v>
      </c>
      <c r="K11" s="24">
        <f>('Data Inputs'!$E10+'Data Inputs'!$F10+'Data Inputs'!$G10+'Data Inputs'!$H10+'Data Inputs'!$I10)*'Data Inputs'!$I33*12</f>
        <v>0</v>
      </c>
      <c r="L11" s="24">
        <f>('Data Inputs'!$E10+'Data Inputs'!$F10+'Data Inputs'!$G10+'Data Inputs'!$H10+'Data Inputs'!$I10)*'Data Inputs'!$I33*12</f>
        <v>0</v>
      </c>
      <c r="M11" s="24">
        <f>('Data Inputs'!$E10+'Data Inputs'!$F10+'Data Inputs'!$G10+'Data Inputs'!$H10+'Data Inputs'!$I10)*'Data Inputs'!$I33*12</f>
        <v>0</v>
      </c>
      <c r="N11" s="24">
        <f>('Data Inputs'!$E10+'Data Inputs'!$F10+'Data Inputs'!$G10+'Data Inputs'!$H10+'Data Inputs'!$I10)*'Data Inputs'!$I33*12</f>
        <v>0</v>
      </c>
      <c r="O11" s="24">
        <f>('Data Inputs'!$E10+'Data Inputs'!$F10+'Data Inputs'!$G10+'Data Inputs'!$H10+'Data Inputs'!$I10)*'Data Inputs'!$I33*12</f>
        <v>0</v>
      </c>
      <c r="P11" s="24">
        <f>('Data Inputs'!$E10+'Data Inputs'!$F10+'Data Inputs'!$G10+'Data Inputs'!$H10+'Data Inputs'!$I10)*'Data Inputs'!$I33*12</f>
        <v>0</v>
      </c>
      <c r="Q11" s="24">
        <f>('Data Inputs'!$E10+'Data Inputs'!$F10+'Data Inputs'!$G10+'Data Inputs'!$H10+'Data Inputs'!$I10)*'Data Inputs'!$I33*12</f>
        <v>0</v>
      </c>
      <c r="R11" s="24">
        <f>('Data Inputs'!$E10+'Data Inputs'!$F10+'Data Inputs'!$G10+'Data Inputs'!$H10+'Data Inputs'!$I10)*'Data Inputs'!$I33*12</f>
        <v>0</v>
      </c>
      <c r="S11" s="24">
        <f>('Data Inputs'!$E10+'Data Inputs'!$F10+'Data Inputs'!$G10+'Data Inputs'!$H10+'Data Inputs'!$I10)*'Data Inputs'!$I33*12</f>
        <v>0</v>
      </c>
      <c r="T11" s="24">
        <f>('Data Inputs'!$E10+'Data Inputs'!$F10+'Data Inputs'!$G10+'Data Inputs'!$H10+'Data Inputs'!$I10)*'Data Inputs'!$I33*12</f>
        <v>0</v>
      </c>
      <c r="U11" s="24">
        <f>('Data Inputs'!$E10+'Data Inputs'!$F10+'Data Inputs'!$G10+'Data Inputs'!$H10+'Data Inputs'!$I10)*'Data Inputs'!$I33*12</f>
        <v>0</v>
      </c>
      <c r="V11" s="24">
        <f>('Data Inputs'!$E10+'Data Inputs'!$F10+'Data Inputs'!$G10+'Data Inputs'!$H10+'Data Inputs'!$I10)*'Data Inputs'!$I33*12</f>
        <v>0</v>
      </c>
      <c r="W11" s="24">
        <f>('Data Inputs'!$E10+'Data Inputs'!$F10+'Data Inputs'!$G10+'Data Inputs'!$H10+'Data Inputs'!$I10)*'Data Inputs'!$I33*12</f>
        <v>0</v>
      </c>
      <c r="X11" s="24">
        <f>('Data Inputs'!$E10+'Data Inputs'!$F10+'Data Inputs'!$G10+'Data Inputs'!$H10+'Data Inputs'!$I10)*'Data Inputs'!$I33*12</f>
        <v>0</v>
      </c>
      <c r="Y11" s="24">
        <f>('Data Inputs'!$E10+'Data Inputs'!$F10+'Data Inputs'!$G10+'Data Inputs'!$H10+'Data Inputs'!$I10)*'Data Inputs'!$I33*12</f>
        <v>0</v>
      </c>
      <c r="Z11" s="24">
        <f>('Data Inputs'!$E10+'Data Inputs'!$F10+'Data Inputs'!$G10+'Data Inputs'!$H10+'Data Inputs'!$I10)*'Data Inputs'!$I33*12</f>
        <v>0</v>
      </c>
      <c r="AA11" s="24">
        <f>('Data Inputs'!$E10+'Data Inputs'!$F10+'Data Inputs'!$G10+'Data Inputs'!$H10+'Data Inputs'!$I10)*'Data Inputs'!$I33*12</f>
        <v>0</v>
      </c>
      <c r="AB11" s="24">
        <f>('Data Inputs'!$E10+'Data Inputs'!$F10+'Data Inputs'!$G10+'Data Inputs'!$H10+'Data Inputs'!$I10)*'Data Inputs'!$I33*12</f>
        <v>0</v>
      </c>
    </row>
    <row r="12" spans="1:29" x14ac:dyDescent="0.2">
      <c r="B12" s="5" t="s">
        <v>7</v>
      </c>
      <c r="C12" s="24">
        <f t="shared" si="2"/>
        <v>0</v>
      </c>
      <c r="D12" s="24">
        <f>('Data Inputs'!E11/2)*'Data Inputs'!E35*12</f>
        <v>0</v>
      </c>
      <c r="E12" s="24">
        <f>('Data Inputs'!E11+('Data Inputs'!F11/2))*'Data Inputs'!F35*12</f>
        <v>0</v>
      </c>
      <c r="F12" s="24">
        <f>('Data Inputs'!E11+'Data Inputs'!F11+('Data Inputs'!G11/2))*'Data Inputs'!G35*12</f>
        <v>0</v>
      </c>
      <c r="G12" s="24">
        <f>('Data Inputs'!E11+'Data Inputs'!F11+'Data Inputs'!G11+('Data Inputs'!H11/2))*'Data Inputs'!H35*12</f>
        <v>0</v>
      </c>
      <c r="H12" s="24">
        <f>('Data Inputs'!$E11+'Data Inputs'!$F11+'Data Inputs'!$G11+'Data Inputs'!$H11+('Data Inputs'!$I11/2))*'Data Inputs'!$I35*12</f>
        <v>0</v>
      </c>
      <c r="I12" s="24">
        <f>('Data Inputs'!$E11+'Data Inputs'!$F11+'Data Inputs'!$G11+'Data Inputs'!$H11+'Data Inputs'!$I11)*'Data Inputs'!$I35*12</f>
        <v>0</v>
      </c>
      <c r="J12" s="24">
        <f>('Data Inputs'!$E11+'Data Inputs'!$F11+'Data Inputs'!$G11+'Data Inputs'!$H11+'Data Inputs'!$I11)*'Data Inputs'!$I35*12</f>
        <v>0</v>
      </c>
      <c r="K12" s="24">
        <f>('Data Inputs'!$E11+'Data Inputs'!$F11+'Data Inputs'!$G11+'Data Inputs'!$H11+'Data Inputs'!$I11)*'Data Inputs'!$I35*12</f>
        <v>0</v>
      </c>
      <c r="L12" s="24">
        <f>('Data Inputs'!$E11+'Data Inputs'!$F11+'Data Inputs'!$G11+'Data Inputs'!$H11+'Data Inputs'!$I11)*'Data Inputs'!$I35*12</f>
        <v>0</v>
      </c>
      <c r="M12" s="24">
        <f>('Data Inputs'!$E11+'Data Inputs'!$F11+'Data Inputs'!$G11+'Data Inputs'!$H11+'Data Inputs'!$I11)*'Data Inputs'!$I35*12</f>
        <v>0</v>
      </c>
      <c r="N12" s="24">
        <f>('Data Inputs'!$E11+'Data Inputs'!$F11+'Data Inputs'!$G11+'Data Inputs'!$H11+'Data Inputs'!$I11)*'Data Inputs'!$I35*12</f>
        <v>0</v>
      </c>
      <c r="O12" s="24">
        <f>('Data Inputs'!$E11+'Data Inputs'!$F11+'Data Inputs'!$G11+'Data Inputs'!$H11+'Data Inputs'!$I11)*'Data Inputs'!$I35*12</f>
        <v>0</v>
      </c>
      <c r="P12" s="24">
        <f>('Data Inputs'!$E11+'Data Inputs'!$F11+'Data Inputs'!$G11+'Data Inputs'!$H11+'Data Inputs'!$I11)*'Data Inputs'!$I35*12</f>
        <v>0</v>
      </c>
      <c r="Q12" s="24">
        <f>('Data Inputs'!$E11+'Data Inputs'!$F11+'Data Inputs'!$G11+'Data Inputs'!$H11+'Data Inputs'!$I11)*'Data Inputs'!$I35*12</f>
        <v>0</v>
      </c>
      <c r="R12" s="24">
        <f>('Data Inputs'!$E11+'Data Inputs'!$F11+'Data Inputs'!$G11+'Data Inputs'!$H11+'Data Inputs'!$I11)*'Data Inputs'!$I35*12</f>
        <v>0</v>
      </c>
      <c r="S12" s="24">
        <f>('Data Inputs'!$E11+'Data Inputs'!$F11+'Data Inputs'!$G11+'Data Inputs'!$H11+'Data Inputs'!$I11)*'Data Inputs'!$I35*12</f>
        <v>0</v>
      </c>
      <c r="T12" s="24">
        <f>('Data Inputs'!$E11+'Data Inputs'!$F11+'Data Inputs'!$G11+'Data Inputs'!$H11+'Data Inputs'!$I11)*'Data Inputs'!$I35*12</f>
        <v>0</v>
      </c>
      <c r="U12" s="24">
        <f>('Data Inputs'!$E11+'Data Inputs'!$F11+'Data Inputs'!$G11+'Data Inputs'!$H11+'Data Inputs'!$I11)*'Data Inputs'!$I35*12</f>
        <v>0</v>
      </c>
      <c r="V12" s="24">
        <f>('Data Inputs'!$E11+'Data Inputs'!$F11+'Data Inputs'!$G11+'Data Inputs'!$H11+'Data Inputs'!$I11)*'Data Inputs'!$I35*12</f>
        <v>0</v>
      </c>
      <c r="W12" s="24">
        <f>('Data Inputs'!$E11+'Data Inputs'!$F11+'Data Inputs'!$G11+'Data Inputs'!$H11+'Data Inputs'!$I11)*'Data Inputs'!$I35*12</f>
        <v>0</v>
      </c>
      <c r="X12" s="24">
        <f>('Data Inputs'!$E11+'Data Inputs'!$F11+'Data Inputs'!$G11+'Data Inputs'!$H11+'Data Inputs'!$I11)*'Data Inputs'!$I35*12</f>
        <v>0</v>
      </c>
      <c r="Y12" s="24">
        <f>('Data Inputs'!$E11+'Data Inputs'!$F11+'Data Inputs'!$G11+'Data Inputs'!$H11+'Data Inputs'!$I11)*'Data Inputs'!$I35*12</f>
        <v>0</v>
      </c>
      <c r="Z12" s="24">
        <f>('Data Inputs'!$E11+'Data Inputs'!$F11+'Data Inputs'!$G11+'Data Inputs'!$H11+'Data Inputs'!$I11)*'Data Inputs'!$I35*12</f>
        <v>0</v>
      </c>
      <c r="AA12" s="24">
        <f>('Data Inputs'!$E11+'Data Inputs'!$F11+'Data Inputs'!$G11+'Data Inputs'!$H11+'Data Inputs'!$I11)*'Data Inputs'!$I35*12</f>
        <v>0</v>
      </c>
      <c r="AB12" s="24">
        <f>('Data Inputs'!$E11+'Data Inputs'!$F11+'Data Inputs'!$G11+'Data Inputs'!$H11+'Data Inputs'!$I11)*'Data Inputs'!$I35*12</f>
        <v>0</v>
      </c>
    </row>
    <row r="13" spans="1:29" x14ac:dyDescent="0.2">
      <c r="B13" s="5" t="s">
        <v>83</v>
      </c>
      <c r="C13" s="24">
        <f t="shared" si="2"/>
        <v>0</v>
      </c>
      <c r="D13" s="24">
        <f>('Data Inputs'!E12/2)*'Data Inputs'!E36*12</f>
        <v>0</v>
      </c>
      <c r="E13" s="24">
        <f>('Data Inputs'!E12+('Data Inputs'!F12/2))*'Data Inputs'!F36*12</f>
        <v>0</v>
      </c>
      <c r="F13" s="24">
        <f>('Data Inputs'!E12+'Data Inputs'!F12+('Data Inputs'!G12/2))*'Data Inputs'!G36*12</f>
        <v>0</v>
      </c>
      <c r="G13" s="24">
        <f>('Data Inputs'!E12+'Data Inputs'!F12+'Data Inputs'!G12+('Data Inputs'!H12/2))*'Data Inputs'!H36*12</f>
        <v>0</v>
      </c>
      <c r="H13" s="24">
        <f>('Data Inputs'!$E12+'Data Inputs'!$F12+'Data Inputs'!$G12+'Data Inputs'!$H12+('Data Inputs'!$I12/2))*'Data Inputs'!$I36*12</f>
        <v>0</v>
      </c>
      <c r="I13" s="24">
        <f>('Data Inputs'!$E12+'Data Inputs'!$F12+'Data Inputs'!$G12+'Data Inputs'!$H12+'Data Inputs'!$I12)*'Data Inputs'!$I36*12</f>
        <v>0</v>
      </c>
      <c r="J13" s="24">
        <f>('Data Inputs'!$E12+'Data Inputs'!$F12+'Data Inputs'!$G12+'Data Inputs'!$H12+'Data Inputs'!$I12)*'Data Inputs'!$I36*12</f>
        <v>0</v>
      </c>
      <c r="K13" s="24">
        <f>('Data Inputs'!$E12+'Data Inputs'!$F12+'Data Inputs'!$G12+'Data Inputs'!$H12+'Data Inputs'!$I12)*'Data Inputs'!$I36*12</f>
        <v>0</v>
      </c>
      <c r="L13" s="24">
        <f>('Data Inputs'!$E12+'Data Inputs'!$F12+'Data Inputs'!$G12+'Data Inputs'!$H12+'Data Inputs'!$I12)*'Data Inputs'!$I36*12</f>
        <v>0</v>
      </c>
      <c r="M13" s="24">
        <f>('Data Inputs'!$E12+'Data Inputs'!$F12+'Data Inputs'!$G12+'Data Inputs'!$H12+'Data Inputs'!$I12)*'Data Inputs'!$I36*12</f>
        <v>0</v>
      </c>
      <c r="N13" s="24">
        <f>('Data Inputs'!$E12+'Data Inputs'!$F12+'Data Inputs'!$G12+'Data Inputs'!$H12+'Data Inputs'!$I12)*'Data Inputs'!$I36*12</f>
        <v>0</v>
      </c>
      <c r="O13" s="24">
        <f>('Data Inputs'!$E12+'Data Inputs'!$F12+'Data Inputs'!$G12+'Data Inputs'!$H12+'Data Inputs'!$I12)*'Data Inputs'!$I36*12</f>
        <v>0</v>
      </c>
      <c r="P13" s="24">
        <f>('Data Inputs'!$E12+'Data Inputs'!$F12+'Data Inputs'!$G12+'Data Inputs'!$H12+'Data Inputs'!$I12)*'Data Inputs'!$I36*12</f>
        <v>0</v>
      </c>
      <c r="Q13" s="24">
        <f>('Data Inputs'!$E12+'Data Inputs'!$F12+'Data Inputs'!$G12+'Data Inputs'!$H12+'Data Inputs'!$I12)*'Data Inputs'!$I36*12</f>
        <v>0</v>
      </c>
      <c r="R13" s="24">
        <f>('Data Inputs'!$E12+'Data Inputs'!$F12+'Data Inputs'!$G12+'Data Inputs'!$H12+'Data Inputs'!$I12)*'Data Inputs'!$I36*12</f>
        <v>0</v>
      </c>
      <c r="S13" s="24">
        <f>('Data Inputs'!$E12+'Data Inputs'!$F12+'Data Inputs'!$G12+'Data Inputs'!$H12+'Data Inputs'!$I12)*'Data Inputs'!$I36*12</f>
        <v>0</v>
      </c>
      <c r="T13" s="24">
        <f>('Data Inputs'!$E12+'Data Inputs'!$F12+'Data Inputs'!$G12+'Data Inputs'!$H12+'Data Inputs'!$I12)*'Data Inputs'!$I36*12</f>
        <v>0</v>
      </c>
      <c r="U13" s="24">
        <f>('Data Inputs'!$E12+'Data Inputs'!$F12+'Data Inputs'!$G12+'Data Inputs'!$H12+'Data Inputs'!$I12)*'Data Inputs'!$I36*12</f>
        <v>0</v>
      </c>
      <c r="V13" s="24">
        <f>('Data Inputs'!$E12+'Data Inputs'!$F12+'Data Inputs'!$G12+'Data Inputs'!$H12+'Data Inputs'!$I12)*'Data Inputs'!$I36*12</f>
        <v>0</v>
      </c>
      <c r="W13" s="24">
        <f>('Data Inputs'!$E12+'Data Inputs'!$F12+'Data Inputs'!$G12+'Data Inputs'!$H12+'Data Inputs'!$I12)*'Data Inputs'!$I36*12</f>
        <v>0</v>
      </c>
      <c r="X13" s="24">
        <f>('Data Inputs'!$E12+'Data Inputs'!$F12+'Data Inputs'!$G12+'Data Inputs'!$H12+'Data Inputs'!$I12)*'Data Inputs'!$I36*12</f>
        <v>0</v>
      </c>
      <c r="Y13" s="24">
        <f>('Data Inputs'!$E12+'Data Inputs'!$F12+'Data Inputs'!$G12+'Data Inputs'!$H12+'Data Inputs'!$I12)*'Data Inputs'!$I36*12</f>
        <v>0</v>
      </c>
      <c r="Z13" s="24">
        <f>('Data Inputs'!$E12+'Data Inputs'!$F12+'Data Inputs'!$G12+'Data Inputs'!$H12+'Data Inputs'!$I12)*'Data Inputs'!$I36*12</f>
        <v>0</v>
      </c>
      <c r="AA13" s="24">
        <f>('Data Inputs'!$E12+'Data Inputs'!$F12+'Data Inputs'!$G12+'Data Inputs'!$H12+'Data Inputs'!$I12)*'Data Inputs'!$I36*12</f>
        <v>0</v>
      </c>
      <c r="AB13" s="24">
        <f>('Data Inputs'!$E12+'Data Inputs'!$F12+'Data Inputs'!$G12+'Data Inputs'!$H12+'Data Inputs'!$I12)*'Data Inputs'!$I36*12</f>
        <v>0</v>
      </c>
    </row>
    <row r="14" spans="1:29" x14ac:dyDescent="0.2">
      <c r="B14" s="5" t="s">
        <v>83</v>
      </c>
      <c r="C14" s="24">
        <f t="shared" si="2"/>
        <v>0</v>
      </c>
      <c r="D14" s="24">
        <f>('Data Inputs'!E13/2)*'Data Inputs'!E37*12</f>
        <v>0</v>
      </c>
      <c r="E14" s="24">
        <f>('Data Inputs'!E13+('Data Inputs'!F13/2))*'Data Inputs'!F37*12</f>
        <v>0</v>
      </c>
      <c r="F14" s="24">
        <f>('Data Inputs'!E13+'Data Inputs'!F13+('Data Inputs'!G13/2))*'Data Inputs'!G37*12</f>
        <v>0</v>
      </c>
      <c r="G14" s="24">
        <f>('Data Inputs'!E13+'Data Inputs'!F13+'Data Inputs'!G13+('Data Inputs'!H13/2))*'Data Inputs'!H37*12</f>
        <v>0</v>
      </c>
      <c r="H14" s="24">
        <f>('Data Inputs'!$E13+'Data Inputs'!$F13+'Data Inputs'!$G13+'Data Inputs'!$H13+('Data Inputs'!$I13/2))*'Data Inputs'!$I37*12</f>
        <v>0</v>
      </c>
      <c r="I14" s="24">
        <f>('Data Inputs'!$E13+'Data Inputs'!$F13+'Data Inputs'!$G13+'Data Inputs'!$H13+'Data Inputs'!$I13)*'Data Inputs'!$I37*12</f>
        <v>0</v>
      </c>
      <c r="J14" s="24">
        <f>('Data Inputs'!$E13+'Data Inputs'!$F13+'Data Inputs'!$G13+'Data Inputs'!$H13+'Data Inputs'!$I13)*'Data Inputs'!$I37*12</f>
        <v>0</v>
      </c>
      <c r="K14" s="24">
        <f>('Data Inputs'!$E13+'Data Inputs'!$F13+'Data Inputs'!$G13+'Data Inputs'!$H13+'Data Inputs'!$I13)*'Data Inputs'!$I37*12</f>
        <v>0</v>
      </c>
      <c r="L14" s="24">
        <f>('Data Inputs'!$E13+'Data Inputs'!$F13+'Data Inputs'!$G13+'Data Inputs'!$H13+'Data Inputs'!$I13)*'Data Inputs'!$I37*12</f>
        <v>0</v>
      </c>
      <c r="M14" s="24">
        <f>('Data Inputs'!$E13+'Data Inputs'!$F13+'Data Inputs'!$G13+'Data Inputs'!$H13+'Data Inputs'!$I13)*'Data Inputs'!$I37*12</f>
        <v>0</v>
      </c>
      <c r="N14" s="24">
        <f>('Data Inputs'!$E13+'Data Inputs'!$F13+'Data Inputs'!$G13+'Data Inputs'!$H13+'Data Inputs'!$I13)*'Data Inputs'!$I37*12</f>
        <v>0</v>
      </c>
      <c r="O14" s="24">
        <f>('Data Inputs'!$E13+'Data Inputs'!$F13+'Data Inputs'!$G13+'Data Inputs'!$H13+'Data Inputs'!$I13)*'Data Inputs'!$I37*12</f>
        <v>0</v>
      </c>
      <c r="P14" s="24">
        <f>('Data Inputs'!$E13+'Data Inputs'!$F13+'Data Inputs'!$G13+'Data Inputs'!$H13+'Data Inputs'!$I13)*'Data Inputs'!$I37*12</f>
        <v>0</v>
      </c>
      <c r="Q14" s="24">
        <f>('Data Inputs'!$E13+'Data Inputs'!$F13+'Data Inputs'!$G13+'Data Inputs'!$H13+'Data Inputs'!$I13)*'Data Inputs'!$I37*12</f>
        <v>0</v>
      </c>
      <c r="R14" s="24">
        <f>('Data Inputs'!$E13+'Data Inputs'!$F13+'Data Inputs'!$G13+'Data Inputs'!$H13+'Data Inputs'!$I13)*'Data Inputs'!$I37*12</f>
        <v>0</v>
      </c>
      <c r="S14" s="24">
        <f>('Data Inputs'!$E13+'Data Inputs'!$F13+'Data Inputs'!$G13+'Data Inputs'!$H13+'Data Inputs'!$I13)*'Data Inputs'!$I37*12</f>
        <v>0</v>
      </c>
      <c r="T14" s="24">
        <f>('Data Inputs'!$E13+'Data Inputs'!$F13+'Data Inputs'!$G13+'Data Inputs'!$H13+'Data Inputs'!$I13)*'Data Inputs'!$I37*12</f>
        <v>0</v>
      </c>
      <c r="U14" s="24">
        <f>('Data Inputs'!$E13+'Data Inputs'!$F13+'Data Inputs'!$G13+'Data Inputs'!$H13+'Data Inputs'!$I13)*'Data Inputs'!$I37*12</f>
        <v>0</v>
      </c>
      <c r="V14" s="24">
        <f>('Data Inputs'!$E13+'Data Inputs'!$F13+'Data Inputs'!$G13+'Data Inputs'!$H13+'Data Inputs'!$I13)*'Data Inputs'!$I37*12</f>
        <v>0</v>
      </c>
      <c r="W14" s="24">
        <f>('Data Inputs'!$E13+'Data Inputs'!$F13+'Data Inputs'!$G13+'Data Inputs'!$H13+'Data Inputs'!$I13)*'Data Inputs'!$I37*12</f>
        <v>0</v>
      </c>
      <c r="X14" s="24">
        <f>('Data Inputs'!$E13+'Data Inputs'!$F13+'Data Inputs'!$G13+'Data Inputs'!$H13+'Data Inputs'!$I13)*'Data Inputs'!$I37*12</f>
        <v>0</v>
      </c>
      <c r="Y14" s="24">
        <f>('Data Inputs'!$E13+'Data Inputs'!$F13+'Data Inputs'!$G13+'Data Inputs'!$H13+'Data Inputs'!$I13)*'Data Inputs'!$I37*12</f>
        <v>0</v>
      </c>
      <c r="Z14" s="24">
        <f>('Data Inputs'!$E13+'Data Inputs'!$F13+'Data Inputs'!$G13+'Data Inputs'!$H13+'Data Inputs'!$I13)*'Data Inputs'!$I37*12</f>
        <v>0</v>
      </c>
      <c r="AA14" s="24">
        <f>('Data Inputs'!$E13+'Data Inputs'!$F13+'Data Inputs'!$G13+'Data Inputs'!$H13+'Data Inputs'!$I13)*'Data Inputs'!$I37*12</f>
        <v>0</v>
      </c>
      <c r="AB14" s="24">
        <f>('Data Inputs'!$E13+'Data Inputs'!$F13+'Data Inputs'!$G13+'Data Inputs'!$H13+'Data Inputs'!$I13)*'Data Inputs'!$I37*12</f>
        <v>0</v>
      </c>
    </row>
    <row r="15" spans="1:29" x14ac:dyDescent="0.2">
      <c r="B15" s="5" t="s">
        <v>84</v>
      </c>
      <c r="C15" s="24">
        <f t="shared" si="2"/>
        <v>0</v>
      </c>
      <c r="D15" s="24">
        <f>('Data Inputs'!E14/2)*'Data Inputs'!E38*12</f>
        <v>0</v>
      </c>
      <c r="E15" s="24">
        <f>('Data Inputs'!E14+('Data Inputs'!F14/2))*'Data Inputs'!F38*12</f>
        <v>0</v>
      </c>
      <c r="F15" s="24">
        <f>('Data Inputs'!E14+'Data Inputs'!F14+('Data Inputs'!G14/2))*'Data Inputs'!G38*12</f>
        <v>0</v>
      </c>
      <c r="G15" s="24">
        <f>('Data Inputs'!E14+'Data Inputs'!F14+'Data Inputs'!G14+('Data Inputs'!H14/2))*'Data Inputs'!H38*12</f>
        <v>0</v>
      </c>
      <c r="H15" s="24">
        <f>('Data Inputs'!$E14+'Data Inputs'!$F14+'Data Inputs'!$G14+'Data Inputs'!$H14+('Data Inputs'!$I14/2))*'Data Inputs'!$I38*12</f>
        <v>0</v>
      </c>
      <c r="I15" s="24">
        <f>('Data Inputs'!$E14+'Data Inputs'!$F14+'Data Inputs'!$G14+'Data Inputs'!$H14+'Data Inputs'!$I14)*'Data Inputs'!$I38*12</f>
        <v>0</v>
      </c>
      <c r="J15" s="24">
        <f>('Data Inputs'!$E14+'Data Inputs'!$F14+'Data Inputs'!$G14+'Data Inputs'!$H14+'Data Inputs'!$I14)*'Data Inputs'!$I38*12</f>
        <v>0</v>
      </c>
      <c r="K15" s="24">
        <f>('Data Inputs'!$E14+'Data Inputs'!$F14+'Data Inputs'!$G14+'Data Inputs'!$H14+'Data Inputs'!$I14)*'Data Inputs'!$I38*12</f>
        <v>0</v>
      </c>
      <c r="L15" s="24">
        <f>('Data Inputs'!$E14+'Data Inputs'!$F14+'Data Inputs'!$G14+'Data Inputs'!$H14+'Data Inputs'!$I14)*'Data Inputs'!$I38*12</f>
        <v>0</v>
      </c>
      <c r="M15" s="24">
        <f>('Data Inputs'!$E14+'Data Inputs'!$F14+'Data Inputs'!$G14+'Data Inputs'!$H14+'Data Inputs'!$I14)*'Data Inputs'!$I38*12</f>
        <v>0</v>
      </c>
      <c r="N15" s="24">
        <f>('Data Inputs'!$E14+'Data Inputs'!$F14+'Data Inputs'!$G14+'Data Inputs'!$H14+'Data Inputs'!$I14)*'Data Inputs'!$I38*12</f>
        <v>0</v>
      </c>
      <c r="O15" s="24">
        <f>('Data Inputs'!$E14+'Data Inputs'!$F14+'Data Inputs'!$G14+'Data Inputs'!$H14+'Data Inputs'!$I14)*'Data Inputs'!$I38*12</f>
        <v>0</v>
      </c>
      <c r="P15" s="24">
        <f>('Data Inputs'!$E14+'Data Inputs'!$F14+'Data Inputs'!$G14+'Data Inputs'!$H14+'Data Inputs'!$I14)*'Data Inputs'!$I38*12</f>
        <v>0</v>
      </c>
      <c r="Q15" s="24">
        <f>('Data Inputs'!$E14+'Data Inputs'!$F14+'Data Inputs'!$G14+'Data Inputs'!$H14+'Data Inputs'!$I14)*'Data Inputs'!$I38*12</f>
        <v>0</v>
      </c>
      <c r="R15" s="24">
        <f>('Data Inputs'!$E14+'Data Inputs'!$F14+'Data Inputs'!$G14+'Data Inputs'!$H14+'Data Inputs'!$I14)*'Data Inputs'!$I38*12</f>
        <v>0</v>
      </c>
      <c r="S15" s="24">
        <f>('Data Inputs'!$E14+'Data Inputs'!$F14+'Data Inputs'!$G14+'Data Inputs'!$H14+'Data Inputs'!$I14)*'Data Inputs'!$I38*12</f>
        <v>0</v>
      </c>
      <c r="T15" s="24">
        <f>('Data Inputs'!$E14+'Data Inputs'!$F14+'Data Inputs'!$G14+'Data Inputs'!$H14+'Data Inputs'!$I14)*'Data Inputs'!$I38*12</f>
        <v>0</v>
      </c>
      <c r="U15" s="24">
        <f>('Data Inputs'!$E14+'Data Inputs'!$F14+'Data Inputs'!$G14+'Data Inputs'!$H14+'Data Inputs'!$I14)*'Data Inputs'!$I38*12</f>
        <v>0</v>
      </c>
      <c r="V15" s="24">
        <f>('Data Inputs'!$E14+'Data Inputs'!$F14+'Data Inputs'!$G14+'Data Inputs'!$H14+'Data Inputs'!$I14)*'Data Inputs'!$I38*12</f>
        <v>0</v>
      </c>
      <c r="W15" s="24">
        <f>('Data Inputs'!$E14+'Data Inputs'!$F14+'Data Inputs'!$G14+'Data Inputs'!$H14+'Data Inputs'!$I14)*'Data Inputs'!$I38*12</f>
        <v>0</v>
      </c>
      <c r="X15" s="24">
        <f>('Data Inputs'!$E14+'Data Inputs'!$F14+'Data Inputs'!$G14+'Data Inputs'!$H14+'Data Inputs'!$I14)*'Data Inputs'!$I38*12</f>
        <v>0</v>
      </c>
      <c r="Y15" s="24">
        <f>('Data Inputs'!$E14+'Data Inputs'!$F14+'Data Inputs'!$G14+'Data Inputs'!$H14+'Data Inputs'!$I14)*'Data Inputs'!$I38*12</f>
        <v>0</v>
      </c>
      <c r="Z15" s="24">
        <f>('Data Inputs'!$E14+'Data Inputs'!$F14+'Data Inputs'!$G14+'Data Inputs'!$H14+'Data Inputs'!$I14)*'Data Inputs'!$I38*12</f>
        <v>0</v>
      </c>
      <c r="AA15" s="24">
        <f>('Data Inputs'!$E14+'Data Inputs'!$F14+'Data Inputs'!$G14+'Data Inputs'!$H14+'Data Inputs'!$I14)*'Data Inputs'!$I38*12</f>
        <v>0</v>
      </c>
      <c r="AB15" s="24">
        <f>('Data Inputs'!$E14+'Data Inputs'!$F14+'Data Inputs'!$G14+'Data Inputs'!$H14+'Data Inputs'!$I14)*'Data Inputs'!$I38*12</f>
        <v>0</v>
      </c>
    </row>
    <row r="16" spans="1:29" x14ac:dyDescent="0.2">
      <c r="B16" s="5" t="s">
        <v>84</v>
      </c>
      <c r="C16" s="24">
        <f t="shared" si="2"/>
        <v>0</v>
      </c>
      <c r="D16" s="24">
        <f>('Data Inputs'!E15/2)*'Data Inputs'!E39*12</f>
        <v>0</v>
      </c>
      <c r="E16" s="24">
        <f>('Data Inputs'!E15+('Data Inputs'!F15/2))*'Data Inputs'!F39*12</f>
        <v>0</v>
      </c>
      <c r="F16" s="24">
        <f>('Data Inputs'!E15+'Data Inputs'!F15+('Data Inputs'!G15/2))*'Data Inputs'!G39*12</f>
        <v>0</v>
      </c>
      <c r="G16" s="24">
        <f>('Data Inputs'!E15+'Data Inputs'!F15+'Data Inputs'!G15+('Data Inputs'!H15/2))*'Data Inputs'!H39*12</f>
        <v>0</v>
      </c>
      <c r="H16" s="24">
        <f>('Data Inputs'!$E15+'Data Inputs'!$F15+'Data Inputs'!$G15+'Data Inputs'!$H15+('Data Inputs'!$I15/2))*'Data Inputs'!$I39*12</f>
        <v>0</v>
      </c>
      <c r="I16" s="24">
        <f>('Data Inputs'!$E15+'Data Inputs'!$F15+'Data Inputs'!$G15+'Data Inputs'!$H15+'Data Inputs'!$I15)*'Data Inputs'!$I39*12</f>
        <v>0</v>
      </c>
      <c r="J16" s="24">
        <f>('Data Inputs'!$E15+'Data Inputs'!$F15+'Data Inputs'!$G15+'Data Inputs'!$H15+'Data Inputs'!$I15)*'Data Inputs'!$I39*12</f>
        <v>0</v>
      </c>
      <c r="K16" s="24">
        <f>('Data Inputs'!$E15+'Data Inputs'!$F15+'Data Inputs'!$G15+'Data Inputs'!$H15+'Data Inputs'!$I15)*'Data Inputs'!$I39*12</f>
        <v>0</v>
      </c>
      <c r="L16" s="24">
        <f>('Data Inputs'!$E15+'Data Inputs'!$F15+'Data Inputs'!$G15+'Data Inputs'!$H15+'Data Inputs'!$I15)*'Data Inputs'!$I39*12</f>
        <v>0</v>
      </c>
      <c r="M16" s="24">
        <f>('Data Inputs'!$E15+'Data Inputs'!$F15+'Data Inputs'!$G15+'Data Inputs'!$H15+'Data Inputs'!$I15)*'Data Inputs'!$I39*12</f>
        <v>0</v>
      </c>
      <c r="N16" s="24">
        <f>('Data Inputs'!$E15+'Data Inputs'!$F15+'Data Inputs'!$G15+'Data Inputs'!$H15+'Data Inputs'!$I15)*'Data Inputs'!$I39*12</f>
        <v>0</v>
      </c>
      <c r="O16" s="24">
        <f>('Data Inputs'!$E15+'Data Inputs'!$F15+'Data Inputs'!$G15+'Data Inputs'!$H15+'Data Inputs'!$I15)*'Data Inputs'!$I39*12</f>
        <v>0</v>
      </c>
      <c r="P16" s="24">
        <f>('Data Inputs'!$E15+'Data Inputs'!$F15+'Data Inputs'!$G15+'Data Inputs'!$H15+'Data Inputs'!$I15)*'Data Inputs'!$I39*12</f>
        <v>0</v>
      </c>
      <c r="Q16" s="24">
        <f>('Data Inputs'!$E15+'Data Inputs'!$F15+'Data Inputs'!$G15+'Data Inputs'!$H15+'Data Inputs'!$I15)*'Data Inputs'!$I39*12</f>
        <v>0</v>
      </c>
      <c r="R16" s="24">
        <f>('Data Inputs'!$E15+'Data Inputs'!$F15+'Data Inputs'!$G15+'Data Inputs'!$H15+'Data Inputs'!$I15)*'Data Inputs'!$I39*12</f>
        <v>0</v>
      </c>
      <c r="S16" s="24">
        <f>('Data Inputs'!$E15+'Data Inputs'!$F15+'Data Inputs'!$G15+'Data Inputs'!$H15+'Data Inputs'!$I15)*'Data Inputs'!$I39*12</f>
        <v>0</v>
      </c>
      <c r="T16" s="24">
        <f>('Data Inputs'!$E15+'Data Inputs'!$F15+'Data Inputs'!$G15+'Data Inputs'!$H15+'Data Inputs'!$I15)*'Data Inputs'!$I39*12</f>
        <v>0</v>
      </c>
      <c r="U16" s="24">
        <f>('Data Inputs'!$E15+'Data Inputs'!$F15+'Data Inputs'!$G15+'Data Inputs'!$H15+'Data Inputs'!$I15)*'Data Inputs'!$I39*12</f>
        <v>0</v>
      </c>
      <c r="V16" s="24">
        <f>('Data Inputs'!$E15+'Data Inputs'!$F15+'Data Inputs'!$G15+'Data Inputs'!$H15+'Data Inputs'!$I15)*'Data Inputs'!$I39*12</f>
        <v>0</v>
      </c>
      <c r="W16" s="24">
        <f>('Data Inputs'!$E15+'Data Inputs'!$F15+'Data Inputs'!$G15+'Data Inputs'!$H15+'Data Inputs'!$I15)*'Data Inputs'!$I39*12</f>
        <v>0</v>
      </c>
      <c r="X16" s="24">
        <f>('Data Inputs'!$E15+'Data Inputs'!$F15+'Data Inputs'!$G15+'Data Inputs'!$H15+'Data Inputs'!$I15)*'Data Inputs'!$I39*12</f>
        <v>0</v>
      </c>
      <c r="Y16" s="24">
        <f>('Data Inputs'!$E15+'Data Inputs'!$F15+'Data Inputs'!$G15+'Data Inputs'!$H15+'Data Inputs'!$I15)*'Data Inputs'!$I39*12</f>
        <v>0</v>
      </c>
      <c r="Z16" s="24">
        <f>('Data Inputs'!$E15+'Data Inputs'!$F15+'Data Inputs'!$G15+'Data Inputs'!$H15+'Data Inputs'!$I15)*'Data Inputs'!$I39*12</f>
        <v>0</v>
      </c>
      <c r="AA16" s="24">
        <f>('Data Inputs'!$E15+'Data Inputs'!$F15+'Data Inputs'!$G15+'Data Inputs'!$H15+'Data Inputs'!$I15)*'Data Inputs'!$I39*12</f>
        <v>0</v>
      </c>
      <c r="AB16" s="24">
        <f>('Data Inputs'!$E15+'Data Inputs'!$F15+'Data Inputs'!$G15+'Data Inputs'!$H15+'Data Inputs'!$I15)*'Data Inputs'!$I39*12</f>
        <v>0</v>
      </c>
    </row>
    <row r="17" spans="1:28" x14ac:dyDescent="0.2">
      <c r="B17" s="6" t="s">
        <v>16</v>
      </c>
      <c r="C17" s="57">
        <f>SUM(C8:C16)</f>
        <v>31572450</v>
      </c>
      <c r="D17" s="57">
        <f t="shared" ref="D17:AB17" si="3">SUM(D8:D16)</f>
        <v>140321.99999999997</v>
      </c>
      <c r="E17" s="57">
        <f t="shared" si="3"/>
        <v>420966</v>
      </c>
      <c r="F17" s="57">
        <f t="shared" si="3"/>
        <v>701609.99999999988</v>
      </c>
      <c r="G17" s="57">
        <f t="shared" si="3"/>
        <v>982253.99999999977</v>
      </c>
      <c r="H17" s="57">
        <f t="shared" si="3"/>
        <v>1262897.9999999998</v>
      </c>
      <c r="I17" s="57">
        <f t="shared" si="3"/>
        <v>1403219.9999999998</v>
      </c>
      <c r="J17" s="57">
        <f t="shared" si="3"/>
        <v>1403219.9999999998</v>
      </c>
      <c r="K17" s="57">
        <f t="shared" si="3"/>
        <v>1403219.9999999998</v>
      </c>
      <c r="L17" s="57">
        <f t="shared" si="3"/>
        <v>1403219.9999999998</v>
      </c>
      <c r="M17" s="57">
        <f t="shared" si="3"/>
        <v>1403219.9999999998</v>
      </c>
      <c r="N17" s="57">
        <f t="shared" si="3"/>
        <v>1403219.9999999998</v>
      </c>
      <c r="O17" s="57">
        <f t="shared" si="3"/>
        <v>1403219.9999999998</v>
      </c>
      <c r="P17" s="57">
        <f t="shared" si="3"/>
        <v>1403219.9999999998</v>
      </c>
      <c r="Q17" s="57">
        <f t="shared" si="3"/>
        <v>1403219.9999999998</v>
      </c>
      <c r="R17" s="57">
        <f t="shared" si="3"/>
        <v>1403219.9999999998</v>
      </c>
      <c r="S17" s="57">
        <f t="shared" si="3"/>
        <v>1403219.9999999998</v>
      </c>
      <c r="T17" s="57">
        <f t="shared" si="3"/>
        <v>1403219.9999999998</v>
      </c>
      <c r="U17" s="57">
        <f t="shared" si="3"/>
        <v>1403219.9999999998</v>
      </c>
      <c r="V17" s="57">
        <f t="shared" si="3"/>
        <v>1403219.9999999998</v>
      </c>
      <c r="W17" s="57">
        <f t="shared" si="3"/>
        <v>1403219.9999999998</v>
      </c>
      <c r="X17" s="57">
        <f t="shared" si="3"/>
        <v>1403219.9999999998</v>
      </c>
      <c r="Y17" s="57">
        <f t="shared" si="3"/>
        <v>1403219.9999999998</v>
      </c>
      <c r="Z17" s="57">
        <f t="shared" si="3"/>
        <v>1403219.9999999998</v>
      </c>
      <c r="AA17" s="57">
        <f t="shared" si="3"/>
        <v>1403219.9999999998</v>
      </c>
      <c r="AB17" s="57">
        <f t="shared" si="3"/>
        <v>1403219.9999999998</v>
      </c>
    </row>
    <row r="18" spans="1:28" x14ac:dyDescent="0.2">
      <c r="A18" s="4" t="s">
        <v>14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x14ac:dyDescent="0.2">
      <c r="B19" s="5" t="s">
        <v>6</v>
      </c>
      <c r="C19" s="24">
        <f t="shared" ref="C19:C27" si="4">SUM(D19:AB19)</f>
        <v>0</v>
      </c>
      <c r="D19" s="24">
        <f>('Data Inputs'!E7/2)*'Data Inputs'!E18*'Data Inputs'!E42*12</f>
        <v>0</v>
      </c>
      <c r="E19" s="24">
        <f>('Data Inputs'!E7+('Data Inputs'!F7/2))*'Data Inputs'!F18*'Data Inputs'!F42*12</f>
        <v>0</v>
      </c>
      <c r="F19" s="24">
        <f>('Data Inputs'!E7+'Data Inputs'!F7+('Data Inputs'!G7/2))*'Data Inputs'!G18*'Data Inputs'!G42*12</f>
        <v>0</v>
      </c>
      <c r="G19" s="24">
        <f>('Data Inputs'!E7+'Data Inputs'!F7+'Data Inputs'!G7+('Data Inputs'!H7/2))*'Data Inputs'!H18*'Data Inputs'!H42*12</f>
        <v>0</v>
      </c>
      <c r="H19" s="24">
        <f>('Data Inputs'!$E7+'Data Inputs'!$F7+'Data Inputs'!$G7+'Data Inputs'!$H7+('Data Inputs'!$I7/2))*'Data Inputs'!$I18*'Data Inputs'!$I42*12</f>
        <v>0</v>
      </c>
      <c r="I19" s="24">
        <f>('Data Inputs'!$E7+'Data Inputs'!$F7+'Data Inputs'!$G7+'Data Inputs'!$H7+'Data Inputs'!$I7)*'Data Inputs'!$I18*'Data Inputs'!$I42*12</f>
        <v>0</v>
      </c>
      <c r="J19" s="24">
        <f>('Data Inputs'!$E7+'Data Inputs'!$F7+'Data Inputs'!$G7+'Data Inputs'!$H7+'Data Inputs'!$I7)*'Data Inputs'!$I18*'Data Inputs'!$I42*12</f>
        <v>0</v>
      </c>
      <c r="K19" s="24">
        <f>('Data Inputs'!$E7+'Data Inputs'!$F7+'Data Inputs'!$G7+'Data Inputs'!$H7+'Data Inputs'!$I7)*'Data Inputs'!$I18*'Data Inputs'!$I42*12</f>
        <v>0</v>
      </c>
      <c r="L19" s="24">
        <f>('Data Inputs'!$E7+'Data Inputs'!$F7+'Data Inputs'!$G7+'Data Inputs'!$H7+'Data Inputs'!$I7)*'Data Inputs'!$I18*'Data Inputs'!$I42*12</f>
        <v>0</v>
      </c>
      <c r="M19" s="24">
        <f>('Data Inputs'!$E7+'Data Inputs'!$F7+'Data Inputs'!$G7+'Data Inputs'!$H7+'Data Inputs'!$I7)*'Data Inputs'!$I18*'Data Inputs'!$I42*12</f>
        <v>0</v>
      </c>
      <c r="N19" s="24">
        <f>('Data Inputs'!$E7+'Data Inputs'!$F7+'Data Inputs'!$G7+'Data Inputs'!$H7+'Data Inputs'!$I7)*'Data Inputs'!$I18*'Data Inputs'!$I42*12</f>
        <v>0</v>
      </c>
      <c r="O19" s="24">
        <f>('Data Inputs'!$E7+'Data Inputs'!$F7+'Data Inputs'!$G7+'Data Inputs'!$H7+'Data Inputs'!$I7)*'Data Inputs'!$I18*'Data Inputs'!$I42*12</f>
        <v>0</v>
      </c>
      <c r="P19" s="24">
        <f>('Data Inputs'!$E7+'Data Inputs'!$F7+'Data Inputs'!$G7+'Data Inputs'!$H7+'Data Inputs'!$I7)*'Data Inputs'!$I18*'Data Inputs'!$I42*12</f>
        <v>0</v>
      </c>
      <c r="Q19" s="24">
        <f>('Data Inputs'!$E7+'Data Inputs'!$F7+'Data Inputs'!$G7+'Data Inputs'!$H7+'Data Inputs'!$I7)*'Data Inputs'!$I18*'Data Inputs'!$I42*12</f>
        <v>0</v>
      </c>
      <c r="R19" s="24">
        <f>('Data Inputs'!$E7+'Data Inputs'!$F7+'Data Inputs'!$G7+'Data Inputs'!$H7+'Data Inputs'!$I7)*'Data Inputs'!$I18*'Data Inputs'!$I42*12</f>
        <v>0</v>
      </c>
      <c r="S19" s="24">
        <f>('Data Inputs'!$E7+'Data Inputs'!$F7+'Data Inputs'!$G7+'Data Inputs'!$H7+'Data Inputs'!$I7)*'Data Inputs'!$I18*'Data Inputs'!$I42*12</f>
        <v>0</v>
      </c>
      <c r="T19" s="24">
        <f>('Data Inputs'!$E7+'Data Inputs'!$F7+'Data Inputs'!$G7+'Data Inputs'!$H7+'Data Inputs'!$I7)*'Data Inputs'!$I18*'Data Inputs'!$I42*12</f>
        <v>0</v>
      </c>
      <c r="U19" s="24">
        <f>('Data Inputs'!$E7+'Data Inputs'!$F7+'Data Inputs'!$G7+'Data Inputs'!$H7+'Data Inputs'!$I7)*'Data Inputs'!$I18*'Data Inputs'!$I42*12</f>
        <v>0</v>
      </c>
      <c r="V19" s="24">
        <f>('Data Inputs'!$E7+'Data Inputs'!$F7+'Data Inputs'!$G7+'Data Inputs'!$H7+'Data Inputs'!$I7)*'Data Inputs'!$I18*'Data Inputs'!$I42*12</f>
        <v>0</v>
      </c>
      <c r="W19" s="24">
        <f>('Data Inputs'!$E7+'Data Inputs'!$F7+'Data Inputs'!$G7+'Data Inputs'!$H7+'Data Inputs'!$I7)*'Data Inputs'!$I18*'Data Inputs'!$I42*12</f>
        <v>0</v>
      </c>
      <c r="X19" s="24">
        <f>('Data Inputs'!$E7+'Data Inputs'!$F7+'Data Inputs'!$G7+'Data Inputs'!$H7+'Data Inputs'!$I7)*'Data Inputs'!$I18*'Data Inputs'!$I42*12</f>
        <v>0</v>
      </c>
      <c r="Y19" s="24">
        <f>('Data Inputs'!$E7+'Data Inputs'!$F7+'Data Inputs'!$G7+'Data Inputs'!$H7+'Data Inputs'!$I7)*'Data Inputs'!$I18*'Data Inputs'!$I42*12</f>
        <v>0</v>
      </c>
      <c r="Z19" s="24">
        <f>('Data Inputs'!$E7+'Data Inputs'!$F7+'Data Inputs'!$G7+'Data Inputs'!$H7+'Data Inputs'!$I7)*'Data Inputs'!$I18*'Data Inputs'!$I42*12</f>
        <v>0</v>
      </c>
      <c r="AA19" s="24">
        <f>('Data Inputs'!$E7+'Data Inputs'!$F7+'Data Inputs'!$G7+'Data Inputs'!$H7+'Data Inputs'!$I7)*'Data Inputs'!$I18*'Data Inputs'!$I42*12</f>
        <v>0</v>
      </c>
      <c r="AB19" s="24">
        <f>('Data Inputs'!$E7+'Data Inputs'!$F7+'Data Inputs'!$G7+'Data Inputs'!$H7+'Data Inputs'!$I7)*'Data Inputs'!$I18*'Data Inputs'!$I42*12</f>
        <v>0</v>
      </c>
    </row>
    <row r="20" spans="1:28" x14ac:dyDescent="0.2">
      <c r="B20" s="5" t="s">
        <v>78</v>
      </c>
      <c r="C20" s="24">
        <f t="shared" si="4"/>
        <v>0</v>
      </c>
      <c r="D20" s="24">
        <f>('Data Inputs'!E8/2)*'Data Inputs'!E19*'Data Inputs'!E43*12</f>
        <v>0</v>
      </c>
      <c r="E20" s="24">
        <f>('Data Inputs'!E8+('Data Inputs'!F8/2))*'Data Inputs'!F19*'Data Inputs'!F43*12</f>
        <v>0</v>
      </c>
      <c r="F20" s="24">
        <f>('Data Inputs'!E8+'Data Inputs'!F8+('Data Inputs'!G8/2))*'Data Inputs'!G19*'Data Inputs'!G43*12</f>
        <v>0</v>
      </c>
      <c r="G20" s="24">
        <f>('Data Inputs'!E8+'Data Inputs'!F8+'Data Inputs'!G8+('Data Inputs'!H8/2))*'Data Inputs'!H19*'Data Inputs'!H43*12</f>
        <v>0</v>
      </c>
      <c r="H20" s="24">
        <f>('Data Inputs'!$E8+'Data Inputs'!$F8+'Data Inputs'!$G8+'Data Inputs'!$H8+('Data Inputs'!$I8/2))*'Data Inputs'!$I19*'Data Inputs'!$I43*12</f>
        <v>0</v>
      </c>
      <c r="I20" s="24">
        <f>('Data Inputs'!$E8+'Data Inputs'!$F8+'Data Inputs'!$G8+'Data Inputs'!$H8+'Data Inputs'!$I8)*'Data Inputs'!$I19*'Data Inputs'!$I43*12</f>
        <v>0</v>
      </c>
      <c r="J20" s="24">
        <f>('Data Inputs'!$E8+'Data Inputs'!$F8+'Data Inputs'!$G8+'Data Inputs'!$H8+'Data Inputs'!$I8)*'Data Inputs'!$I19*'Data Inputs'!$I43*12</f>
        <v>0</v>
      </c>
      <c r="K20" s="24">
        <f>('Data Inputs'!$E8+'Data Inputs'!$F8+'Data Inputs'!$G8+'Data Inputs'!$H8+'Data Inputs'!$I8)*'Data Inputs'!$I19*'Data Inputs'!$I43*12</f>
        <v>0</v>
      </c>
      <c r="L20" s="24">
        <f>('Data Inputs'!$E8+'Data Inputs'!$F8+'Data Inputs'!$G8+'Data Inputs'!$H8+'Data Inputs'!$I8)*'Data Inputs'!$I19*'Data Inputs'!$I43*12</f>
        <v>0</v>
      </c>
      <c r="M20" s="24">
        <f>('Data Inputs'!$E8+'Data Inputs'!$F8+'Data Inputs'!$G8+'Data Inputs'!$H8+'Data Inputs'!$I8)*'Data Inputs'!$I19*'Data Inputs'!$I43*12</f>
        <v>0</v>
      </c>
      <c r="N20" s="24">
        <f>('Data Inputs'!$E8+'Data Inputs'!$F8+'Data Inputs'!$G8+'Data Inputs'!$H8+'Data Inputs'!$I8)*'Data Inputs'!$I19*'Data Inputs'!$I43*12</f>
        <v>0</v>
      </c>
      <c r="O20" s="24">
        <f>('Data Inputs'!$E8+'Data Inputs'!$F8+'Data Inputs'!$G8+'Data Inputs'!$H8+'Data Inputs'!$I8)*'Data Inputs'!$I19*'Data Inputs'!$I43*12</f>
        <v>0</v>
      </c>
      <c r="P20" s="24">
        <f>('Data Inputs'!$E8+'Data Inputs'!$F8+'Data Inputs'!$G8+'Data Inputs'!$H8+'Data Inputs'!$I8)*'Data Inputs'!$I19*'Data Inputs'!$I43*12</f>
        <v>0</v>
      </c>
      <c r="Q20" s="24">
        <f>('Data Inputs'!$E8+'Data Inputs'!$F8+'Data Inputs'!$G8+'Data Inputs'!$H8+'Data Inputs'!$I8)*'Data Inputs'!$I19*'Data Inputs'!$I43*12</f>
        <v>0</v>
      </c>
      <c r="R20" s="24">
        <f>('Data Inputs'!$E8+'Data Inputs'!$F8+'Data Inputs'!$G8+'Data Inputs'!$H8+'Data Inputs'!$I8)*'Data Inputs'!$I19*'Data Inputs'!$I43*12</f>
        <v>0</v>
      </c>
      <c r="S20" s="24">
        <f>('Data Inputs'!$E8+'Data Inputs'!$F8+'Data Inputs'!$G8+'Data Inputs'!$H8+'Data Inputs'!$I8)*'Data Inputs'!$I19*'Data Inputs'!$I43*12</f>
        <v>0</v>
      </c>
      <c r="T20" s="24">
        <f>('Data Inputs'!$E8+'Data Inputs'!$F8+'Data Inputs'!$G8+'Data Inputs'!$H8+'Data Inputs'!$I8)*'Data Inputs'!$I19*'Data Inputs'!$I43*12</f>
        <v>0</v>
      </c>
      <c r="U20" s="24">
        <f>('Data Inputs'!$E8+'Data Inputs'!$F8+'Data Inputs'!$G8+'Data Inputs'!$H8+'Data Inputs'!$I8)*'Data Inputs'!$I19*'Data Inputs'!$I43*12</f>
        <v>0</v>
      </c>
      <c r="V20" s="24">
        <f>('Data Inputs'!$E8+'Data Inputs'!$F8+'Data Inputs'!$G8+'Data Inputs'!$H8+'Data Inputs'!$I8)*'Data Inputs'!$I19*'Data Inputs'!$I43*12</f>
        <v>0</v>
      </c>
      <c r="W20" s="24">
        <f>('Data Inputs'!$E8+'Data Inputs'!$F8+'Data Inputs'!$G8+'Data Inputs'!$H8+'Data Inputs'!$I8)*'Data Inputs'!$I19*'Data Inputs'!$I43*12</f>
        <v>0</v>
      </c>
      <c r="X20" s="24">
        <f>('Data Inputs'!$E8+'Data Inputs'!$F8+'Data Inputs'!$G8+'Data Inputs'!$H8+'Data Inputs'!$I8)*'Data Inputs'!$I19*'Data Inputs'!$I43*12</f>
        <v>0</v>
      </c>
      <c r="Y20" s="24">
        <f>('Data Inputs'!$E8+'Data Inputs'!$F8+'Data Inputs'!$G8+'Data Inputs'!$H8+'Data Inputs'!$I8)*'Data Inputs'!$I19*'Data Inputs'!$I43*12</f>
        <v>0</v>
      </c>
      <c r="Z20" s="24">
        <f>('Data Inputs'!$E8+'Data Inputs'!$F8+'Data Inputs'!$G8+'Data Inputs'!$H8+'Data Inputs'!$I8)*'Data Inputs'!$I19*'Data Inputs'!$I43*12</f>
        <v>0</v>
      </c>
      <c r="AA20" s="24">
        <f>('Data Inputs'!$E8+'Data Inputs'!$F8+'Data Inputs'!$G8+'Data Inputs'!$H8+'Data Inputs'!$I8)*'Data Inputs'!$I19*'Data Inputs'!$I43*12</f>
        <v>0</v>
      </c>
      <c r="AB20" s="24">
        <f>('Data Inputs'!$E8+'Data Inputs'!$F8+'Data Inputs'!$G8+'Data Inputs'!$H8+'Data Inputs'!$I8)*'Data Inputs'!$I19*'Data Inputs'!$I43*12</f>
        <v>0</v>
      </c>
    </row>
    <row r="21" spans="1:28" x14ac:dyDescent="0.2">
      <c r="B21" s="5" t="s">
        <v>174</v>
      </c>
      <c r="C21" s="24">
        <f t="shared" si="4"/>
        <v>0</v>
      </c>
      <c r="D21" s="24">
        <f>('Data Inputs'!E9/2)*'Data Inputs'!E24*'Data Inputs'!E48*12</f>
        <v>0</v>
      </c>
      <c r="E21" s="24">
        <f>('Data Inputs'!E9+('Data Inputs'!F9/2))*'Data Inputs'!F24*'Data Inputs'!F48*12</f>
        <v>0</v>
      </c>
      <c r="F21" s="24">
        <f>('Data Inputs'!E9+'Data Inputs'!F9+('Data Inputs'!G9/2))*'Data Inputs'!G24*'Data Inputs'!G48*12</f>
        <v>0</v>
      </c>
      <c r="G21" s="24">
        <f>('Data Inputs'!E9+'Data Inputs'!F9+'Data Inputs'!G9+('Data Inputs'!H9/2))*'Data Inputs'!H24*'Data Inputs'!H48*12</f>
        <v>0</v>
      </c>
      <c r="H21" s="24">
        <f>('Data Inputs'!$E9+'Data Inputs'!$F9+'Data Inputs'!$G9+'Data Inputs'!$H9+('Data Inputs'!$I9/2))*'Data Inputs'!$I24*'Data Inputs'!$I48*12</f>
        <v>0</v>
      </c>
      <c r="I21" s="24">
        <f>('Data Inputs'!$E9+'Data Inputs'!$F9+'Data Inputs'!$G9+'Data Inputs'!$H9+'Data Inputs'!$I9)*'Data Inputs'!$I24*'Data Inputs'!$I48*12</f>
        <v>0</v>
      </c>
      <c r="J21" s="24">
        <f>('Data Inputs'!$E9+'Data Inputs'!$F9+'Data Inputs'!$G9+'Data Inputs'!$H9+'Data Inputs'!$I9)*'Data Inputs'!$I24*'Data Inputs'!$I48*12</f>
        <v>0</v>
      </c>
      <c r="K21" s="24">
        <f>('Data Inputs'!$E9+'Data Inputs'!$F9+'Data Inputs'!$G9+'Data Inputs'!$H9+'Data Inputs'!$I9)*'Data Inputs'!$I24*'Data Inputs'!$I48*12</f>
        <v>0</v>
      </c>
      <c r="L21" s="24">
        <f>('Data Inputs'!$E9+'Data Inputs'!$F9+'Data Inputs'!$G9+'Data Inputs'!$H9+'Data Inputs'!$I9)*'Data Inputs'!$I24*'Data Inputs'!$I48*12</f>
        <v>0</v>
      </c>
      <c r="M21" s="24">
        <f>('Data Inputs'!$E9+'Data Inputs'!$F9+'Data Inputs'!$G9+'Data Inputs'!$H9+'Data Inputs'!$I9)*'Data Inputs'!$I24*'Data Inputs'!$I48*12</f>
        <v>0</v>
      </c>
      <c r="N21" s="24">
        <f>('Data Inputs'!$E9+'Data Inputs'!$F9+'Data Inputs'!$G9+'Data Inputs'!$H9+'Data Inputs'!$I9)*'Data Inputs'!$I24*'Data Inputs'!$I48*12</f>
        <v>0</v>
      </c>
      <c r="O21" s="24">
        <f>('Data Inputs'!$E9+'Data Inputs'!$F9+'Data Inputs'!$G9+'Data Inputs'!$H9+'Data Inputs'!$I9)*'Data Inputs'!$I24*'Data Inputs'!$I48*12</f>
        <v>0</v>
      </c>
      <c r="P21" s="24">
        <f>('Data Inputs'!$E9+'Data Inputs'!$F9+'Data Inputs'!$G9+'Data Inputs'!$H9+'Data Inputs'!$I9)*'Data Inputs'!$I24*'Data Inputs'!$I48*12</f>
        <v>0</v>
      </c>
      <c r="Q21" s="24">
        <f>('Data Inputs'!$E9+'Data Inputs'!$F9+'Data Inputs'!$G9+'Data Inputs'!$H9+'Data Inputs'!$I9)*'Data Inputs'!$I24*'Data Inputs'!$I48*12</f>
        <v>0</v>
      </c>
      <c r="R21" s="24">
        <f>('Data Inputs'!$E9+'Data Inputs'!$F9+'Data Inputs'!$G9+'Data Inputs'!$H9+'Data Inputs'!$I9)*'Data Inputs'!$I24*'Data Inputs'!$I48*12</f>
        <v>0</v>
      </c>
      <c r="S21" s="24">
        <f>('Data Inputs'!$E9+'Data Inputs'!$F9+'Data Inputs'!$G9+'Data Inputs'!$H9+'Data Inputs'!$I9)*'Data Inputs'!$I24*'Data Inputs'!$I48*12</f>
        <v>0</v>
      </c>
      <c r="T21" s="24">
        <f>('Data Inputs'!$E9+'Data Inputs'!$F9+'Data Inputs'!$G9+'Data Inputs'!$H9+'Data Inputs'!$I9)*'Data Inputs'!$I24*'Data Inputs'!$I48*12</f>
        <v>0</v>
      </c>
      <c r="U21" s="24">
        <f>('Data Inputs'!$E9+'Data Inputs'!$F9+'Data Inputs'!$G9+'Data Inputs'!$H9+'Data Inputs'!$I9)*'Data Inputs'!$I24*'Data Inputs'!$I48*12</f>
        <v>0</v>
      </c>
      <c r="V21" s="24">
        <f>('Data Inputs'!$E9+'Data Inputs'!$F9+'Data Inputs'!$G9+'Data Inputs'!$H9+'Data Inputs'!$I9)*'Data Inputs'!$I24*'Data Inputs'!$I48*12</f>
        <v>0</v>
      </c>
      <c r="W21" s="24">
        <f>('Data Inputs'!$E9+'Data Inputs'!$F9+'Data Inputs'!$G9+'Data Inputs'!$H9+'Data Inputs'!$I9)*'Data Inputs'!$I24*'Data Inputs'!$I48*12</f>
        <v>0</v>
      </c>
      <c r="X21" s="24">
        <f>('Data Inputs'!$E9+'Data Inputs'!$F9+'Data Inputs'!$G9+'Data Inputs'!$H9+'Data Inputs'!$I9)*'Data Inputs'!$I24*'Data Inputs'!$I48*12</f>
        <v>0</v>
      </c>
      <c r="Y21" s="24">
        <f>('Data Inputs'!$E9+'Data Inputs'!$F9+'Data Inputs'!$G9+'Data Inputs'!$H9+'Data Inputs'!$I9)*'Data Inputs'!$I24*'Data Inputs'!$I48*12</f>
        <v>0</v>
      </c>
      <c r="Z21" s="24">
        <f>('Data Inputs'!$E9+'Data Inputs'!$F9+'Data Inputs'!$G9+'Data Inputs'!$H9+'Data Inputs'!$I9)*'Data Inputs'!$I24*'Data Inputs'!$I48*12</f>
        <v>0</v>
      </c>
      <c r="AA21" s="24">
        <f>('Data Inputs'!$E9+'Data Inputs'!$F9+'Data Inputs'!$G9+'Data Inputs'!$H9+'Data Inputs'!$I9)*'Data Inputs'!$I24*'Data Inputs'!$I48*12</f>
        <v>0</v>
      </c>
      <c r="AB21" s="24">
        <f>('Data Inputs'!$E9+'Data Inputs'!$F9+'Data Inputs'!$G9+'Data Inputs'!$H9+'Data Inputs'!$I9)*'Data Inputs'!$I24*'Data Inputs'!$I48*12</f>
        <v>0</v>
      </c>
    </row>
    <row r="22" spans="1:28" x14ac:dyDescent="0.2">
      <c r="B22" s="5" t="s">
        <v>175</v>
      </c>
      <c r="C22" s="24">
        <f t="shared" si="4"/>
        <v>0</v>
      </c>
      <c r="D22" s="24">
        <f>('Data Inputs'!E10/2)*'Data Inputs'!E25*'Data Inputs'!E48*12</f>
        <v>0</v>
      </c>
      <c r="E22" s="24">
        <f>('Data Inputs'!E10+('Data Inputs'!F10/2))*'Data Inputs'!F25*'Data Inputs'!F48*12</f>
        <v>0</v>
      </c>
      <c r="F22" s="24">
        <f>('Data Inputs'!E10+'Data Inputs'!F10+('Data Inputs'!G10/2))*'Data Inputs'!G25*'Data Inputs'!G48*12</f>
        <v>0</v>
      </c>
      <c r="G22" s="24">
        <f>('Data Inputs'!E10+'Data Inputs'!F10+'Data Inputs'!G10+('Data Inputs'!H10/2))*'Data Inputs'!H25*'Data Inputs'!H48*12</f>
        <v>0</v>
      </c>
      <c r="H22" s="24">
        <f>('Data Inputs'!$E10+'Data Inputs'!$F10+'Data Inputs'!$G10+'Data Inputs'!$H10+('Data Inputs'!$I10/2))*'Data Inputs'!$I25*'Data Inputs'!$I48*12</f>
        <v>0</v>
      </c>
      <c r="I22" s="24">
        <f>('Data Inputs'!$E10+'Data Inputs'!$F10+'Data Inputs'!$G10+'Data Inputs'!$H10+'Data Inputs'!$I10)*'Data Inputs'!$I25*'Data Inputs'!$I48*12</f>
        <v>0</v>
      </c>
      <c r="J22" s="24">
        <f>('Data Inputs'!$E10+'Data Inputs'!$F10+'Data Inputs'!$G10+'Data Inputs'!$H10+'Data Inputs'!$I10)*'Data Inputs'!$I25*'Data Inputs'!$I48*12</f>
        <v>0</v>
      </c>
      <c r="K22" s="24">
        <f>('Data Inputs'!$E10+'Data Inputs'!$F10+'Data Inputs'!$G10+'Data Inputs'!$H10+'Data Inputs'!$I10)*'Data Inputs'!$I25*'Data Inputs'!$I48*12</f>
        <v>0</v>
      </c>
      <c r="L22" s="24">
        <f>('Data Inputs'!$E10+'Data Inputs'!$F10+'Data Inputs'!$G10+'Data Inputs'!$H10+'Data Inputs'!$I10)*'Data Inputs'!$I25*'Data Inputs'!$I48*12</f>
        <v>0</v>
      </c>
      <c r="M22" s="24">
        <f>('Data Inputs'!$E10+'Data Inputs'!$F10+'Data Inputs'!$G10+'Data Inputs'!$H10+'Data Inputs'!$I10)*'Data Inputs'!$I25*'Data Inputs'!$I48*12</f>
        <v>0</v>
      </c>
      <c r="N22" s="24">
        <f>('Data Inputs'!$E10+'Data Inputs'!$F10+'Data Inputs'!$G10+'Data Inputs'!$H10+'Data Inputs'!$I10)*'Data Inputs'!$I25*'Data Inputs'!$I48*12</f>
        <v>0</v>
      </c>
      <c r="O22" s="24">
        <f>('Data Inputs'!$E10+'Data Inputs'!$F10+'Data Inputs'!$G10+'Data Inputs'!$H10+'Data Inputs'!$I10)*'Data Inputs'!$I25*'Data Inputs'!$I48*12</f>
        <v>0</v>
      </c>
      <c r="P22" s="24">
        <f>('Data Inputs'!$E10+'Data Inputs'!$F10+'Data Inputs'!$G10+'Data Inputs'!$H10+'Data Inputs'!$I10)*'Data Inputs'!$I25*'Data Inputs'!$I48*12</f>
        <v>0</v>
      </c>
      <c r="Q22" s="24">
        <f>('Data Inputs'!$E10+'Data Inputs'!$F10+'Data Inputs'!$G10+'Data Inputs'!$H10+'Data Inputs'!$I10)*'Data Inputs'!$I25*'Data Inputs'!$I48*12</f>
        <v>0</v>
      </c>
      <c r="R22" s="24">
        <f>('Data Inputs'!$E10+'Data Inputs'!$F10+'Data Inputs'!$G10+'Data Inputs'!$H10+'Data Inputs'!$I10)*'Data Inputs'!$I25*'Data Inputs'!$I48*12</f>
        <v>0</v>
      </c>
      <c r="S22" s="24">
        <f>('Data Inputs'!$E10+'Data Inputs'!$F10+'Data Inputs'!$G10+'Data Inputs'!$H10+'Data Inputs'!$I10)*'Data Inputs'!$I25*'Data Inputs'!$I48*12</f>
        <v>0</v>
      </c>
      <c r="T22" s="24">
        <f>('Data Inputs'!$E10+'Data Inputs'!$F10+'Data Inputs'!$G10+'Data Inputs'!$H10+'Data Inputs'!$I10)*'Data Inputs'!$I25*'Data Inputs'!$I48*12</f>
        <v>0</v>
      </c>
      <c r="U22" s="24">
        <f>('Data Inputs'!$E10+'Data Inputs'!$F10+'Data Inputs'!$G10+'Data Inputs'!$H10+'Data Inputs'!$I10)*'Data Inputs'!$I25*'Data Inputs'!$I48*12</f>
        <v>0</v>
      </c>
      <c r="V22" s="24">
        <f>('Data Inputs'!$E10+'Data Inputs'!$F10+'Data Inputs'!$G10+'Data Inputs'!$H10+'Data Inputs'!$I10)*'Data Inputs'!$I25*'Data Inputs'!$I48*12</f>
        <v>0</v>
      </c>
      <c r="W22" s="24">
        <f>('Data Inputs'!$E10+'Data Inputs'!$F10+'Data Inputs'!$G10+'Data Inputs'!$H10+'Data Inputs'!$I10)*'Data Inputs'!$I25*'Data Inputs'!$I48*12</f>
        <v>0</v>
      </c>
      <c r="X22" s="24">
        <f>('Data Inputs'!$E10+'Data Inputs'!$F10+'Data Inputs'!$G10+'Data Inputs'!$H10+'Data Inputs'!$I10)*'Data Inputs'!$I25*'Data Inputs'!$I48*12</f>
        <v>0</v>
      </c>
      <c r="Y22" s="24">
        <f>('Data Inputs'!$E10+'Data Inputs'!$F10+'Data Inputs'!$G10+'Data Inputs'!$H10+'Data Inputs'!$I10)*'Data Inputs'!$I25*'Data Inputs'!$I48*12</f>
        <v>0</v>
      </c>
      <c r="Z22" s="24">
        <f>('Data Inputs'!$E10+'Data Inputs'!$F10+'Data Inputs'!$G10+'Data Inputs'!$H10+'Data Inputs'!$I10)*'Data Inputs'!$I25*'Data Inputs'!$I48*12</f>
        <v>0</v>
      </c>
      <c r="AA22" s="24">
        <f>('Data Inputs'!$E10+'Data Inputs'!$F10+'Data Inputs'!$G10+'Data Inputs'!$H10+'Data Inputs'!$I10)*'Data Inputs'!$I25*'Data Inputs'!$I48*12</f>
        <v>0</v>
      </c>
      <c r="AB22" s="24">
        <f>('Data Inputs'!$E10+'Data Inputs'!$F10+'Data Inputs'!$G10+'Data Inputs'!$H10+'Data Inputs'!$I10)*'Data Inputs'!$I25*'Data Inputs'!$I48*12</f>
        <v>0</v>
      </c>
    </row>
    <row r="23" spans="1:28" x14ac:dyDescent="0.2">
      <c r="B23" s="5" t="s">
        <v>7</v>
      </c>
      <c r="C23" s="24">
        <f t="shared" si="4"/>
        <v>0</v>
      </c>
      <c r="D23" s="24">
        <f>('Data Inputs'!E11/2)*'Data Inputs'!E26*'Data Inputs'!E50*12</f>
        <v>0</v>
      </c>
      <c r="E23" s="24">
        <f>('Data Inputs'!E11+('Data Inputs'!F11/2))*'Data Inputs'!F26*'Data Inputs'!F50*12</f>
        <v>0</v>
      </c>
      <c r="F23" s="24">
        <f>('Data Inputs'!E11+'Data Inputs'!F11+('Data Inputs'!G11/2))*'Data Inputs'!G26*'Data Inputs'!G50*12</f>
        <v>0</v>
      </c>
      <c r="G23" s="24">
        <f>('Data Inputs'!E11+'Data Inputs'!F11+'Data Inputs'!G11+('Data Inputs'!H11/2))*'Data Inputs'!H26*'Data Inputs'!H50*12</f>
        <v>0</v>
      </c>
      <c r="H23" s="24">
        <f>('Data Inputs'!$E11+'Data Inputs'!$F11+'Data Inputs'!$G11+'Data Inputs'!$H11+('Data Inputs'!$I11/2))*'Data Inputs'!$I26*'Data Inputs'!$I50*12</f>
        <v>0</v>
      </c>
      <c r="I23" s="24">
        <f>('Data Inputs'!$E11+'Data Inputs'!$F11+'Data Inputs'!$G11+'Data Inputs'!$H11+'Data Inputs'!$I11)*'Data Inputs'!$I26*'Data Inputs'!$I50*12</f>
        <v>0</v>
      </c>
      <c r="J23" s="24">
        <f>('Data Inputs'!$E11+'Data Inputs'!$F11+'Data Inputs'!$G11+'Data Inputs'!$H11+'Data Inputs'!$I11)*'Data Inputs'!$I26*'Data Inputs'!$I50*12</f>
        <v>0</v>
      </c>
      <c r="K23" s="24">
        <f>('Data Inputs'!$E11+'Data Inputs'!$F11+'Data Inputs'!$G11+'Data Inputs'!$H11+'Data Inputs'!$I11)*'Data Inputs'!$I26*'Data Inputs'!$I50*12</f>
        <v>0</v>
      </c>
      <c r="L23" s="24">
        <f>('Data Inputs'!$E11+'Data Inputs'!$F11+'Data Inputs'!$G11+'Data Inputs'!$H11+'Data Inputs'!$I11)*'Data Inputs'!$I26*'Data Inputs'!$I50*12</f>
        <v>0</v>
      </c>
      <c r="M23" s="24">
        <f>('Data Inputs'!$E11+'Data Inputs'!$F11+'Data Inputs'!$G11+'Data Inputs'!$H11+'Data Inputs'!$I11)*'Data Inputs'!$I26*'Data Inputs'!$I50*12</f>
        <v>0</v>
      </c>
      <c r="N23" s="24">
        <f>('Data Inputs'!$E11+'Data Inputs'!$F11+'Data Inputs'!$G11+'Data Inputs'!$H11+'Data Inputs'!$I11)*'Data Inputs'!$I26*'Data Inputs'!$I50*12</f>
        <v>0</v>
      </c>
      <c r="O23" s="24">
        <f>('Data Inputs'!$E11+'Data Inputs'!$F11+'Data Inputs'!$G11+'Data Inputs'!$H11+'Data Inputs'!$I11)*'Data Inputs'!$I26*'Data Inputs'!$I50*12</f>
        <v>0</v>
      </c>
      <c r="P23" s="24">
        <f>('Data Inputs'!$E11+'Data Inputs'!$F11+'Data Inputs'!$G11+'Data Inputs'!$H11+'Data Inputs'!$I11)*'Data Inputs'!$I26*'Data Inputs'!$I50*12</f>
        <v>0</v>
      </c>
      <c r="Q23" s="24">
        <f>('Data Inputs'!$E11+'Data Inputs'!$F11+'Data Inputs'!$G11+'Data Inputs'!$H11+'Data Inputs'!$I11)*'Data Inputs'!$I26*'Data Inputs'!$I50*12</f>
        <v>0</v>
      </c>
      <c r="R23" s="24">
        <f>('Data Inputs'!$E11+'Data Inputs'!$F11+'Data Inputs'!$G11+'Data Inputs'!$H11+'Data Inputs'!$I11)*'Data Inputs'!$I26*'Data Inputs'!$I50*12</f>
        <v>0</v>
      </c>
      <c r="S23" s="24">
        <f>('Data Inputs'!$E11+'Data Inputs'!$F11+'Data Inputs'!$G11+'Data Inputs'!$H11+'Data Inputs'!$I11)*'Data Inputs'!$I26*'Data Inputs'!$I50*12</f>
        <v>0</v>
      </c>
      <c r="T23" s="24">
        <f>('Data Inputs'!$E11+'Data Inputs'!$F11+'Data Inputs'!$G11+'Data Inputs'!$H11+'Data Inputs'!$I11)*'Data Inputs'!$I26*'Data Inputs'!$I50*12</f>
        <v>0</v>
      </c>
      <c r="U23" s="24">
        <f>('Data Inputs'!$E11+'Data Inputs'!$F11+'Data Inputs'!$G11+'Data Inputs'!$H11+'Data Inputs'!$I11)*'Data Inputs'!$I26*'Data Inputs'!$I50*12</f>
        <v>0</v>
      </c>
      <c r="V23" s="24">
        <f>('Data Inputs'!$E11+'Data Inputs'!$F11+'Data Inputs'!$G11+'Data Inputs'!$H11+'Data Inputs'!$I11)*'Data Inputs'!$I26*'Data Inputs'!$I50*12</f>
        <v>0</v>
      </c>
      <c r="W23" s="24">
        <f>('Data Inputs'!$E11+'Data Inputs'!$F11+'Data Inputs'!$G11+'Data Inputs'!$H11+'Data Inputs'!$I11)*'Data Inputs'!$I26*'Data Inputs'!$I50*12</f>
        <v>0</v>
      </c>
      <c r="X23" s="24">
        <f>('Data Inputs'!$E11+'Data Inputs'!$F11+'Data Inputs'!$G11+'Data Inputs'!$H11+'Data Inputs'!$I11)*'Data Inputs'!$I26*'Data Inputs'!$I50*12</f>
        <v>0</v>
      </c>
      <c r="Y23" s="24">
        <f>('Data Inputs'!$E11+'Data Inputs'!$F11+'Data Inputs'!$G11+'Data Inputs'!$H11+'Data Inputs'!$I11)*'Data Inputs'!$I26*'Data Inputs'!$I50*12</f>
        <v>0</v>
      </c>
      <c r="Z23" s="24">
        <f>('Data Inputs'!$E11+'Data Inputs'!$F11+'Data Inputs'!$G11+'Data Inputs'!$H11+'Data Inputs'!$I11)*'Data Inputs'!$I26*'Data Inputs'!$I50*12</f>
        <v>0</v>
      </c>
      <c r="AA23" s="24">
        <f>('Data Inputs'!$E11+'Data Inputs'!$F11+'Data Inputs'!$G11+'Data Inputs'!$H11+'Data Inputs'!$I11)*'Data Inputs'!$I26*'Data Inputs'!$I50*12</f>
        <v>0</v>
      </c>
      <c r="AB23" s="24">
        <f>('Data Inputs'!$E11+'Data Inputs'!$F11+'Data Inputs'!$G11+'Data Inputs'!$H11+'Data Inputs'!$I11)*'Data Inputs'!$I26*'Data Inputs'!$I50*12</f>
        <v>0</v>
      </c>
    </row>
    <row r="24" spans="1:28" x14ac:dyDescent="0.2">
      <c r="B24" s="5" t="s">
        <v>83</v>
      </c>
      <c r="C24" s="24">
        <f t="shared" si="4"/>
        <v>0</v>
      </c>
      <c r="D24" s="24">
        <f>('Data Inputs'!E12/2)*'Data Inputs'!E20*'Data Inputs'!E44*12</f>
        <v>0</v>
      </c>
      <c r="E24" s="24">
        <f>('Data Inputs'!E12+('Data Inputs'!F12/2))*'Data Inputs'!F20*'Data Inputs'!F44*12</f>
        <v>0</v>
      </c>
      <c r="F24" s="24">
        <f>('Data Inputs'!E12+'Data Inputs'!F12+('Data Inputs'!G12/2))*'Data Inputs'!G20*'Data Inputs'!G44*12</f>
        <v>0</v>
      </c>
      <c r="G24" s="24">
        <f>('Data Inputs'!E12+'Data Inputs'!F12+'Data Inputs'!G12+('Data Inputs'!H12/2))*'Data Inputs'!H20*'Data Inputs'!H44*12</f>
        <v>0</v>
      </c>
      <c r="H24" s="24">
        <f>('Data Inputs'!$E12+'Data Inputs'!$F12+'Data Inputs'!$G12+'Data Inputs'!$H12+('Data Inputs'!$I12/2))*'Data Inputs'!$I20*'Data Inputs'!$I44*12</f>
        <v>0</v>
      </c>
      <c r="I24" s="24">
        <f>('Data Inputs'!$E12+'Data Inputs'!$F12+'Data Inputs'!$G12+'Data Inputs'!$H12+'Data Inputs'!$I12)*'Data Inputs'!$I20*'Data Inputs'!$I44*12</f>
        <v>0</v>
      </c>
      <c r="J24" s="24">
        <f>('Data Inputs'!$E12+'Data Inputs'!$F12+'Data Inputs'!$G12+'Data Inputs'!$H12+'Data Inputs'!$I12)*'Data Inputs'!$I20*'Data Inputs'!$I44*12</f>
        <v>0</v>
      </c>
      <c r="K24" s="24">
        <f>('Data Inputs'!$E12+'Data Inputs'!$F12+'Data Inputs'!$G12+'Data Inputs'!$H12+'Data Inputs'!$I12)*'Data Inputs'!$I20*'Data Inputs'!$I44*12</f>
        <v>0</v>
      </c>
      <c r="L24" s="24">
        <f>('Data Inputs'!$E12+'Data Inputs'!$F12+'Data Inputs'!$G12+'Data Inputs'!$H12+'Data Inputs'!$I12)*'Data Inputs'!$I20*'Data Inputs'!$I44*12</f>
        <v>0</v>
      </c>
      <c r="M24" s="24">
        <f>('Data Inputs'!$E12+'Data Inputs'!$F12+'Data Inputs'!$G12+'Data Inputs'!$H12+'Data Inputs'!$I12)*'Data Inputs'!$I20*'Data Inputs'!$I44*12</f>
        <v>0</v>
      </c>
      <c r="N24" s="24">
        <f>('Data Inputs'!$E12+'Data Inputs'!$F12+'Data Inputs'!$G12+'Data Inputs'!$H12+'Data Inputs'!$I12)*'Data Inputs'!$I20*'Data Inputs'!$I44*12</f>
        <v>0</v>
      </c>
      <c r="O24" s="24">
        <f>('Data Inputs'!$E12+'Data Inputs'!$F12+'Data Inputs'!$G12+'Data Inputs'!$H12+'Data Inputs'!$I12)*'Data Inputs'!$I20*'Data Inputs'!$I44*12</f>
        <v>0</v>
      </c>
      <c r="P24" s="24">
        <f>('Data Inputs'!$E12+'Data Inputs'!$F12+'Data Inputs'!$G12+'Data Inputs'!$H12+'Data Inputs'!$I12)*'Data Inputs'!$I20*'Data Inputs'!$I44*12</f>
        <v>0</v>
      </c>
      <c r="Q24" s="24">
        <f>('Data Inputs'!$E12+'Data Inputs'!$F12+'Data Inputs'!$G12+'Data Inputs'!$H12+'Data Inputs'!$I12)*'Data Inputs'!$I20*'Data Inputs'!$I44*12</f>
        <v>0</v>
      </c>
      <c r="R24" s="24">
        <f>('Data Inputs'!$E12+'Data Inputs'!$F12+'Data Inputs'!$G12+'Data Inputs'!$H12+'Data Inputs'!$I12)*'Data Inputs'!$I20*'Data Inputs'!$I44*12</f>
        <v>0</v>
      </c>
      <c r="S24" s="24">
        <f>('Data Inputs'!$E12+'Data Inputs'!$F12+'Data Inputs'!$G12+'Data Inputs'!$H12+'Data Inputs'!$I12)*'Data Inputs'!$I20*'Data Inputs'!$I44*12</f>
        <v>0</v>
      </c>
      <c r="T24" s="24">
        <f>('Data Inputs'!$E12+'Data Inputs'!$F12+'Data Inputs'!$G12+'Data Inputs'!$H12+'Data Inputs'!$I12)*'Data Inputs'!$I20*'Data Inputs'!$I44*12</f>
        <v>0</v>
      </c>
      <c r="U24" s="24">
        <f>('Data Inputs'!$E12+'Data Inputs'!$F12+'Data Inputs'!$G12+'Data Inputs'!$H12+'Data Inputs'!$I12)*'Data Inputs'!$I20*'Data Inputs'!$I44*12</f>
        <v>0</v>
      </c>
      <c r="V24" s="24">
        <f>('Data Inputs'!$E12+'Data Inputs'!$F12+'Data Inputs'!$G12+'Data Inputs'!$H12+'Data Inputs'!$I12)*'Data Inputs'!$I20*'Data Inputs'!$I44*12</f>
        <v>0</v>
      </c>
      <c r="W24" s="24">
        <f>('Data Inputs'!$E12+'Data Inputs'!$F12+'Data Inputs'!$G12+'Data Inputs'!$H12+'Data Inputs'!$I12)*'Data Inputs'!$I20*'Data Inputs'!$I44*12</f>
        <v>0</v>
      </c>
      <c r="X24" s="24">
        <f>('Data Inputs'!$E12+'Data Inputs'!$F12+'Data Inputs'!$G12+'Data Inputs'!$H12+'Data Inputs'!$I12)*'Data Inputs'!$I20*'Data Inputs'!$I44*12</f>
        <v>0</v>
      </c>
      <c r="Y24" s="24">
        <f>('Data Inputs'!$E12+'Data Inputs'!$F12+'Data Inputs'!$G12+'Data Inputs'!$H12+'Data Inputs'!$I12)*'Data Inputs'!$I20*'Data Inputs'!$I44*12</f>
        <v>0</v>
      </c>
      <c r="Z24" s="24">
        <f>('Data Inputs'!$E12+'Data Inputs'!$F12+'Data Inputs'!$G12+'Data Inputs'!$H12+'Data Inputs'!$I12)*'Data Inputs'!$I20*'Data Inputs'!$I44*12</f>
        <v>0</v>
      </c>
      <c r="AA24" s="24">
        <f>('Data Inputs'!$E12+'Data Inputs'!$F12+'Data Inputs'!$G12+'Data Inputs'!$H12+'Data Inputs'!$I12)*'Data Inputs'!$I20*'Data Inputs'!$I44*12</f>
        <v>0</v>
      </c>
      <c r="AB24" s="24">
        <f>('Data Inputs'!$E12+'Data Inputs'!$F12+'Data Inputs'!$G12+'Data Inputs'!$H12+'Data Inputs'!$I12)*'Data Inputs'!$I20*'Data Inputs'!$I44*12</f>
        <v>0</v>
      </c>
    </row>
    <row r="25" spans="1:28" x14ac:dyDescent="0.2">
      <c r="B25" s="5" t="s">
        <v>83</v>
      </c>
      <c r="C25" s="24">
        <f t="shared" si="4"/>
        <v>0</v>
      </c>
      <c r="D25" s="24">
        <f>('Data Inputs'!E13/2)*'Data Inputs'!E21*'Data Inputs'!E45*12</f>
        <v>0</v>
      </c>
      <c r="E25" s="24">
        <f>('Data Inputs'!E13+('Data Inputs'!F13/2))*'Data Inputs'!F21*'Data Inputs'!F45*12</f>
        <v>0</v>
      </c>
      <c r="F25" s="24">
        <f>('Data Inputs'!E13+'Data Inputs'!F13+('Data Inputs'!G13/2))*'Data Inputs'!G21*'Data Inputs'!G45*12</f>
        <v>0</v>
      </c>
      <c r="G25" s="24">
        <f>('Data Inputs'!E13+'Data Inputs'!F13+'Data Inputs'!G13+('Data Inputs'!H13/2))*'Data Inputs'!H21*'Data Inputs'!H45*12</f>
        <v>0</v>
      </c>
      <c r="H25" s="24">
        <f>('Data Inputs'!$E13+'Data Inputs'!$F13+'Data Inputs'!$G13+'Data Inputs'!$H13+('Data Inputs'!$I13/2))*'Data Inputs'!$I21*'Data Inputs'!$I45*12</f>
        <v>0</v>
      </c>
      <c r="I25" s="24">
        <f>('Data Inputs'!$E13+'Data Inputs'!$F13+'Data Inputs'!$G13+'Data Inputs'!$H13+'Data Inputs'!$I13)*'Data Inputs'!$I21*'Data Inputs'!$I45*12</f>
        <v>0</v>
      </c>
      <c r="J25" s="24">
        <f>('Data Inputs'!$E13+'Data Inputs'!$F13+'Data Inputs'!$G13+'Data Inputs'!$H13+'Data Inputs'!$I13)*'Data Inputs'!$I21*'Data Inputs'!$I45*12</f>
        <v>0</v>
      </c>
      <c r="K25" s="24">
        <f>('Data Inputs'!$E13+'Data Inputs'!$F13+'Data Inputs'!$G13+'Data Inputs'!$H13+'Data Inputs'!$I13)*'Data Inputs'!$I21*'Data Inputs'!$I45*12</f>
        <v>0</v>
      </c>
      <c r="L25" s="24">
        <f>('Data Inputs'!$E13+'Data Inputs'!$F13+'Data Inputs'!$G13+'Data Inputs'!$H13+'Data Inputs'!$I13)*'Data Inputs'!$I21*'Data Inputs'!$I45*12</f>
        <v>0</v>
      </c>
      <c r="M25" s="24">
        <f>('Data Inputs'!$E13+'Data Inputs'!$F13+'Data Inputs'!$G13+'Data Inputs'!$H13+'Data Inputs'!$I13)*'Data Inputs'!$I21*'Data Inputs'!$I45*12</f>
        <v>0</v>
      </c>
      <c r="N25" s="24">
        <f>('Data Inputs'!$E13+'Data Inputs'!$F13+'Data Inputs'!$G13+'Data Inputs'!$H13+'Data Inputs'!$I13)*'Data Inputs'!$I21*'Data Inputs'!$I45*12</f>
        <v>0</v>
      </c>
      <c r="O25" s="24">
        <f>('Data Inputs'!$E13+'Data Inputs'!$F13+'Data Inputs'!$G13+'Data Inputs'!$H13+'Data Inputs'!$I13)*'Data Inputs'!$I21*'Data Inputs'!$I45*12</f>
        <v>0</v>
      </c>
      <c r="P25" s="24">
        <f>('Data Inputs'!$E13+'Data Inputs'!$F13+'Data Inputs'!$G13+'Data Inputs'!$H13+'Data Inputs'!$I13)*'Data Inputs'!$I21*'Data Inputs'!$I45*12</f>
        <v>0</v>
      </c>
      <c r="Q25" s="24">
        <f>('Data Inputs'!$E13+'Data Inputs'!$F13+'Data Inputs'!$G13+'Data Inputs'!$H13+'Data Inputs'!$I13)*'Data Inputs'!$I21*'Data Inputs'!$I45*12</f>
        <v>0</v>
      </c>
      <c r="R25" s="24">
        <f>('Data Inputs'!$E13+'Data Inputs'!$F13+'Data Inputs'!$G13+'Data Inputs'!$H13+'Data Inputs'!$I13)*'Data Inputs'!$I21*'Data Inputs'!$I45*12</f>
        <v>0</v>
      </c>
      <c r="S25" s="24">
        <f>('Data Inputs'!$E13+'Data Inputs'!$F13+'Data Inputs'!$G13+'Data Inputs'!$H13+'Data Inputs'!$I13)*'Data Inputs'!$I21*'Data Inputs'!$I45*12</f>
        <v>0</v>
      </c>
      <c r="T25" s="24">
        <f>('Data Inputs'!$E13+'Data Inputs'!$F13+'Data Inputs'!$G13+'Data Inputs'!$H13+'Data Inputs'!$I13)*'Data Inputs'!$I21*'Data Inputs'!$I45*12</f>
        <v>0</v>
      </c>
      <c r="U25" s="24">
        <f>('Data Inputs'!$E13+'Data Inputs'!$F13+'Data Inputs'!$G13+'Data Inputs'!$H13+'Data Inputs'!$I13)*'Data Inputs'!$I21*'Data Inputs'!$I45*12</f>
        <v>0</v>
      </c>
      <c r="V25" s="24">
        <f>('Data Inputs'!$E13+'Data Inputs'!$F13+'Data Inputs'!$G13+'Data Inputs'!$H13+'Data Inputs'!$I13)*'Data Inputs'!$I21*'Data Inputs'!$I45*12</f>
        <v>0</v>
      </c>
      <c r="W25" s="24">
        <f>('Data Inputs'!$E13+'Data Inputs'!$F13+'Data Inputs'!$G13+'Data Inputs'!$H13+'Data Inputs'!$I13)*'Data Inputs'!$I21*'Data Inputs'!$I45*12</f>
        <v>0</v>
      </c>
      <c r="X25" s="24">
        <f>('Data Inputs'!$E13+'Data Inputs'!$F13+'Data Inputs'!$G13+'Data Inputs'!$H13+'Data Inputs'!$I13)*'Data Inputs'!$I21*'Data Inputs'!$I45*12</f>
        <v>0</v>
      </c>
      <c r="Y25" s="24">
        <f>('Data Inputs'!$E13+'Data Inputs'!$F13+'Data Inputs'!$G13+'Data Inputs'!$H13+'Data Inputs'!$I13)*'Data Inputs'!$I21*'Data Inputs'!$I45*12</f>
        <v>0</v>
      </c>
      <c r="Z25" s="24">
        <f>('Data Inputs'!$E13+'Data Inputs'!$F13+'Data Inputs'!$G13+'Data Inputs'!$H13+'Data Inputs'!$I13)*'Data Inputs'!$I21*'Data Inputs'!$I45*12</f>
        <v>0</v>
      </c>
      <c r="AA25" s="24">
        <f>('Data Inputs'!$E13+'Data Inputs'!$F13+'Data Inputs'!$G13+'Data Inputs'!$H13+'Data Inputs'!$I13)*'Data Inputs'!$I21*'Data Inputs'!$I45*12</f>
        <v>0</v>
      </c>
      <c r="AB25" s="24">
        <f>('Data Inputs'!$E13+'Data Inputs'!$F13+'Data Inputs'!$G13+'Data Inputs'!$H13+'Data Inputs'!$I13)*'Data Inputs'!$I21*'Data Inputs'!$I45*12</f>
        <v>0</v>
      </c>
    </row>
    <row r="26" spans="1:28" x14ac:dyDescent="0.2">
      <c r="B26" s="5" t="s">
        <v>84</v>
      </c>
      <c r="C26" s="24">
        <f t="shared" si="4"/>
        <v>0</v>
      </c>
      <c r="D26" s="24">
        <f>('Data Inputs'!E14/2)*'Data Inputs'!E27*'Data Inputs'!E51*12</f>
        <v>0</v>
      </c>
      <c r="E26" s="24">
        <f>('Data Inputs'!E14+('Data Inputs'!F14/2))*'Data Inputs'!F27*'Data Inputs'!F51*12</f>
        <v>0</v>
      </c>
      <c r="F26" s="24">
        <f>('Data Inputs'!E14+'Data Inputs'!F14+('Data Inputs'!G14/2))*'Data Inputs'!G27*'Data Inputs'!G51*12</f>
        <v>0</v>
      </c>
      <c r="G26" s="24">
        <f>('Data Inputs'!E14+'Data Inputs'!F14+'Data Inputs'!G14+('Data Inputs'!H14/2))*'Data Inputs'!H27*'Data Inputs'!H51*12</f>
        <v>0</v>
      </c>
      <c r="H26" s="24">
        <f>('Data Inputs'!$E14+'Data Inputs'!$F14+'Data Inputs'!$G14+'Data Inputs'!$H14+('Data Inputs'!$I14/2))*'Data Inputs'!$I27*'Data Inputs'!$I51*12</f>
        <v>0</v>
      </c>
      <c r="I26" s="24">
        <f>('Data Inputs'!$E14+'Data Inputs'!$F14+'Data Inputs'!$G14+'Data Inputs'!$H14+'Data Inputs'!$I14)*'Data Inputs'!$I27*'Data Inputs'!$I51*12</f>
        <v>0</v>
      </c>
      <c r="J26" s="24">
        <f>('Data Inputs'!$E14+'Data Inputs'!$F14+'Data Inputs'!$G14+'Data Inputs'!$H14+'Data Inputs'!$I14)*'Data Inputs'!$I27*'Data Inputs'!$I51*12</f>
        <v>0</v>
      </c>
      <c r="K26" s="24">
        <f>('Data Inputs'!$E14+'Data Inputs'!$F14+'Data Inputs'!$G14+'Data Inputs'!$H14+'Data Inputs'!$I14)*'Data Inputs'!$I27*'Data Inputs'!$I51*12</f>
        <v>0</v>
      </c>
      <c r="L26" s="24">
        <f>('Data Inputs'!$E14+'Data Inputs'!$F14+'Data Inputs'!$G14+'Data Inputs'!$H14+'Data Inputs'!$I14)*'Data Inputs'!$I27*'Data Inputs'!$I51*12</f>
        <v>0</v>
      </c>
      <c r="M26" s="24">
        <f>('Data Inputs'!$E14+'Data Inputs'!$F14+'Data Inputs'!$G14+'Data Inputs'!$H14+'Data Inputs'!$I14)*'Data Inputs'!$I27*'Data Inputs'!$I51*12</f>
        <v>0</v>
      </c>
      <c r="N26" s="24">
        <f>('Data Inputs'!$E14+'Data Inputs'!$F14+'Data Inputs'!$G14+'Data Inputs'!$H14+'Data Inputs'!$I14)*'Data Inputs'!$I27*'Data Inputs'!$I51*12</f>
        <v>0</v>
      </c>
      <c r="O26" s="24">
        <f>('Data Inputs'!$E14+'Data Inputs'!$F14+'Data Inputs'!$G14+'Data Inputs'!$H14+'Data Inputs'!$I14)*'Data Inputs'!$I27*'Data Inputs'!$I51*12</f>
        <v>0</v>
      </c>
      <c r="P26" s="24">
        <f>('Data Inputs'!$E14+'Data Inputs'!$F14+'Data Inputs'!$G14+'Data Inputs'!$H14+'Data Inputs'!$I14)*'Data Inputs'!$I27*'Data Inputs'!$I51*12</f>
        <v>0</v>
      </c>
      <c r="Q26" s="24">
        <f>('Data Inputs'!$E14+'Data Inputs'!$F14+'Data Inputs'!$G14+'Data Inputs'!$H14+'Data Inputs'!$I14)*'Data Inputs'!$I27*'Data Inputs'!$I51*12</f>
        <v>0</v>
      </c>
      <c r="R26" s="24">
        <f>('Data Inputs'!$E14+'Data Inputs'!$F14+'Data Inputs'!$G14+'Data Inputs'!$H14+'Data Inputs'!$I14)*'Data Inputs'!$I27*'Data Inputs'!$I51*12</f>
        <v>0</v>
      </c>
      <c r="S26" s="24">
        <f>('Data Inputs'!$E14+'Data Inputs'!$F14+'Data Inputs'!$G14+'Data Inputs'!$H14+'Data Inputs'!$I14)*'Data Inputs'!$I27*'Data Inputs'!$I51*12</f>
        <v>0</v>
      </c>
      <c r="T26" s="24">
        <f>('Data Inputs'!$E14+'Data Inputs'!$F14+'Data Inputs'!$G14+'Data Inputs'!$H14+'Data Inputs'!$I14)*'Data Inputs'!$I27*'Data Inputs'!$I51*12</f>
        <v>0</v>
      </c>
      <c r="U26" s="24">
        <f>('Data Inputs'!$E14+'Data Inputs'!$F14+'Data Inputs'!$G14+'Data Inputs'!$H14+'Data Inputs'!$I14)*'Data Inputs'!$I27*'Data Inputs'!$I51*12</f>
        <v>0</v>
      </c>
      <c r="V26" s="24">
        <f>('Data Inputs'!$E14+'Data Inputs'!$F14+'Data Inputs'!$G14+'Data Inputs'!$H14+'Data Inputs'!$I14)*'Data Inputs'!$I27*'Data Inputs'!$I51*12</f>
        <v>0</v>
      </c>
      <c r="W26" s="24">
        <f>('Data Inputs'!$E14+'Data Inputs'!$F14+'Data Inputs'!$G14+'Data Inputs'!$H14+'Data Inputs'!$I14)*'Data Inputs'!$I27*'Data Inputs'!$I51*12</f>
        <v>0</v>
      </c>
      <c r="X26" s="24">
        <f>('Data Inputs'!$E14+'Data Inputs'!$F14+'Data Inputs'!$G14+'Data Inputs'!$H14+'Data Inputs'!$I14)*'Data Inputs'!$I27*'Data Inputs'!$I51*12</f>
        <v>0</v>
      </c>
      <c r="Y26" s="24">
        <f>('Data Inputs'!$E14+'Data Inputs'!$F14+'Data Inputs'!$G14+'Data Inputs'!$H14+'Data Inputs'!$I14)*'Data Inputs'!$I27*'Data Inputs'!$I51*12</f>
        <v>0</v>
      </c>
      <c r="Z26" s="24">
        <f>('Data Inputs'!$E14+'Data Inputs'!$F14+'Data Inputs'!$G14+'Data Inputs'!$H14+'Data Inputs'!$I14)*'Data Inputs'!$I27*'Data Inputs'!$I51*12</f>
        <v>0</v>
      </c>
      <c r="AA26" s="24">
        <f>('Data Inputs'!$E14+'Data Inputs'!$F14+'Data Inputs'!$G14+'Data Inputs'!$H14+'Data Inputs'!$I14)*'Data Inputs'!$I27*'Data Inputs'!$I51*12</f>
        <v>0</v>
      </c>
      <c r="AB26" s="24">
        <f>('Data Inputs'!$E14+'Data Inputs'!$F14+'Data Inputs'!$G14+'Data Inputs'!$H14+'Data Inputs'!$I14)*'Data Inputs'!$I27*'Data Inputs'!$I51*12</f>
        <v>0</v>
      </c>
    </row>
    <row r="27" spans="1:28" x14ac:dyDescent="0.2">
      <c r="B27" s="5" t="s">
        <v>84</v>
      </c>
      <c r="C27" s="24">
        <f t="shared" si="4"/>
        <v>0</v>
      </c>
      <c r="D27" s="24">
        <f>('Data Inputs'!E15/2)*'Data Inputs'!E28*'Data Inputs'!E52*12</f>
        <v>0</v>
      </c>
      <c r="E27" s="24">
        <f>('Data Inputs'!E15+('Data Inputs'!F15/2))*'Data Inputs'!F28*'Data Inputs'!F52*12</f>
        <v>0</v>
      </c>
      <c r="F27" s="24">
        <f>('Data Inputs'!E15+'Data Inputs'!F15+('Data Inputs'!G15/2))*'Data Inputs'!G28*'Data Inputs'!G52*12</f>
        <v>0</v>
      </c>
      <c r="G27" s="24">
        <f>('Data Inputs'!E15+'Data Inputs'!F15+'Data Inputs'!G15+('Data Inputs'!H15/2))*'Data Inputs'!H28*'Data Inputs'!H52*12</f>
        <v>0</v>
      </c>
      <c r="H27" s="24">
        <f>('Data Inputs'!$E15+'Data Inputs'!$F15+'Data Inputs'!$G15+'Data Inputs'!$H15+('Data Inputs'!$I15/2))*'Data Inputs'!$I28*'Data Inputs'!$I52*12</f>
        <v>0</v>
      </c>
      <c r="I27" s="24">
        <f>('Data Inputs'!$E15+'Data Inputs'!$F15+'Data Inputs'!$G15+'Data Inputs'!$H15+'Data Inputs'!$I15)*'Data Inputs'!$I28*'Data Inputs'!$I52*12</f>
        <v>0</v>
      </c>
      <c r="J27" s="24">
        <f>('Data Inputs'!$E15+'Data Inputs'!$F15+'Data Inputs'!$G15+'Data Inputs'!$H15+'Data Inputs'!$I15)*'Data Inputs'!$I28*'Data Inputs'!$I52*12</f>
        <v>0</v>
      </c>
      <c r="K27" s="24">
        <f>('Data Inputs'!$E15+'Data Inputs'!$F15+'Data Inputs'!$G15+'Data Inputs'!$H15+'Data Inputs'!$I15)*'Data Inputs'!$I28*'Data Inputs'!$I52*12</f>
        <v>0</v>
      </c>
      <c r="L27" s="24">
        <f>('Data Inputs'!$E15+'Data Inputs'!$F15+'Data Inputs'!$G15+'Data Inputs'!$H15+'Data Inputs'!$I15)*'Data Inputs'!$I28*'Data Inputs'!$I52*12</f>
        <v>0</v>
      </c>
      <c r="M27" s="24">
        <f>('Data Inputs'!$E15+'Data Inputs'!$F15+'Data Inputs'!$G15+'Data Inputs'!$H15+'Data Inputs'!$I15)*'Data Inputs'!$I28*'Data Inputs'!$I52*12</f>
        <v>0</v>
      </c>
      <c r="N27" s="24">
        <f>('Data Inputs'!$E15+'Data Inputs'!$F15+'Data Inputs'!$G15+'Data Inputs'!$H15+'Data Inputs'!$I15)*'Data Inputs'!$I28*'Data Inputs'!$I52*12</f>
        <v>0</v>
      </c>
      <c r="O27" s="24">
        <f>('Data Inputs'!$E15+'Data Inputs'!$F15+'Data Inputs'!$G15+'Data Inputs'!$H15+'Data Inputs'!$I15)*'Data Inputs'!$I28*'Data Inputs'!$I52*12</f>
        <v>0</v>
      </c>
      <c r="P27" s="24">
        <f>('Data Inputs'!$E15+'Data Inputs'!$F15+'Data Inputs'!$G15+'Data Inputs'!$H15+'Data Inputs'!$I15)*'Data Inputs'!$I28*'Data Inputs'!$I52*12</f>
        <v>0</v>
      </c>
      <c r="Q27" s="24">
        <f>('Data Inputs'!$E15+'Data Inputs'!$F15+'Data Inputs'!$G15+'Data Inputs'!$H15+'Data Inputs'!$I15)*'Data Inputs'!$I28*'Data Inputs'!$I52*12</f>
        <v>0</v>
      </c>
      <c r="R27" s="24">
        <f>('Data Inputs'!$E15+'Data Inputs'!$F15+'Data Inputs'!$G15+'Data Inputs'!$H15+'Data Inputs'!$I15)*'Data Inputs'!$I28*'Data Inputs'!$I52*12</f>
        <v>0</v>
      </c>
      <c r="S27" s="24">
        <f>('Data Inputs'!$E15+'Data Inputs'!$F15+'Data Inputs'!$G15+'Data Inputs'!$H15+'Data Inputs'!$I15)*'Data Inputs'!$I28*'Data Inputs'!$I52*12</f>
        <v>0</v>
      </c>
      <c r="T27" s="24">
        <f>('Data Inputs'!$E15+'Data Inputs'!$F15+'Data Inputs'!$G15+'Data Inputs'!$H15+'Data Inputs'!$I15)*'Data Inputs'!$I28*'Data Inputs'!$I52*12</f>
        <v>0</v>
      </c>
      <c r="U27" s="24">
        <f>('Data Inputs'!$E15+'Data Inputs'!$F15+'Data Inputs'!$G15+'Data Inputs'!$H15+'Data Inputs'!$I15)*'Data Inputs'!$I28*'Data Inputs'!$I52*12</f>
        <v>0</v>
      </c>
      <c r="V27" s="24">
        <f>('Data Inputs'!$E15+'Data Inputs'!$F15+'Data Inputs'!$G15+'Data Inputs'!$H15+'Data Inputs'!$I15)*'Data Inputs'!$I28*'Data Inputs'!$I52*12</f>
        <v>0</v>
      </c>
      <c r="W27" s="24">
        <f>('Data Inputs'!$E15+'Data Inputs'!$F15+'Data Inputs'!$G15+'Data Inputs'!$H15+'Data Inputs'!$I15)*'Data Inputs'!$I28*'Data Inputs'!$I52*12</f>
        <v>0</v>
      </c>
      <c r="X27" s="24">
        <f>('Data Inputs'!$E15+'Data Inputs'!$F15+'Data Inputs'!$G15+'Data Inputs'!$H15+'Data Inputs'!$I15)*'Data Inputs'!$I28*'Data Inputs'!$I52*12</f>
        <v>0</v>
      </c>
      <c r="Y27" s="24">
        <f>('Data Inputs'!$E15+'Data Inputs'!$F15+'Data Inputs'!$G15+'Data Inputs'!$H15+'Data Inputs'!$I15)*'Data Inputs'!$I28*'Data Inputs'!$I52*12</f>
        <v>0</v>
      </c>
      <c r="Z27" s="24">
        <f>('Data Inputs'!$E15+'Data Inputs'!$F15+'Data Inputs'!$G15+'Data Inputs'!$H15+'Data Inputs'!$I15)*'Data Inputs'!$I28*'Data Inputs'!$I52*12</f>
        <v>0</v>
      </c>
      <c r="AA27" s="24">
        <f>('Data Inputs'!$E15+'Data Inputs'!$F15+'Data Inputs'!$G15+'Data Inputs'!$H15+'Data Inputs'!$I15)*'Data Inputs'!$I28*'Data Inputs'!$I52*12</f>
        <v>0</v>
      </c>
      <c r="AB27" s="24">
        <f>('Data Inputs'!$E15+'Data Inputs'!$F15+'Data Inputs'!$G15+'Data Inputs'!$H15+'Data Inputs'!$I15)*'Data Inputs'!$I28*'Data Inputs'!$I52*12</f>
        <v>0</v>
      </c>
    </row>
    <row r="28" spans="1:28" x14ac:dyDescent="0.2">
      <c r="B28" s="6" t="s">
        <v>17</v>
      </c>
      <c r="C28" s="57">
        <f>SUM(C19:C27)</f>
        <v>0</v>
      </c>
      <c r="D28" s="57">
        <f>SUM(D19:D27)</f>
        <v>0</v>
      </c>
      <c r="E28" s="57">
        <f t="shared" ref="E28:AB28" si="5">SUM(E19:E27)</f>
        <v>0</v>
      </c>
      <c r="F28" s="57">
        <f t="shared" si="5"/>
        <v>0</v>
      </c>
      <c r="G28" s="57">
        <f t="shared" si="5"/>
        <v>0</v>
      </c>
      <c r="H28" s="57">
        <f t="shared" si="5"/>
        <v>0</v>
      </c>
      <c r="I28" s="57">
        <f t="shared" si="5"/>
        <v>0</v>
      </c>
      <c r="J28" s="57">
        <f t="shared" si="5"/>
        <v>0</v>
      </c>
      <c r="K28" s="57">
        <f t="shared" si="5"/>
        <v>0</v>
      </c>
      <c r="L28" s="57">
        <f t="shared" si="5"/>
        <v>0</v>
      </c>
      <c r="M28" s="57">
        <f t="shared" si="5"/>
        <v>0</v>
      </c>
      <c r="N28" s="57">
        <f t="shared" si="5"/>
        <v>0</v>
      </c>
      <c r="O28" s="57">
        <f t="shared" si="5"/>
        <v>0</v>
      </c>
      <c r="P28" s="57">
        <f t="shared" si="5"/>
        <v>0</v>
      </c>
      <c r="Q28" s="57">
        <f t="shared" si="5"/>
        <v>0</v>
      </c>
      <c r="R28" s="57">
        <f t="shared" si="5"/>
        <v>0</v>
      </c>
      <c r="S28" s="57">
        <f t="shared" si="5"/>
        <v>0</v>
      </c>
      <c r="T28" s="57">
        <f t="shared" si="5"/>
        <v>0</v>
      </c>
      <c r="U28" s="57">
        <f t="shared" si="5"/>
        <v>0</v>
      </c>
      <c r="V28" s="57">
        <f t="shared" si="5"/>
        <v>0</v>
      </c>
      <c r="W28" s="57">
        <f t="shared" si="5"/>
        <v>0</v>
      </c>
      <c r="X28" s="57">
        <f t="shared" si="5"/>
        <v>0</v>
      </c>
      <c r="Y28" s="57">
        <f t="shared" si="5"/>
        <v>0</v>
      </c>
      <c r="Z28" s="57">
        <f t="shared" si="5"/>
        <v>0</v>
      </c>
      <c r="AA28" s="57">
        <f t="shared" si="5"/>
        <v>0</v>
      </c>
      <c r="AB28" s="57">
        <f t="shared" si="5"/>
        <v>0</v>
      </c>
    </row>
    <row r="29" spans="1:28" ht="13.5" thickBot="1" x14ac:dyDescent="0.25">
      <c r="A29" s="4" t="s">
        <v>15</v>
      </c>
      <c r="C29" s="58">
        <f>+C17+C28</f>
        <v>31572450</v>
      </c>
      <c r="D29" s="58">
        <f t="shared" ref="D29:AB29" si="6">+D17+D28</f>
        <v>140321.99999999997</v>
      </c>
      <c r="E29" s="58">
        <f t="shared" si="6"/>
        <v>420966</v>
      </c>
      <c r="F29" s="58">
        <f t="shared" si="6"/>
        <v>701609.99999999988</v>
      </c>
      <c r="G29" s="58">
        <f t="shared" si="6"/>
        <v>982253.99999999977</v>
      </c>
      <c r="H29" s="58">
        <f t="shared" si="6"/>
        <v>1262897.9999999998</v>
      </c>
      <c r="I29" s="58">
        <f t="shared" si="6"/>
        <v>1403219.9999999998</v>
      </c>
      <c r="J29" s="58">
        <f t="shared" si="6"/>
        <v>1403219.9999999998</v>
      </c>
      <c r="K29" s="58">
        <f t="shared" si="6"/>
        <v>1403219.9999999998</v>
      </c>
      <c r="L29" s="58">
        <f t="shared" si="6"/>
        <v>1403219.9999999998</v>
      </c>
      <c r="M29" s="58">
        <f t="shared" si="6"/>
        <v>1403219.9999999998</v>
      </c>
      <c r="N29" s="58">
        <f t="shared" si="6"/>
        <v>1403219.9999999998</v>
      </c>
      <c r="O29" s="58">
        <f t="shared" si="6"/>
        <v>1403219.9999999998</v>
      </c>
      <c r="P29" s="58">
        <f t="shared" si="6"/>
        <v>1403219.9999999998</v>
      </c>
      <c r="Q29" s="58">
        <f t="shared" si="6"/>
        <v>1403219.9999999998</v>
      </c>
      <c r="R29" s="58">
        <f t="shared" si="6"/>
        <v>1403219.9999999998</v>
      </c>
      <c r="S29" s="58">
        <f t="shared" si="6"/>
        <v>1403219.9999999998</v>
      </c>
      <c r="T29" s="58">
        <f t="shared" si="6"/>
        <v>1403219.9999999998</v>
      </c>
      <c r="U29" s="58">
        <f t="shared" si="6"/>
        <v>1403219.9999999998</v>
      </c>
      <c r="V29" s="58">
        <f t="shared" si="6"/>
        <v>1403219.9999999998</v>
      </c>
      <c r="W29" s="58">
        <f t="shared" si="6"/>
        <v>1403219.9999999998</v>
      </c>
      <c r="X29" s="58">
        <f t="shared" si="6"/>
        <v>1403219.9999999998</v>
      </c>
      <c r="Y29" s="58">
        <f t="shared" si="6"/>
        <v>1403219.9999999998</v>
      </c>
      <c r="Z29" s="58">
        <f t="shared" si="6"/>
        <v>1403219.9999999998</v>
      </c>
      <c r="AA29" s="58">
        <f t="shared" si="6"/>
        <v>1403219.9999999998</v>
      </c>
      <c r="AB29" s="58">
        <f t="shared" si="6"/>
        <v>1403219.9999999998</v>
      </c>
    </row>
    <row r="30" spans="1:28" ht="13.5" thickTop="1" x14ac:dyDescent="0.2">
      <c r="A30"/>
      <c r="B30" s="161" t="s">
        <v>233</v>
      </c>
      <c r="C30" s="162">
        <f>SUM(D30:AB30)</f>
        <v>17628102.797759995</v>
      </c>
      <c r="D30" s="163">
        <f>+D29*D3</f>
        <v>137142.30347999997</v>
      </c>
      <c r="E30" s="163">
        <f t="shared" ref="E30:AB30" si="7">+E29*E3</f>
        <v>392992.80930000002</v>
      </c>
      <c r="F30" s="163">
        <f t="shared" si="7"/>
        <v>625639.66919999989</v>
      </c>
      <c r="G30" s="163">
        <f t="shared" si="7"/>
        <v>836654.48957999982</v>
      </c>
      <c r="H30" s="163">
        <f t="shared" si="7"/>
        <v>1027493.8127999998</v>
      </c>
      <c r="I30" s="163">
        <f t="shared" si="7"/>
        <v>1090512.4229999997</v>
      </c>
      <c r="J30" s="163">
        <f t="shared" si="7"/>
        <v>1041652.3025999999</v>
      </c>
      <c r="K30" s="163">
        <f t="shared" si="7"/>
        <v>994981.20539999986</v>
      </c>
      <c r="L30" s="163">
        <f t="shared" si="7"/>
        <v>950400.90599999984</v>
      </c>
      <c r="M30" s="163">
        <f t="shared" si="7"/>
        <v>907813.17899999989</v>
      </c>
      <c r="N30" s="163">
        <f t="shared" si="7"/>
        <v>867133.83119999978</v>
      </c>
      <c r="O30" s="163">
        <f t="shared" si="7"/>
        <v>828278.66939999978</v>
      </c>
      <c r="P30" s="163">
        <f t="shared" si="7"/>
        <v>791163.5003999999</v>
      </c>
      <c r="Q30" s="163">
        <f t="shared" si="7"/>
        <v>755718.16319999995</v>
      </c>
      <c r="R30" s="163">
        <f t="shared" si="7"/>
        <v>721858.46459999995</v>
      </c>
      <c r="S30" s="163">
        <f t="shared" si="7"/>
        <v>689514.24359999981</v>
      </c>
      <c r="T30" s="163">
        <f t="shared" si="7"/>
        <v>658615.33919999993</v>
      </c>
      <c r="U30" s="163">
        <f t="shared" si="7"/>
        <v>629105.62259999989</v>
      </c>
      <c r="V30" s="163">
        <f t="shared" si="7"/>
        <v>600928.96499999997</v>
      </c>
      <c r="W30" s="163">
        <f t="shared" si="7"/>
        <v>574001.17319999984</v>
      </c>
      <c r="X30" s="163">
        <f t="shared" si="7"/>
        <v>548280.15059999994</v>
      </c>
      <c r="Y30" s="163">
        <f t="shared" si="7"/>
        <v>523709.76839999988</v>
      </c>
      <c r="Z30" s="163">
        <f t="shared" si="7"/>
        <v>500247.92999999988</v>
      </c>
      <c r="AA30" s="163">
        <f t="shared" si="7"/>
        <v>477838.50659999991</v>
      </c>
      <c r="AB30" s="163">
        <f t="shared" si="7"/>
        <v>456425.36939999991</v>
      </c>
    </row>
    <row r="31" spans="1:28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</row>
    <row r="32" spans="1:28" x14ac:dyDescent="0.2">
      <c r="B32" s="5" t="s">
        <v>71</v>
      </c>
      <c r="S32" s="24"/>
    </row>
    <row r="34" spans="1:28" x14ac:dyDescent="0.2">
      <c r="A34" s="4" t="s">
        <v>124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x14ac:dyDescent="0.2">
      <c r="B35" s="5" t="s">
        <v>6</v>
      </c>
      <c r="C35" s="24">
        <f t="shared" ref="C35:C43" si="8">SUM(D35:AB35)</f>
        <v>11680577.363258025</v>
      </c>
      <c r="D35" s="24">
        <f>('Data Inputs'!E7/2)*'Data Inputs'!E90</f>
        <v>51913.677170035677</v>
      </c>
      <c r="E35" s="24">
        <f>('Data Inputs'!E7+('Data Inputs'!F7/2))*'Data Inputs'!F90</f>
        <v>155741.03151010702</v>
      </c>
      <c r="F35" s="24">
        <f>('Data Inputs'!E7+'Data Inputs'!F7+('Data Inputs'!G7/2))*'Data Inputs'!G90</f>
        <v>259568.38585017837</v>
      </c>
      <c r="G35" s="24">
        <f>('Data Inputs'!E7+'Data Inputs'!F7+'Data Inputs'!G7+('Data Inputs'!H7/2))*'Data Inputs'!H90</f>
        <v>363395.74019024975</v>
      </c>
      <c r="H35" s="24">
        <f>('Data Inputs'!$E7+'Data Inputs'!$F7+'Data Inputs'!$G7+'Data Inputs'!$H7+('Data Inputs'!$I7/2))*'Data Inputs'!$I90</f>
        <v>467223.09453032108</v>
      </c>
      <c r="I35" s="24">
        <f>('Data Inputs'!$E7+'Data Inputs'!$F7+'Data Inputs'!$G7+'Data Inputs'!$H7+'Data Inputs'!$I7)*'Data Inputs'!$I90</f>
        <v>519136.77170035674</v>
      </c>
      <c r="J35" s="24">
        <f>('Data Inputs'!$E7+'Data Inputs'!$F7+'Data Inputs'!$G7+'Data Inputs'!$H7+'Data Inputs'!$I7)*'Data Inputs'!$I90</f>
        <v>519136.77170035674</v>
      </c>
      <c r="K35" s="24">
        <f>('Data Inputs'!$E7+'Data Inputs'!$F7+'Data Inputs'!$G7+'Data Inputs'!$H7+'Data Inputs'!$I7)*'Data Inputs'!$I90</f>
        <v>519136.77170035674</v>
      </c>
      <c r="L35" s="24">
        <f>('Data Inputs'!$E7+'Data Inputs'!$F7+'Data Inputs'!$G7+'Data Inputs'!$H7+'Data Inputs'!$I7)*'Data Inputs'!$I90</f>
        <v>519136.77170035674</v>
      </c>
      <c r="M35" s="24">
        <f>('Data Inputs'!$E7+'Data Inputs'!$F7+'Data Inputs'!$G7+'Data Inputs'!$H7+'Data Inputs'!$I7)*'Data Inputs'!$I90</f>
        <v>519136.77170035674</v>
      </c>
      <c r="N35" s="24">
        <f>('Data Inputs'!$E7+'Data Inputs'!$F7+'Data Inputs'!$G7+'Data Inputs'!$H7+'Data Inputs'!$I7)*'Data Inputs'!$I90</f>
        <v>519136.77170035674</v>
      </c>
      <c r="O35" s="24">
        <f>('Data Inputs'!$E7+'Data Inputs'!$F7+'Data Inputs'!$G7+'Data Inputs'!$H7+'Data Inputs'!$I7)*'Data Inputs'!$I90</f>
        <v>519136.77170035674</v>
      </c>
      <c r="P35" s="24">
        <f>('Data Inputs'!$E7+'Data Inputs'!$F7+'Data Inputs'!$G7+'Data Inputs'!$H7+'Data Inputs'!$I7)*'Data Inputs'!$I90</f>
        <v>519136.77170035674</v>
      </c>
      <c r="Q35" s="24">
        <f>('Data Inputs'!$E7+'Data Inputs'!$F7+'Data Inputs'!$G7+'Data Inputs'!$H7+'Data Inputs'!$I7)*'Data Inputs'!$I90</f>
        <v>519136.77170035674</v>
      </c>
      <c r="R35" s="24">
        <f>('Data Inputs'!$E7+'Data Inputs'!$F7+'Data Inputs'!$G7+'Data Inputs'!$H7+'Data Inputs'!$I7)*'Data Inputs'!$I90</f>
        <v>519136.77170035674</v>
      </c>
      <c r="S35" s="24">
        <f>('Data Inputs'!$E7+'Data Inputs'!$F7+'Data Inputs'!$G7+'Data Inputs'!$H7+'Data Inputs'!$I7)*'Data Inputs'!$I90</f>
        <v>519136.77170035674</v>
      </c>
      <c r="T35" s="24">
        <f>('Data Inputs'!$E7+'Data Inputs'!$F7+'Data Inputs'!$G7+'Data Inputs'!$H7+'Data Inputs'!$I7)*'Data Inputs'!$I90</f>
        <v>519136.77170035674</v>
      </c>
      <c r="U35" s="24">
        <f>('Data Inputs'!$E7+'Data Inputs'!$F7+'Data Inputs'!$G7+'Data Inputs'!$H7+'Data Inputs'!$I7)*'Data Inputs'!$I90</f>
        <v>519136.77170035674</v>
      </c>
      <c r="V35" s="24">
        <f>('Data Inputs'!$E7+'Data Inputs'!$F7+'Data Inputs'!$G7+'Data Inputs'!$H7+'Data Inputs'!$I7)*'Data Inputs'!$I90</f>
        <v>519136.77170035674</v>
      </c>
      <c r="W35" s="24">
        <f>('Data Inputs'!$E7+'Data Inputs'!$F7+'Data Inputs'!$G7+'Data Inputs'!$H7+'Data Inputs'!$I7)*'Data Inputs'!$I90</f>
        <v>519136.77170035674</v>
      </c>
      <c r="X35" s="24">
        <f>('Data Inputs'!$E7+'Data Inputs'!$F7+'Data Inputs'!$G7+'Data Inputs'!$H7+'Data Inputs'!$I7)*'Data Inputs'!$I90</f>
        <v>519136.77170035674</v>
      </c>
      <c r="Y35" s="24">
        <f>('Data Inputs'!$E7+'Data Inputs'!$F7+'Data Inputs'!$G7+'Data Inputs'!$H7+'Data Inputs'!$I7)*'Data Inputs'!$I90</f>
        <v>519136.77170035674</v>
      </c>
      <c r="Z35" s="24">
        <f>('Data Inputs'!$E7+'Data Inputs'!$F7+'Data Inputs'!$G7+'Data Inputs'!$H7+'Data Inputs'!$I7)*'Data Inputs'!$I90</f>
        <v>519136.77170035674</v>
      </c>
      <c r="AA35" s="24">
        <f>('Data Inputs'!$E7+'Data Inputs'!$F7+'Data Inputs'!$G7+'Data Inputs'!$H7+'Data Inputs'!$I7)*'Data Inputs'!$I90</f>
        <v>519136.77170035674</v>
      </c>
      <c r="AB35" s="24">
        <f>('Data Inputs'!$E7+'Data Inputs'!$F7+'Data Inputs'!$G7+'Data Inputs'!$H7+'Data Inputs'!$I7)*'Data Inputs'!$I90</f>
        <v>519136.77170035674</v>
      </c>
    </row>
    <row r="36" spans="1:28" x14ac:dyDescent="0.2">
      <c r="B36" s="5" t="s">
        <v>78</v>
      </c>
      <c r="C36" s="24">
        <f t="shared" si="8"/>
        <v>0</v>
      </c>
      <c r="D36" s="24">
        <f>('Data Inputs'!E8/2)*'Data Inputs'!E91</f>
        <v>0</v>
      </c>
      <c r="E36" s="24">
        <f>('Data Inputs'!E8+('Data Inputs'!F8/2))*'Data Inputs'!F91</f>
        <v>0</v>
      </c>
      <c r="F36" s="24">
        <f>('Data Inputs'!E8+'Data Inputs'!F8+('Data Inputs'!G8/2))*'Data Inputs'!G91</f>
        <v>0</v>
      </c>
      <c r="G36" s="24">
        <f>('Data Inputs'!E8+'Data Inputs'!F8+'Data Inputs'!G8+('Data Inputs'!H8/2))*'Data Inputs'!H91</f>
        <v>0</v>
      </c>
      <c r="H36" s="24">
        <f>('Data Inputs'!$E8+'Data Inputs'!$F8+'Data Inputs'!$G8+'Data Inputs'!$H8+('Data Inputs'!$I8/2))*'Data Inputs'!$I91</f>
        <v>0</v>
      </c>
      <c r="I36" s="24">
        <f>('Data Inputs'!$E8+'Data Inputs'!$F8+'Data Inputs'!$G8+'Data Inputs'!$H8+'Data Inputs'!$I8)*'Data Inputs'!$I91</f>
        <v>0</v>
      </c>
      <c r="J36" s="24">
        <f>('Data Inputs'!$E8+'Data Inputs'!$F8+'Data Inputs'!$G8+'Data Inputs'!$H8+'Data Inputs'!$I8)*'Data Inputs'!$I91</f>
        <v>0</v>
      </c>
      <c r="K36" s="24">
        <f>('Data Inputs'!$E8+'Data Inputs'!$F8+'Data Inputs'!$G8+'Data Inputs'!$H8+'Data Inputs'!$I8)*'Data Inputs'!$I91</f>
        <v>0</v>
      </c>
      <c r="L36" s="24">
        <f>('Data Inputs'!$E8+'Data Inputs'!$F8+'Data Inputs'!$G8+'Data Inputs'!$H8+'Data Inputs'!$I8)*'Data Inputs'!$I91</f>
        <v>0</v>
      </c>
      <c r="M36" s="24">
        <f>('Data Inputs'!$E8+'Data Inputs'!$F8+'Data Inputs'!$G8+'Data Inputs'!$H8+'Data Inputs'!$I8)*'Data Inputs'!$I91</f>
        <v>0</v>
      </c>
      <c r="N36" s="24">
        <f>('Data Inputs'!$E8+'Data Inputs'!$F8+'Data Inputs'!$G8+'Data Inputs'!$H8+'Data Inputs'!$I8)*'Data Inputs'!$I91</f>
        <v>0</v>
      </c>
      <c r="O36" s="24">
        <f>('Data Inputs'!$E8+'Data Inputs'!$F8+'Data Inputs'!$G8+'Data Inputs'!$H8+'Data Inputs'!$I8)*'Data Inputs'!$I91</f>
        <v>0</v>
      </c>
      <c r="P36" s="24">
        <f>('Data Inputs'!$E8+'Data Inputs'!$F8+'Data Inputs'!$G8+'Data Inputs'!$H8+'Data Inputs'!$I8)*'Data Inputs'!$I91</f>
        <v>0</v>
      </c>
      <c r="Q36" s="24">
        <f>('Data Inputs'!$E8+'Data Inputs'!$F8+'Data Inputs'!$G8+'Data Inputs'!$H8+'Data Inputs'!$I8)*'Data Inputs'!$I91</f>
        <v>0</v>
      </c>
      <c r="R36" s="24">
        <f>('Data Inputs'!$E8+'Data Inputs'!$F8+'Data Inputs'!$G8+'Data Inputs'!$H8+'Data Inputs'!$I8)*'Data Inputs'!$I91</f>
        <v>0</v>
      </c>
      <c r="S36" s="24">
        <f>('Data Inputs'!$E8+'Data Inputs'!$F8+'Data Inputs'!$G8+'Data Inputs'!$H8+'Data Inputs'!$I8)*'Data Inputs'!$I91</f>
        <v>0</v>
      </c>
      <c r="T36" s="24">
        <f>('Data Inputs'!$E8+'Data Inputs'!$F8+'Data Inputs'!$G8+'Data Inputs'!$H8+'Data Inputs'!$I8)*'Data Inputs'!$I91</f>
        <v>0</v>
      </c>
      <c r="U36" s="24">
        <f>('Data Inputs'!$E8+'Data Inputs'!$F8+'Data Inputs'!$G8+'Data Inputs'!$H8+'Data Inputs'!$I8)*'Data Inputs'!$I91</f>
        <v>0</v>
      </c>
      <c r="V36" s="24">
        <f>('Data Inputs'!$E8+'Data Inputs'!$F8+'Data Inputs'!$G8+'Data Inputs'!$H8+'Data Inputs'!$I8)*'Data Inputs'!$I91</f>
        <v>0</v>
      </c>
      <c r="W36" s="24">
        <f>('Data Inputs'!$E8+'Data Inputs'!$F8+'Data Inputs'!$G8+'Data Inputs'!$H8+'Data Inputs'!$I8)*'Data Inputs'!$I91</f>
        <v>0</v>
      </c>
      <c r="X36" s="24">
        <f>('Data Inputs'!$E8+'Data Inputs'!$F8+'Data Inputs'!$G8+'Data Inputs'!$H8+'Data Inputs'!$I8)*'Data Inputs'!$I91</f>
        <v>0</v>
      </c>
      <c r="Y36" s="24">
        <f>('Data Inputs'!$E8+'Data Inputs'!$F8+'Data Inputs'!$G8+'Data Inputs'!$H8+'Data Inputs'!$I8)*'Data Inputs'!$I91</f>
        <v>0</v>
      </c>
      <c r="Z36" s="24">
        <f>('Data Inputs'!$E8+'Data Inputs'!$F8+'Data Inputs'!$G8+'Data Inputs'!$H8+'Data Inputs'!$I8)*'Data Inputs'!$I91</f>
        <v>0</v>
      </c>
      <c r="AA36" s="24">
        <f>('Data Inputs'!$E8+'Data Inputs'!$F8+'Data Inputs'!$G8+'Data Inputs'!$H8+'Data Inputs'!$I8)*'Data Inputs'!$I91</f>
        <v>0</v>
      </c>
      <c r="AB36" s="24">
        <f>('Data Inputs'!$E8+'Data Inputs'!$F8+'Data Inputs'!$G8+'Data Inputs'!$H8+'Data Inputs'!$I8)*'Data Inputs'!$I91</f>
        <v>0</v>
      </c>
    </row>
    <row r="37" spans="1:28" x14ac:dyDescent="0.2">
      <c r="B37" s="5" t="s">
        <v>174</v>
      </c>
      <c r="C37" s="24">
        <f t="shared" si="8"/>
        <v>0</v>
      </c>
      <c r="D37" s="24">
        <f>('Data Inputs'!E9/2)*'Data Inputs'!E92</f>
        <v>0</v>
      </c>
      <c r="E37" s="24">
        <f>('Data Inputs'!E9+('Data Inputs'!F9/2))*'Data Inputs'!F92</f>
        <v>0</v>
      </c>
      <c r="F37" s="24">
        <f>('Data Inputs'!E9+'Data Inputs'!F9+('Data Inputs'!G9/2))*'Data Inputs'!G92</f>
        <v>0</v>
      </c>
      <c r="G37" s="24">
        <f>('Data Inputs'!E9+'Data Inputs'!F9+'Data Inputs'!G9+('Data Inputs'!H9/2))*'Data Inputs'!H92</f>
        <v>0</v>
      </c>
      <c r="H37" s="24">
        <f>('Data Inputs'!$E9+'Data Inputs'!$F9+'Data Inputs'!$G9+'Data Inputs'!$H9+('Data Inputs'!$I9/2))*'Data Inputs'!$I92</f>
        <v>0</v>
      </c>
      <c r="I37" s="24">
        <f>('Data Inputs'!$E9+'Data Inputs'!$F9+'Data Inputs'!$G9+'Data Inputs'!$H9+'Data Inputs'!$I9)*'Data Inputs'!$I92</f>
        <v>0</v>
      </c>
      <c r="J37" s="24">
        <f>('Data Inputs'!$E9+'Data Inputs'!$F9+'Data Inputs'!$G9+'Data Inputs'!$H9+'Data Inputs'!$I9)*'Data Inputs'!$I92</f>
        <v>0</v>
      </c>
      <c r="K37" s="24">
        <f>('Data Inputs'!$E9+'Data Inputs'!$F9+'Data Inputs'!$G9+'Data Inputs'!$H9+'Data Inputs'!$I9)*'Data Inputs'!$I92</f>
        <v>0</v>
      </c>
      <c r="L37" s="24">
        <f>('Data Inputs'!$E9+'Data Inputs'!$F9+'Data Inputs'!$G9+'Data Inputs'!$H9+'Data Inputs'!$I9)*'Data Inputs'!$I92</f>
        <v>0</v>
      </c>
      <c r="M37" s="24">
        <f>('Data Inputs'!$E9+'Data Inputs'!$F9+'Data Inputs'!$G9+'Data Inputs'!$H9+'Data Inputs'!$I9)*'Data Inputs'!$I92</f>
        <v>0</v>
      </c>
      <c r="N37" s="24">
        <f>('Data Inputs'!$E9+'Data Inputs'!$F9+'Data Inputs'!$G9+'Data Inputs'!$H9+'Data Inputs'!$I9)*'Data Inputs'!$I92</f>
        <v>0</v>
      </c>
      <c r="O37" s="24">
        <f>('Data Inputs'!$E9+'Data Inputs'!$F9+'Data Inputs'!$G9+'Data Inputs'!$H9+'Data Inputs'!$I9)*'Data Inputs'!$I92</f>
        <v>0</v>
      </c>
      <c r="P37" s="24">
        <f>('Data Inputs'!$E9+'Data Inputs'!$F9+'Data Inputs'!$G9+'Data Inputs'!$H9+'Data Inputs'!$I9)*'Data Inputs'!$I92</f>
        <v>0</v>
      </c>
      <c r="Q37" s="24">
        <f>('Data Inputs'!$E9+'Data Inputs'!$F9+'Data Inputs'!$G9+'Data Inputs'!$H9+'Data Inputs'!$I9)*'Data Inputs'!$I92</f>
        <v>0</v>
      </c>
      <c r="R37" s="24">
        <f>('Data Inputs'!$E9+'Data Inputs'!$F9+'Data Inputs'!$G9+'Data Inputs'!$H9+'Data Inputs'!$I9)*'Data Inputs'!$I92</f>
        <v>0</v>
      </c>
      <c r="S37" s="24">
        <f>('Data Inputs'!$E9+'Data Inputs'!$F9+'Data Inputs'!$G9+'Data Inputs'!$H9+'Data Inputs'!$I9)*'Data Inputs'!$I92</f>
        <v>0</v>
      </c>
      <c r="T37" s="24">
        <f>('Data Inputs'!$E9+'Data Inputs'!$F9+'Data Inputs'!$G9+'Data Inputs'!$H9+'Data Inputs'!$I9)*'Data Inputs'!$I92</f>
        <v>0</v>
      </c>
      <c r="U37" s="24">
        <f>('Data Inputs'!$E9+'Data Inputs'!$F9+'Data Inputs'!$G9+'Data Inputs'!$H9+'Data Inputs'!$I9)*'Data Inputs'!$I92</f>
        <v>0</v>
      </c>
      <c r="V37" s="24">
        <f>('Data Inputs'!$E9+'Data Inputs'!$F9+'Data Inputs'!$G9+'Data Inputs'!$H9+'Data Inputs'!$I9)*'Data Inputs'!$I92</f>
        <v>0</v>
      </c>
      <c r="W37" s="24">
        <f>('Data Inputs'!$E9+'Data Inputs'!$F9+'Data Inputs'!$G9+'Data Inputs'!$H9+'Data Inputs'!$I9)*'Data Inputs'!$I92</f>
        <v>0</v>
      </c>
      <c r="X37" s="24">
        <f>('Data Inputs'!$E9+'Data Inputs'!$F9+'Data Inputs'!$G9+'Data Inputs'!$H9+'Data Inputs'!$I9)*'Data Inputs'!$I92</f>
        <v>0</v>
      </c>
      <c r="Y37" s="24">
        <f>('Data Inputs'!$E9+'Data Inputs'!$F9+'Data Inputs'!$G9+'Data Inputs'!$H9+'Data Inputs'!$I9)*'Data Inputs'!$I92</f>
        <v>0</v>
      </c>
      <c r="Z37" s="24">
        <f>('Data Inputs'!$E9+'Data Inputs'!$F9+'Data Inputs'!$G9+'Data Inputs'!$H9+'Data Inputs'!$I9)*'Data Inputs'!$I92</f>
        <v>0</v>
      </c>
      <c r="AA37" s="24">
        <f>('Data Inputs'!$E9+'Data Inputs'!$F9+'Data Inputs'!$G9+'Data Inputs'!$H9+'Data Inputs'!$I9)*'Data Inputs'!$I92</f>
        <v>0</v>
      </c>
      <c r="AB37" s="24">
        <f>('Data Inputs'!$E9+'Data Inputs'!$F9+'Data Inputs'!$G9+'Data Inputs'!$H9+'Data Inputs'!$I9)*'Data Inputs'!$I92</f>
        <v>0</v>
      </c>
    </row>
    <row r="38" spans="1:28" x14ac:dyDescent="0.2">
      <c r="B38" s="5" t="s">
        <v>175</v>
      </c>
      <c r="C38" s="24">
        <f t="shared" si="8"/>
        <v>0</v>
      </c>
      <c r="D38" s="24">
        <f>('Data Inputs'!E10/2)*'Data Inputs'!E92</f>
        <v>0</v>
      </c>
      <c r="E38" s="24">
        <f>('Data Inputs'!E10+('Data Inputs'!F10/2))*'Data Inputs'!F92</f>
        <v>0</v>
      </c>
      <c r="F38" s="24">
        <f>('Data Inputs'!E10+'Data Inputs'!F10+('Data Inputs'!G10/2))*'Data Inputs'!G92</f>
        <v>0</v>
      </c>
      <c r="G38" s="24">
        <f>('Data Inputs'!E10+'Data Inputs'!F10+'Data Inputs'!G10+('Data Inputs'!H10/2))*'Data Inputs'!H92</f>
        <v>0</v>
      </c>
      <c r="H38" s="24">
        <f>('Data Inputs'!$E10+'Data Inputs'!$F10+'Data Inputs'!$G10+'Data Inputs'!$H10+('Data Inputs'!$I10/2))*'Data Inputs'!$I92</f>
        <v>0</v>
      </c>
      <c r="I38" s="24">
        <f>('Data Inputs'!$E10+'Data Inputs'!$F10+'Data Inputs'!$G10+'Data Inputs'!$H10+'Data Inputs'!$I10)*'Data Inputs'!$I92</f>
        <v>0</v>
      </c>
      <c r="J38" s="24">
        <f>('Data Inputs'!$E10+'Data Inputs'!$F10+'Data Inputs'!$G10+'Data Inputs'!$H10+'Data Inputs'!$I10)*'Data Inputs'!$I92</f>
        <v>0</v>
      </c>
      <c r="K38" s="24">
        <f>('Data Inputs'!$E10+'Data Inputs'!$F10+'Data Inputs'!$G10+'Data Inputs'!$H10+'Data Inputs'!$I10)*'Data Inputs'!$I92</f>
        <v>0</v>
      </c>
      <c r="L38" s="24">
        <f>('Data Inputs'!$E10+'Data Inputs'!$F10+'Data Inputs'!$G10+'Data Inputs'!$H10+'Data Inputs'!$I10)*'Data Inputs'!$I92</f>
        <v>0</v>
      </c>
      <c r="M38" s="24">
        <f>('Data Inputs'!$E10+'Data Inputs'!$F10+'Data Inputs'!$G10+'Data Inputs'!$H10+'Data Inputs'!$I10)*'Data Inputs'!$I92</f>
        <v>0</v>
      </c>
      <c r="N38" s="24">
        <f>('Data Inputs'!$E10+'Data Inputs'!$F10+'Data Inputs'!$G10+'Data Inputs'!$H10+'Data Inputs'!$I10)*'Data Inputs'!$I92</f>
        <v>0</v>
      </c>
      <c r="O38" s="24">
        <f>('Data Inputs'!$E10+'Data Inputs'!$F10+'Data Inputs'!$G10+'Data Inputs'!$H10+'Data Inputs'!$I10)*'Data Inputs'!$I92</f>
        <v>0</v>
      </c>
      <c r="P38" s="24">
        <f>('Data Inputs'!$E10+'Data Inputs'!$F10+'Data Inputs'!$G10+'Data Inputs'!$H10+'Data Inputs'!$I10)*'Data Inputs'!$I92</f>
        <v>0</v>
      </c>
      <c r="Q38" s="24">
        <f>('Data Inputs'!$E10+'Data Inputs'!$F10+'Data Inputs'!$G10+'Data Inputs'!$H10+'Data Inputs'!$I10)*'Data Inputs'!$I92</f>
        <v>0</v>
      </c>
      <c r="R38" s="24">
        <f>('Data Inputs'!$E10+'Data Inputs'!$F10+'Data Inputs'!$G10+'Data Inputs'!$H10+'Data Inputs'!$I10)*'Data Inputs'!$I92</f>
        <v>0</v>
      </c>
      <c r="S38" s="24">
        <f>('Data Inputs'!$E10+'Data Inputs'!$F10+'Data Inputs'!$G10+'Data Inputs'!$H10+'Data Inputs'!$I10)*'Data Inputs'!$I92</f>
        <v>0</v>
      </c>
      <c r="T38" s="24">
        <f>('Data Inputs'!$E10+'Data Inputs'!$F10+'Data Inputs'!$G10+'Data Inputs'!$H10+'Data Inputs'!$I10)*'Data Inputs'!$I92</f>
        <v>0</v>
      </c>
      <c r="U38" s="24">
        <f>('Data Inputs'!$E10+'Data Inputs'!$F10+'Data Inputs'!$G10+'Data Inputs'!$H10+'Data Inputs'!$I10)*'Data Inputs'!$I92</f>
        <v>0</v>
      </c>
      <c r="V38" s="24">
        <f>('Data Inputs'!$E10+'Data Inputs'!$F10+'Data Inputs'!$G10+'Data Inputs'!$H10+'Data Inputs'!$I10)*'Data Inputs'!$I92</f>
        <v>0</v>
      </c>
      <c r="W38" s="24">
        <f>('Data Inputs'!$E10+'Data Inputs'!$F10+'Data Inputs'!$G10+'Data Inputs'!$H10+'Data Inputs'!$I10)*'Data Inputs'!$I92</f>
        <v>0</v>
      </c>
      <c r="X38" s="24">
        <f>('Data Inputs'!$E10+'Data Inputs'!$F10+'Data Inputs'!$G10+'Data Inputs'!$H10+'Data Inputs'!$I10)*'Data Inputs'!$I92</f>
        <v>0</v>
      </c>
      <c r="Y38" s="24">
        <f>('Data Inputs'!$E10+'Data Inputs'!$F10+'Data Inputs'!$G10+'Data Inputs'!$H10+'Data Inputs'!$I10)*'Data Inputs'!$I92</f>
        <v>0</v>
      </c>
      <c r="Z38" s="24">
        <f>('Data Inputs'!$E10+'Data Inputs'!$F10+'Data Inputs'!$G10+'Data Inputs'!$H10+'Data Inputs'!$I10)*'Data Inputs'!$I92</f>
        <v>0</v>
      </c>
      <c r="AA38" s="24">
        <f>('Data Inputs'!$E10+'Data Inputs'!$F10+'Data Inputs'!$G10+'Data Inputs'!$H10+'Data Inputs'!$I10)*'Data Inputs'!$I92</f>
        <v>0</v>
      </c>
      <c r="AB38" s="24">
        <f>('Data Inputs'!$E10+'Data Inputs'!$F10+'Data Inputs'!$G10+'Data Inputs'!$H10+'Data Inputs'!$I10)*'Data Inputs'!$I92</f>
        <v>0</v>
      </c>
    </row>
    <row r="39" spans="1:28" x14ac:dyDescent="0.2">
      <c r="B39" s="5" t="s">
        <v>7</v>
      </c>
      <c r="C39" s="24">
        <f t="shared" si="8"/>
        <v>0</v>
      </c>
      <c r="D39" s="24">
        <f>('Data Inputs'!E11/2)*'Data Inputs'!E94</f>
        <v>0</v>
      </c>
      <c r="E39" s="24">
        <f>('Data Inputs'!E11+('Data Inputs'!F11/2))*'Data Inputs'!F94</f>
        <v>0</v>
      </c>
      <c r="F39" s="24">
        <f>('Data Inputs'!E11+'Data Inputs'!F11+('Data Inputs'!G11/2))*'Data Inputs'!G94</f>
        <v>0</v>
      </c>
      <c r="G39" s="24">
        <f>('Data Inputs'!E11+'Data Inputs'!F11+'Data Inputs'!G11+('Data Inputs'!H11/2))*'Data Inputs'!H94</f>
        <v>0</v>
      </c>
      <c r="H39" s="24">
        <f>('Data Inputs'!$E11+'Data Inputs'!$F11+'Data Inputs'!$G11+'Data Inputs'!$H11+('Data Inputs'!$I11/2))*'Data Inputs'!$I94</f>
        <v>0</v>
      </c>
      <c r="I39" s="24">
        <f>('Data Inputs'!$E11+'Data Inputs'!$F11+'Data Inputs'!$G11+'Data Inputs'!$H11+'Data Inputs'!$I11)*'Data Inputs'!$I94</f>
        <v>0</v>
      </c>
      <c r="J39" s="24">
        <f>('Data Inputs'!$E11+'Data Inputs'!$F11+'Data Inputs'!$G11+'Data Inputs'!$H11+'Data Inputs'!$I11)*'Data Inputs'!$I94</f>
        <v>0</v>
      </c>
      <c r="K39" s="24">
        <f>('Data Inputs'!$E11+'Data Inputs'!$F11+'Data Inputs'!$G11+'Data Inputs'!$H11+'Data Inputs'!$I11)*'Data Inputs'!$I94</f>
        <v>0</v>
      </c>
      <c r="L39" s="24">
        <f>('Data Inputs'!$E11+'Data Inputs'!$F11+'Data Inputs'!$G11+'Data Inputs'!$H11+'Data Inputs'!$I11)*'Data Inputs'!$I94</f>
        <v>0</v>
      </c>
      <c r="M39" s="24">
        <f>('Data Inputs'!$E11+'Data Inputs'!$F11+'Data Inputs'!$G11+'Data Inputs'!$H11+'Data Inputs'!$I11)*'Data Inputs'!$I94</f>
        <v>0</v>
      </c>
      <c r="N39" s="24">
        <f>('Data Inputs'!$E11+'Data Inputs'!$F11+'Data Inputs'!$G11+'Data Inputs'!$H11+'Data Inputs'!$I11)*'Data Inputs'!$I94</f>
        <v>0</v>
      </c>
      <c r="O39" s="24">
        <f>('Data Inputs'!$E11+'Data Inputs'!$F11+'Data Inputs'!$G11+'Data Inputs'!$H11+'Data Inputs'!$I11)*'Data Inputs'!$I94</f>
        <v>0</v>
      </c>
      <c r="P39" s="24">
        <f>('Data Inputs'!$E11+'Data Inputs'!$F11+'Data Inputs'!$G11+'Data Inputs'!$H11+'Data Inputs'!$I11)*'Data Inputs'!$I94</f>
        <v>0</v>
      </c>
      <c r="Q39" s="24">
        <f>('Data Inputs'!$E11+'Data Inputs'!$F11+'Data Inputs'!$G11+'Data Inputs'!$H11+'Data Inputs'!$I11)*'Data Inputs'!$I94</f>
        <v>0</v>
      </c>
      <c r="R39" s="24">
        <f>('Data Inputs'!$E11+'Data Inputs'!$F11+'Data Inputs'!$G11+'Data Inputs'!$H11+'Data Inputs'!$I11)*'Data Inputs'!$I94</f>
        <v>0</v>
      </c>
      <c r="S39" s="24">
        <f>('Data Inputs'!$E11+'Data Inputs'!$F11+'Data Inputs'!$G11+'Data Inputs'!$H11+'Data Inputs'!$I11)*'Data Inputs'!$I94</f>
        <v>0</v>
      </c>
      <c r="T39" s="24">
        <f>('Data Inputs'!$E11+'Data Inputs'!$F11+'Data Inputs'!$G11+'Data Inputs'!$H11+'Data Inputs'!$I11)*'Data Inputs'!$I94</f>
        <v>0</v>
      </c>
      <c r="U39" s="24">
        <f>('Data Inputs'!$E11+'Data Inputs'!$F11+'Data Inputs'!$G11+'Data Inputs'!$H11+'Data Inputs'!$I11)*'Data Inputs'!$I94</f>
        <v>0</v>
      </c>
      <c r="V39" s="24">
        <f>('Data Inputs'!$E11+'Data Inputs'!$F11+'Data Inputs'!$G11+'Data Inputs'!$H11+'Data Inputs'!$I11)*'Data Inputs'!$I94</f>
        <v>0</v>
      </c>
      <c r="W39" s="24">
        <f>('Data Inputs'!$E11+'Data Inputs'!$F11+'Data Inputs'!$G11+'Data Inputs'!$H11+'Data Inputs'!$I11)*'Data Inputs'!$I94</f>
        <v>0</v>
      </c>
      <c r="X39" s="24">
        <f>('Data Inputs'!$E11+'Data Inputs'!$F11+'Data Inputs'!$G11+'Data Inputs'!$H11+'Data Inputs'!$I11)*'Data Inputs'!$I94</f>
        <v>0</v>
      </c>
      <c r="Y39" s="24">
        <f>('Data Inputs'!$E11+'Data Inputs'!$F11+'Data Inputs'!$G11+'Data Inputs'!$H11+'Data Inputs'!$I11)*'Data Inputs'!$I94</f>
        <v>0</v>
      </c>
      <c r="Z39" s="24">
        <f>('Data Inputs'!$E11+'Data Inputs'!$F11+'Data Inputs'!$G11+'Data Inputs'!$H11+'Data Inputs'!$I11)*'Data Inputs'!$I94</f>
        <v>0</v>
      </c>
      <c r="AA39" s="24">
        <f>('Data Inputs'!$E11+'Data Inputs'!$F11+'Data Inputs'!$G11+'Data Inputs'!$H11+'Data Inputs'!$I11)*'Data Inputs'!$I94</f>
        <v>0</v>
      </c>
      <c r="AB39" s="24">
        <f>('Data Inputs'!$E11+'Data Inputs'!$F11+'Data Inputs'!$G11+'Data Inputs'!$H11+'Data Inputs'!$I11)*'Data Inputs'!$I94</f>
        <v>0</v>
      </c>
    </row>
    <row r="40" spans="1:28" x14ac:dyDescent="0.2">
      <c r="B40" s="5" t="s">
        <v>83</v>
      </c>
      <c r="C40" s="24">
        <f t="shared" si="8"/>
        <v>0</v>
      </c>
      <c r="D40" s="24">
        <f>('Data Inputs'!E12/2)*'Data Inputs'!E95</f>
        <v>0</v>
      </c>
      <c r="E40" s="24">
        <f>('Data Inputs'!E12+('Data Inputs'!F12/2))*'Data Inputs'!F95</f>
        <v>0</v>
      </c>
      <c r="F40" s="24">
        <f>('Data Inputs'!E12+'Data Inputs'!F12+('Data Inputs'!G12/2))*'Data Inputs'!G95</f>
        <v>0</v>
      </c>
      <c r="G40" s="24">
        <f>('Data Inputs'!E12+'Data Inputs'!F12+'Data Inputs'!G12+('Data Inputs'!H12/2))*'Data Inputs'!H95</f>
        <v>0</v>
      </c>
      <c r="H40" s="24">
        <f>('Data Inputs'!$E12+'Data Inputs'!$F12+'Data Inputs'!$G12+'Data Inputs'!$H12+('Data Inputs'!$I12/2))*'Data Inputs'!$I95</f>
        <v>0</v>
      </c>
      <c r="I40" s="24">
        <f>('Data Inputs'!$E12+'Data Inputs'!$F12+'Data Inputs'!$G12+'Data Inputs'!$H12+'Data Inputs'!$I12)*'Data Inputs'!$I95</f>
        <v>0</v>
      </c>
      <c r="J40" s="24">
        <f>('Data Inputs'!$E12+'Data Inputs'!$F12+'Data Inputs'!$G12+'Data Inputs'!$H12+'Data Inputs'!$I12)*'Data Inputs'!$I95</f>
        <v>0</v>
      </c>
      <c r="K40" s="24">
        <f>('Data Inputs'!$E12+'Data Inputs'!$F12+'Data Inputs'!$G12+'Data Inputs'!$H12+'Data Inputs'!$I12)*'Data Inputs'!$I95</f>
        <v>0</v>
      </c>
      <c r="L40" s="24">
        <f>('Data Inputs'!$E12+'Data Inputs'!$F12+'Data Inputs'!$G12+'Data Inputs'!$H12+'Data Inputs'!$I12)*'Data Inputs'!$I95</f>
        <v>0</v>
      </c>
      <c r="M40" s="24">
        <f>('Data Inputs'!$E12+'Data Inputs'!$F12+'Data Inputs'!$G12+'Data Inputs'!$H12+'Data Inputs'!$I12)*'Data Inputs'!$I95</f>
        <v>0</v>
      </c>
      <c r="N40" s="24">
        <f>('Data Inputs'!$E12+'Data Inputs'!$F12+'Data Inputs'!$G12+'Data Inputs'!$H12+'Data Inputs'!$I12)*'Data Inputs'!$I95</f>
        <v>0</v>
      </c>
      <c r="O40" s="24">
        <f>('Data Inputs'!$E12+'Data Inputs'!$F12+'Data Inputs'!$G12+'Data Inputs'!$H12+'Data Inputs'!$I12)*'Data Inputs'!$I95</f>
        <v>0</v>
      </c>
      <c r="P40" s="24">
        <f>('Data Inputs'!$E12+'Data Inputs'!$F12+'Data Inputs'!$G12+'Data Inputs'!$H12+'Data Inputs'!$I12)*'Data Inputs'!$I95</f>
        <v>0</v>
      </c>
      <c r="Q40" s="24">
        <f>('Data Inputs'!$E12+'Data Inputs'!$F12+'Data Inputs'!$G12+'Data Inputs'!$H12+'Data Inputs'!$I12)*'Data Inputs'!$I95</f>
        <v>0</v>
      </c>
      <c r="R40" s="24">
        <f>('Data Inputs'!$E12+'Data Inputs'!$F12+'Data Inputs'!$G12+'Data Inputs'!$H12+'Data Inputs'!$I12)*'Data Inputs'!$I95</f>
        <v>0</v>
      </c>
      <c r="S40" s="24">
        <f>('Data Inputs'!$E12+'Data Inputs'!$F12+'Data Inputs'!$G12+'Data Inputs'!$H12+'Data Inputs'!$I12)*'Data Inputs'!$I95</f>
        <v>0</v>
      </c>
      <c r="T40" s="24">
        <f>('Data Inputs'!$E12+'Data Inputs'!$F12+'Data Inputs'!$G12+'Data Inputs'!$H12+'Data Inputs'!$I12)*'Data Inputs'!$I95</f>
        <v>0</v>
      </c>
      <c r="U40" s="24">
        <f>('Data Inputs'!$E12+'Data Inputs'!$F12+'Data Inputs'!$G12+'Data Inputs'!$H12+'Data Inputs'!$I12)*'Data Inputs'!$I95</f>
        <v>0</v>
      </c>
      <c r="V40" s="24">
        <f>('Data Inputs'!$E12+'Data Inputs'!$F12+'Data Inputs'!$G12+'Data Inputs'!$H12+'Data Inputs'!$I12)*'Data Inputs'!$I95</f>
        <v>0</v>
      </c>
      <c r="W40" s="24">
        <f>('Data Inputs'!$E12+'Data Inputs'!$F12+'Data Inputs'!$G12+'Data Inputs'!$H12+'Data Inputs'!$I12)*'Data Inputs'!$I95</f>
        <v>0</v>
      </c>
      <c r="X40" s="24">
        <f>('Data Inputs'!$E12+'Data Inputs'!$F12+'Data Inputs'!$G12+'Data Inputs'!$H12+'Data Inputs'!$I12)*'Data Inputs'!$I95</f>
        <v>0</v>
      </c>
      <c r="Y40" s="24">
        <f>('Data Inputs'!$E12+'Data Inputs'!$F12+'Data Inputs'!$G12+'Data Inputs'!$H12+'Data Inputs'!$I12)*'Data Inputs'!$I95</f>
        <v>0</v>
      </c>
      <c r="Z40" s="24">
        <f>('Data Inputs'!$E12+'Data Inputs'!$F12+'Data Inputs'!$G12+'Data Inputs'!$H12+'Data Inputs'!$I12)*'Data Inputs'!$I95</f>
        <v>0</v>
      </c>
      <c r="AA40" s="24">
        <f>('Data Inputs'!$E12+'Data Inputs'!$F12+'Data Inputs'!$G12+'Data Inputs'!$H12+'Data Inputs'!$I12)*'Data Inputs'!$I95</f>
        <v>0</v>
      </c>
      <c r="AB40" s="24">
        <f>('Data Inputs'!$E12+'Data Inputs'!$F12+'Data Inputs'!$G12+'Data Inputs'!$H12+'Data Inputs'!$I12)*'Data Inputs'!$I95</f>
        <v>0</v>
      </c>
    </row>
    <row r="41" spans="1:28" x14ac:dyDescent="0.2">
      <c r="B41" s="5" t="s">
        <v>83</v>
      </c>
      <c r="C41" s="24">
        <f t="shared" si="8"/>
        <v>0</v>
      </c>
      <c r="D41" s="24">
        <f>('Data Inputs'!E13/2)*'Data Inputs'!E96</f>
        <v>0</v>
      </c>
      <c r="E41" s="24">
        <f>('Data Inputs'!E13+('Data Inputs'!F13/2))*'Data Inputs'!F96</f>
        <v>0</v>
      </c>
      <c r="F41" s="24">
        <f>('Data Inputs'!E13+'Data Inputs'!F13+('Data Inputs'!G13/2))*'Data Inputs'!G96</f>
        <v>0</v>
      </c>
      <c r="G41" s="24">
        <f>('Data Inputs'!E13+'Data Inputs'!F13+'Data Inputs'!G13+('Data Inputs'!H13/2))*'Data Inputs'!H96</f>
        <v>0</v>
      </c>
      <c r="H41" s="24">
        <f>('Data Inputs'!$E13+'Data Inputs'!$F13+'Data Inputs'!$G13+'Data Inputs'!$H13+('Data Inputs'!$I13/2))*'Data Inputs'!$I96</f>
        <v>0</v>
      </c>
      <c r="I41" s="24">
        <f>('Data Inputs'!$E13+'Data Inputs'!$F13+'Data Inputs'!$G13+'Data Inputs'!$H13+'Data Inputs'!$I13)*'Data Inputs'!$I96</f>
        <v>0</v>
      </c>
      <c r="J41" s="24">
        <f>('Data Inputs'!$E13+'Data Inputs'!$F13+'Data Inputs'!$G13+'Data Inputs'!$H13+'Data Inputs'!$I13)*'Data Inputs'!$I96</f>
        <v>0</v>
      </c>
      <c r="K41" s="24">
        <f>('Data Inputs'!$E13+'Data Inputs'!$F13+'Data Inputs'!$G13+'Data Inputs'!$H13+'Data Inputs'!$I13)*'Data Inputs'!$I96</f>
        <v>0</v>
      </c>
      <c r="L41" s="24">
        <f>('Data Inputs'!$E13+'Data Inputs'!$F13+'Data Inputs'!$G13+'Data Inputs'!$H13+'Data Inputs'!$I13)*'Data Inputs'!$I96</f>
        <v>0</v>
      </c>
      <c r="M41" s="24">
        <f>('Data Inputs'!$E13+'Data Inputs'!$F13+'Data Inputs'!$G13+'Data Inputs'!$H13+'Data Inputs'!$I13)*'Data Inputs'!$I96</f>
        <v>0</v>
      </c>
      <c r="N41" s="24">
        <f>('Data Inputs'!$E13+'Data Inputs'!$F13+'Data Inputs'!$G13+'Data Inputs'!$H13+'Data Inputs'!$I13)*'Data Inputs'!$I96</f>
        <v>0</v>
      </c>
      <c r="O41" s="24">
        <f>('Data Inputs'!$E13+'Data Inputs'!$F13+'Data Inputs'!$G13+'Data Inputs'!$H13+'Data Inputs'!$I13)*'Data Inputs'!$I96</f>
        <v>0</v>
      </c>
      <c r="P41" s="24">
        <f>('Data Inputs'!$E13+'Data Inputs'!$F13+'Data Inputs'!$G13+'Data Inputs'!$H13+'Data Inputs'!$I13)*'Data Inputs'!$I96</f>
        <v>0</v>
      </c>
      <c r="Q41" s="24">
        <f>('Data Inputs'!$E13+'Data Inputs'!$F13+'Data Inputs'!$G13+'Data Inputs'!$H13+'Data Inputs'!$I13)*'Data Inputs'!$I96</f>
        <v>0</v>
      </c>
      <c r="R41" s="24">
        <f>('Data Inputs'!$E13+'Data Inputs'!$F13+'Data Inputs'!$G13+'Data Inputs'!$H13+'Data Inputs'!$I13)*'Data Inputs'!$I96</f>
        <v>0</v>
      </c>
      <c r="S41" s="24">
        <f>('Data Inputs'!$E13+'Data Inputs'!$F13+'Data Inputs'!$G13+'Data Inputs'!$H13+'Data Inputs'!$I13)*'Data Inputs'!$I96</f>
        <v>0</v>
      </c>
      <c r="T41" s="24">
        <f>('Data Inputs'!$E13+'Data Inputs'!$F13+'Data Inputs'!$G13+'Data Inputs'!$H13+'Data Inputs'!$I13)*'Data Inputs'!$I96</f>
        <v>0</v>
      </c>
      <c r="U41" s="24">
        <f>('Data Inputs'!$E13+'Data Inputs'!$F13+'Data Inputs'!$G13+'Data Inputs'!$H13+'Data Inputs'!$I13)*'Data Inputs'!$I96</f>
        <v>0</v>
      </c>
      <c r="V41" s="24">
        <f>('Data Inputs'!$E13+'Data Inputs'!$F13+'Data Inputs'!$G13+'Data Inputs'!$H13+'Data Inputs'!$I13)*'Data Inputs'!$I96</f>
        <v>0</v>
      </c>
      <c r="W41" s="24">
        <f>('Data Inputs'!$E13+'Data Inputs'!$F13+'Data Inputs'!$G13+'Data Inputs'!$H13+'Data Inputs'!$I13)*'Data Inputs'!$I96</f>
        <v>0</v>
      </c>
      <c r="X41" s="24">
        <f>('Data Inputs'!$E13+'Data Inputs'!$F13+'Data Inputs'!$G13+'Data Inputs'!$H13+'Data Inputs'!$I13)*'Data Inputs'!$I96</f>
        <v>0</v>
      </c>
      <c r="Y41" s="24">
        <f>('Data Inputs'!$E13+'Data Inputs'!$F13+'Data Inputs'!$G13+'Data Inputs'!$H13+'Data Inputs'!$I13)*'Data Inputs'!$I96</f>
        <v>0</v>
      </c>
      <c r="Z41" s="24">
        <f>('Data Inputs'!$E13+'Data Inputs'!$F13+'Data Inputs'!$G13+'Data Inputs'!$H13+'Data Inputs'!$I13)*'Data Inputs'!$I96</f>
        <v>0</v>
      </c>
      <c r="AA41" s="24">
        <f>('Data Inputs'!$E13+'Data Inputs'!$F13+'Data Inputs'!$G13+'Data Inputs'!$H13+'Data Inputs'!$I13)*'Data Inputs'!$I96</f>
        <v>0</v>
      </c>
      <c r="AB41" s="24">
        <f>('Data Inputs'!$E13+'Data Inputs'!$F13+'Data Inputs'!$G13+'Data Inputs'!$H13+'Data Inputs'!$I13)*'Data Inputs'!$I96</f>
        <v>0</v>
      </c>
    </row>
    <row r="42" spans="1:28" x14ac:dyDescent="0.2">
      <c r="B42" s="5" t="s">
        <v>84</v>
      </c>
      <c r="C42" s="24">
        <f t="shared" si="8"/>
        <v>0</v>
      </c>
      <c r="D42" s="24">
        <f>('Data Inputs'!E14/2)*'Data Inputs'!E97</f>
        <v>0</v>
      </c>
      <c r="E42" s="24">
        <f>('Data Inputs'!E14+('Data Inputs'!F14/2))*'Data Inputs'!F97</f>
        <v>0</v>
      </c>
      <c r="F42" s="24">
        <f>('Data Inputs'!E14+'Data Inputs'!F14+('Data Inputs'!G14/2))*'Data Inputs'!G97</f>
        <v>0</v>
      </c>
      <c r="G42" s="24">
        <f>('Data Inputs'!E14+'Data Inputs'!F14+'Data Inputs'!G14+('Data Inputs'!H14/2))*'Data Inputs'!H97</f>
        <v>0</v>
      </c>
      <c r="H42" s="24">
        <f>('Data Inputs'!$E14+'Data Inputs'!$F14+'Data Inputs'!$G14+'Data Inputs'!$H14+('Data Inputs'!$I14/2))*'Data Inputs'!$I97</f>
        <v>0</v>
      </c>
      <c r="I42" s="24">
        <f>('Data Inputs'!$E14+'Data Inputs'!$F14+'Data Inputs'!$G14+'Data Inputs'!$H14+'Data Inputs'!$I14)*'Data Inputs'!$I97</f>
        <v>0</v>
      </c>
      <c r="J42" s="24">
        <f>('Data Inputs'!$E14+'Data Inputs'!$F14+'Data Inputs'!$G14+'Data Inputs'!$H14+'Data Inputs'!$I14)*'Data Inputs'!$I97</f>
        <v>0</v>
      </c>
      <c r="K42" s="24">
        <f>('Data Inputs'!$E14+'Data Inputs'!$F14+'Data Inputs'!$G14+'Data Inputs'!$H14+'Data Inputs'!$I14)*'Data Inputs'!$I97</f>
        <v>0</v>
      </c>
      <c r="L42" s="24">
        <f>('Data Inputs'!$E14+'Data Inputs'!$F14+'Data Inputs'!$G14+'Data Inputs'!$H14+'Data Inputs'!$I14)*'Data Inputs'!$I97</f>
        <v>0</v>
      </c>
      <c r="M42" s="24">
        <f>('Data Inputs'!$E14+'Data Inputs'!$F14+'Data Inputs'!$G14+'Data Inputs'!$H14+'Data Inputs'!$I14)*'Data Inputs'!$I97</f>
        <v>0</v>
      </c>
      <c r="N42" s="24">
        <f>('Data Inputs'!$E14+'Data Inputs'!$F14+'Data Inputs'!$G14+'Data Inputs'!$H14+'Data Inputs'!$I14)*'Data Inputs'!$I97</f>
        <v>0</v>
      </c>
      <c r="O42" s="24">
        <f>('Data Inputs'!$E14+'Data Inputs'!$F14+'Data Inputs'!$G14+'Data Inputs'!$H14+'Data Inputs'!$I14)*'Data Inputs'!$I97</f>
        <v>0</v>
      </c>
      <c r="P42" s="24">
        <f>('Data Inputs'!$E14+'Data Inputs'!$F14+'Data Inputs'!$G14+'Data Inputs'!$H14+'Data Inputs'!$I14)*'Data Inputs'!$I97</f>
        <v>0</v>
      </c>
      <c r="Q42" s="24">
        <f>('Data Inputs'!$E14+'Data Inputs'!$F14+'Data Inputs'!$G14+'Data Inputs'!$H14+'Data Inputs'!$I14)*'Data Inputs'!$I97</f>
        <v>0</v>
      </c>
      <c r="R42" s="24">
        <f>('Data Inputs'!$E14+'Data Inputs'!$F14+'Data Inputs'!$G14+'Data Inputs'!$H14+'Data Inputs'!$I14)*'Data Inputs'!$I97</f>
        <v>0</v>
      </c>
      <c r="S42" s="24">
        <f>('Data Inputs'!$E14+'Data Inputs'!$F14+'Data Inputs'!$G14+'Data Inputs'!$H14+'Data Inputs'!$I14)*'Data Inputs'!$I97</f>
        <v>0</v>
      </c>
      <c r="T42" s="24">
        <f>('Data Inputs'!$E14+'Data Inputs'!$F14+'Data Inputs'!$G14+'Data Inputs'!$H14+'Data Inputs'!$I14)*'Data Inputs'!$I97</f>
        <v>0</v>
      </c>
      <c r="U42" s="24">
        <f>('Data Inputs'!$E14+'Data Inputs'!$F14+'Data Inputs'!$G14+'Data Inputs'!$H14+'Data Inputs'!$I14)*'Data Inputs'!$I97</f>
        <v>0</v>
      </c>
      <c r="V42" s="24">
        <f>('Data Inputs'!$E14+'Data Inputs'!$F14+'Data Inputs'!$G14+'Data Inputs'!$H14+'Data Inputs'!$I14)*'Data Inputs'!$I97</f>
        <v>0</v>
      </c>
      <c r="W42" s="24">
        <f>('Data Inputs'!$E14+'Data Inputs'!$F14+'Data Inputs'!$G14+'Data Inputs'!$H14+'Data Inputs'!$I14)*'Data Inputs'!$I97</f>
        <v>0</v>
      </c>
      <c r="X42" s="24">
        <f>('Data Inputs'!$E14+'Data Inputs'!$F14+'Data Inputs'!$G14+'Data Inputs'!$H14+'Data Inputs'!$I14)*'Data Inputs'!$I97</f>
        <v>0</v>
      </c>
      <c r="Y42" s="24">
        <f>('Data Inputs'!$E14+'Data Inputs'!$F14+'Data Inputs'!$G14+'Data Inputs'!$H14+'Data Inputs'!$I14)*'Data Inputs'!$I97</f>
        <v>0</v>
      </c>
      <c r="Z42" s="24">
        <f>('Data Inputs'!$E14+'Data Inputs'!$F14+'Data Inputs'!$G14+'Data Inputs'!$H14+'Data Inputs'!$I14)*'Data Inputs'!$I97</f>
        <v>0</v>
      </c>
      <c r="AA42" s="24">
        <f>('Data Inputs'!$E14+'Data Inputs'!$F14+'Data Inputs'!$G14+'Data Inputs'!$H14+'Data Inputs'!$I14)*'Data Inputs'!$I97</f>
        <v>0</v>
      </c>
      <c r="AB42" s="24">
        <f>('Data Inputs'!$E14+'Data Inputs'!$F14+'Data Inputs'!$G14+'Data Inputs'!$H14+'Data Inputs'!$I14)*'Data Inputs'!$I97</f>
        <v>0</v>
      </c>
    </row>
    <row r="43" spans="1:28" x14ac:dyDescent="0.2">
      <c r="B43" s="5" t="s">
        <v>84</v>
      </c>
      <c r="C43" s="59">
        <f t="shared" si="8"/>
        <v>0</v>
      </c>
      <c r="D43" s="59">
        <f>('Data Inputs'!E15/2)*'Data Inputs'!E98</f>
        <v>0</v>
      </c>
      <c r="E43" s="59">
        <f>('Data Inputs'!E15+('Data Inputs'!F15/2))*'Data Inputs'!F98</f>
        <v>0</v>
      </c>
      <c r="F43" s="59">
        <f>('Data Inputs'!E15+'Data Inputs'!F15+('Data Inputs'!G15/2))*'Data Inputs'!G98</f>
        <v>0</v>
      </c>
      <c r="G43" s="59">
        <f>('Data Inputs'!E15+'Data Inputs'!F15+'Data Inputs'!G15+('Data Inputs'!H15/2))*'Data Inputs'!H98</f>
        <v>0</v>
      </c>
      <c r="H43" s="59">
        <f>('Data Inputs'!$E15+'Data Inputs'!$F15+'Data Inputs'!$G15+'Data Inputs'!$H15+('Data Inputs'!$I15/2))*'Data Inputs'!$I98</f>
        <v>0</v>
      </c>
      <c r="I43" s="59">
        <f>('Data Inputs'!$E15+'Data Inputs'!$F15+'Data Inputs'!$G15+'Data Inputs'!$H15+'Data Inputs'!$I15)*'Data Inputs'!$I98</f>
        <v>0</v>
      </c>
      <c r="J43" s="59">
        <f>('Data Inputs'!$E15+'Data Inputs'!$F15+'Data Inputs'!$G15+'Data Inputs'!$H15+'Data Inputs'!$I15)*'Data Inputs'!$I98</f>
        <v>0</v>
      </c>
      <c r="K43" s="59">
        <f>('Data Inputs'!$E15+'Data Inputs'!$F15+'Data Inputs'!$G15+'Data Inputs'!$H15+'Data Inputs'!$I15)*'Data Inputs'!$I98</f>
        <v>0</v>
      </c>
      <c r="L43" s="59">
        <f>('Data Inputs'!$E15+'Data Inputs'!$F15+'Data Inputs'!$G15+'Data Inputs'!$H15+'Data Inputs'!$I15)*'Data Inputs'!$I98</f>
        <v>0</v>
      </c>
      <c r="M43" s="59">
        <f>('Data Inputs'!$E15+'Data Inputs'!$F15+'Data Inputs'!$G15+'Data Inputs'!$H15+'Data Inputs'!$I15)*'Data Inputs'!$I98</f>
        <v>0</v>
      </c>
      <c r="N43" s="59">
        <f>('Data Inputs'!$E15+'Data Inputs'!$F15+'Data Inputs'!$G15+'Data Inputs'!$H15+'Data Inputs'!$I15)*'Data Inputs'!$I98</f>
        <v>0</v>
      </c>
      <c r="O43" s="59">
        <f>('Data Inputs'!$E15+'Data Inputs'!$F15+'Data Inputs'!$G15+'Data Inputs'!$H15+'Data Inputs'!$I15)*'Data Inputs'!$I98</f>
        <v>0</v>
      </c>
      <c r="P43" s="59">
        <f>('Data Inputs'!$E15+'Data Inputs'!$F15+'Data Inputs'!$G15+'Data Inputs'!$H15+'Data Inputs'!$I15)*'Data Inputs'!$I98</f>
        <v>0</v>
      </c>
      <c r="Q43" s="59">
        <f>('Data Inputs'!$E15+'Data Inputs'!$F15+'Data Inputs'!$G15+'Data Inputs'!$H15+'Data Inputs'!$I15)*'Data Inputs'!$I98</f>
        <v>0</v>
      </c>
      <c r="R43" s="59">
        <f>('Data Inputs'!$E15+'Data Inputs'!$F15+'Data Inputs'!$G15+'Data Inputs'!$H15+'Data Inputs'!$I15)*'Data Inputs'!$I98</f>
        <v>0</v>
      </c>
      <c r="S43" s="59">
        <f>('Data Inputs'!$E15+'Data Inputs'!$F15+'Data Inputs'!$G15+'Data Inputs'!$H15+'Data Inputs'!$I15)*'Data Inputs'!$I98</f>
        <v>0</v>
      </c>
      <c r="T43" s="59">
        <f>('Data Inputs'!$E15+'Data Inputs'!$F15+'Data Inputs'!$G15+'Data Inputs'!$H15+'Data Inputs'!$I15)*'Data Inputs'!$I98</f>
        <v>0</v>
      </c>
      <c r="U43" s="59">
        <f>('Data Inputs'!$E15+'Data Inputs'!$F15+'Data Inputs'!$G15+'Data Inputs'!$H15+'Data Inputs'!$I15)*'Data Inputs'!$I98</f>
        <v>0</v>
      </c>
      <c r="V43" s="59">
        <f>('Data Inputs'!$E15+'Data Inputs'!$F15+'Data Inputs'!$G15+'Data Inputs'!$H15+'Data Inputs'!$I15)*'Data Inputs'!$I98</f>
        <v>0</v>
      </c>
      <c r="W43" s="59">
        <f>('Data Inputs'!$E15+'Data Inputs'!$F15+'Data Inputs'!$G15+'Data Inputs'!$H15+'Data Inputs'!$I15)*'Data Inputs'!$I98</f>
        <v>0</v>
      </c>
      <c r="X43" s="59">
        <f>('Data Inputs'!$E15+'Data Inputs'!$F15+'Data Inputs'!$G15+'Data Inputs'!$H15+'Data Inputs'!$I15)*'Data Inputs'!$I98</f>
        <v>0</v>
      </c>
      <c r="Y43" s="59">
        <f>('Data Inputs'!$E15+'Data Inputs'!$F15+'Data Inputs'!$G15+'Data Inputs'!$H15+'Data Inputs'!$I15)*'Data Inputs'!$I98</f>
        <v>0</v>
      </c>
      <c r="Z43" s="59">
        <f>('Data Inputs'!$E15+'Data Inputs'!$F15+'Data Inputs'!$G15+'Data Inputs'!$H15+'Data Inputs'!$I15)*'Data Inputs'!$I98</f>
        <v>0</v>
      </c>
      <c r="AA43" s="59">
        <f>('Data Inputs'!$E15+'Data Inputs'!$F15+'Data Inputs'!$G15+'Data Inputs'!$H15+'Data Inputs'!$I15)*'Data Inputs'!$I98</f>
        <v>0</v>
      </c>
      <c r="AB43" s="59">
        <f>('Data Inputs'!$E15+'Data Inputs'!$F15+'Data Inputs'!$G15+'Data Inputs'!$H15+'Data Inputs'!$I15)*'Data Inputs'!$I98</f>
        <v>0</v>
      </c>
    </row>
    <row r="44" spans="1:28" ht="13.5" thickBot="1" x14ac:dyDescent="0.25">
      <c r="A44" s="22" t="s">
        <v>125</v>
      </c>
      <c r="B44" s="6"/>
      <c r="C44" s="58">
        <f>SUM(C35:C43)</f>
        <v>11680577.363258025</v>
      </c>
      <c r="D44" s="58">
        <f>SUM(D35:D43)</f>
        <v>51913.677170035677</v>
      </c>
      <c r="E44" s="58">
        <f t="shared" ref="E44:AB44" si="9">SUM(E35:E43)</f>
        <v>155741.03151010702</v>
      </c>
      <c r="F44" s="58">
        <f t="shared" si="9"/>
        <v>259568.38585017837</v>
      </c>
      <c r="G44" s="58">
        <f t="shared" si="9"/>
        <v>363395.74019024975</v>
      </c>
      <c r="H44" s="58">
        <f t="shared" si="9"/>
        <v>467223.09453032108</v>
      </c>
      <c r="I44" s="58">
        <f t="shared" si="9"/>
        <v>519136.77170035674</v>
      </c>
      <c r="J44" s="58">
        <f t="shared" si="9"/>
        <v>519136.77170035674</v>
      </c>
      <c r="K44" s="58">
        <f t="shared" si="9"/>
        <v>519136.77170035674</v>
      </c>
      <c r="L44" s="58">
        <f t="shared" si="9"/>
        <v>519136.77170035674</v>
      </c>
      <c r="M44" s="58">
        <f t="shared" si="9"/>
        <v>519136.77170035674</v>
      </c>
      <c r="N44" s="58">
        <f t="shared" si="9"/>
        <v>519136.77170035674</v>
      </c>
      <c r="O44" s="58">
        <f t="shared" si="9"/>
        <v>519136.77170035674</v>
      </c>
      <c r="P44" s="58">
        <f t="shared" si="9"/>
        <v>519136.77170035674</v>
      </c>
      <c r="Q44" s="58">
        <f t="shared" si="9"/>
        <v>519136.77170035674</v>
      </c>
      <c r="R44" s="58">
        <f t="shared" si="9"/>
        <v>519136.77170035674</v>
      </c>
      <c r="S44" s="58">
        <f t="shared" si="9"/>
        <v>519136.77170035674</v>
      </c>
      <c r="T44" s="58">
        <f t="shared" si="9"/>
        <v>519136.77170035674</v>
      </c>
      <c r="U44" s="58">
        <f t="shared" si="9"/>
        <v>519136.77170035674</v>
      </c>
      <c r="V44" s="58">
        <f t="shared" si="9"/>
        <v>519136.77170035674</v>
      </c>
      <c r="W44" s="58">
        <f t="shared" si="9"/>
        <v>519136.77170035674</v>
      </c>
      <c r="X44" s="58">
        <f t="shared" si="9"/>
        <v>519136.77170035674</v>
      </c>
      <c r="Y44" s="58">
        <f t="shared" si="9"/>
        <v>519136.77170035674</v>
      </c>
      <c r="Z44" s="58">
        <f t="shared" si="9"/>
        <v>519136.77170035674</v>
      </c>
      <c r="AA44" s="58">
        <f t="shared" si="9"/>
        <v>519136.77170035674</v>
      </c>
      <c r="AB44" s="58">
        <f t="shared" si="9"/>
        <v>519136.77170035674</v>
      </c>
    </row>
    <row r="45" spans="1:28" ht="13.5" thickTop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</row>
    <row r="46" spans="1:28" x14ac:dyDescent="0.2">
      <c r="B46" s="5" t="s">
        <v>109</v>
      </c>
    </row>
    <row r="48" spans="1:28" x14ac:dyDescent="0.2">
      <c r="A48" s="29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</row>
    <row r="49" spans="1:28" s="3" customFormat="1" x14ac:dyDescent="0.2">
      <c r="A49" s="4" t="s">
        <v>32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1:28" s="3" customFormat="1" x14ac:dyDescent="0.2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spans="1:28" s="3" customFormat="1" x14ac:dyDescent="0.2">
      <c r="A51" s="5" t="s">
        <v>35</v>
      </c>
      <c r="B51" s="6"/>
      <c r="C51" s="59">
        <f>SUM(D51:AB51)</f>
        <v>58500000</v>
      </c>
      <c r="D51" s="59">
        <f>+'Data Inputs'!E63</f>
        <v>26600000</v>
      </c>
      <c r="E51" s="59">
        <f>+'Data Inputs'!F63</f>
        <v>7975000</v>
      </c>
      <c r="F51" s="59">
        <f>+'Data Inputs'!G63</f>
        <v>7975000</v>
      </c>
      <c r="G51" s="59">
        <f>+'Data Inputs'!H63</f>
        <v>7975000</v>
      </c>
      <c r="H51" s="59">
        <f>+'Data Inputs'!I63</f>
        <v>7975000</v>
      </c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</row>
    <row r="52" spans="1:28" s="3" customFormat="1" x14ac:dyDescent="0.2">
      <c r="A52" s="5" t="s">
        <v>34</v>
      </c>
      <c r="B52" s="5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s="3" customFormat="1" x14ac:dyDescent="0.2">
      <c r="A53" s="5"/>
      <c r="B53" s="5" t="s">
        <v>6</v>
      </c>
      <c r="C53" s="24">
        <f t="shared" ref="C53:C61" si="10">SUM(D53:AB53)</f>
        <v>0</v>
      </c>
      <c r="D53" s="24">
        <f>+'Data Inputs'!E67</f>
        <v>0</v>
      </c>
      <c r="E53" s="24">
        <f>+'Data Inputs'!F67</f>
        <v>0</v>
      </c>
      <c r="F53" s="24">
        <f>+'Data Inputs'!G67</f>
        <v>0</v>
      </c>
      <c r="G53" s="24">
        <f>+'Data Inputs'!H67</f>
        <v>0</v>
      </c>
      <c r="H53" s="24">
        <f>+'Data Inputs'!I67</f>
        <v>0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s="3" customFormat="1" x14ac:dyDescent="0.2">
      <c r="A54" s="5"/>
      <c r="B54" s="5" t="s">
        <v>78</v>
      </c>
      <c r="C54" s="24">
        <f t="shared" si="10"/>
        <v>0</v>
      </c>
      <c r="D54" s="24">
        <f>+'Data Inputs'!E68</f>
        <v>0</v>
      </c>
      <c r="E54" s="24">
        <f>+'Data Inputs'!F68</f>
        <v>0</v>
      </c>
      <c r="F54" s="24">
        <f>+'Data Inputs'!G68</f>
        <v>0</v>
      </c>
      <c r="G54" s="24">
        <f>+'Data Inputs'!H68</f>
        <v>0</v>
      </c>
      <c r="H54" s="24">
        <f>+'Data Inputs'!I68</f>
        <v>0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s="3" customFormat="1" x14ac:dyDescent="0.2">
      <c r="A55" s="5"/>
      <c r="B55" s="5" t="s">
        <v>174</v>
      </c>
      <c r="C55" s="24">
        <f t="shared" si="10"/>
        <v>0</v>
      </c>
      <c r="D55" s="24">
        <f>+'Data Inputs'!E69</f>
        <v>0</v>
      </c>
      <c r="E55" s="24">
        <f>+'Data Inputs'!F69</f>
        <v>0</v>
      </c>
      <c r="F55" s="24">
        <f>+'Data Inputs'!G69</f>
        <v>0</v>
      </c>
      <c r="G55" s="24">
        <f>+'Data Inputs'!H69</f>
        <v>0</v>
      </c>
      <c r="H55" s="24">
        <f>+'Data Inputs'!I69</f>
        <v>0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s="3" customFormat="1" x14ac:dyDescent="0.2">
      <c r="A56" s="5"/>
      <c r="B56" s="5" t="s">
        <v>175</v>
      </c>
      <c r="C56" s="24">
        <f t="shared" si="10"/>
        <v>0</v>
      </c>
      <c r="D56" s="24">
        <f>+'Data Inputs'!E70</f>
        <v>0</v>
      </c>
      <c r="E56" s="24">
        <f>+'Data Inputs'!F70</f>
        <v>0</v>
      </c>
      <c r="F56" s="24">
        <f>+'Data Inputs'!G70</f>
        <v>0</v>
      </c>
      <c r="G56" s="24">
        <f>+'Data Inputs'!H70</f>
        <v>0</v>
      </c>
      <c r="H56" s="24">
        <f>+'Data Inputs'!I70</f>
        <v>0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s="3" customFormat="1" x14ac:dyDescent="0.2">
      <c r="A57" s="5"/>
      <c r="B57" s="5" t="s">
        <v>7</v>
      </c>
      <c r="C57" s="24">
        <f t="shared" si="10"/>
        <v>0</v>
      </c>
      <c r="D57" s="24">
        <f>+'Data Inputs'!E71</f>
        <v>0</v>
      </c>
      <c r="E57" s="24">
        <f>+'Data Inputs'!F71</f>
        <v>0</v>
      </c>
      <c r="F57" s="24">
        <f>+'Data Inputs'!G71</f>
        <v>0</v>
      </c>
      <c r="G57" s="24">
        <f>+'Data Inputs'!H71</f>
        <v>0</v>
      </c>
      <c r="H57" s="24">
        <f>+'Data Inputs'!I71</f>
        <v>0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s="3" customFormat="1" x14ac:dyDescent="0.2">
      <c r="A58" s="5"/>
      <c r="B58" s="5" t="s">
        <v>83</v>
      </c>
      <c r="C58" s="24">
        <f t="shared" si="10"/>
        <v>0</v>
      </c>
      <c r="D58" s="24">
        <f>+'Data Inputs'!E72</f>
        <v>0</v>
      </c>
      <c r="E58" s="24">
        <f>+'Data Inputs'!F72</f>
        <v>0</v>
      </c>
      <c r="F58" s="24">
        <f>+'Data Inputs'!G72</f>
        <v>0</v>
      </c>
      <c r="G58" s="24">
        <f>+'Data Inputs'!H72</f>
        <v>0</v>
      </c>
      <c r="H58" s="24">
        <f>+'Data Inputs'!I72</f>
        <v>0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s="3" customFormat="1" x14ac:dyDescent="0.2">
      <c r="A59" s="5"/>
      <c r="B59" s="5" t="s">
        <v>83</v>
      </c>
      <c r="C59" s="24">
        <f t="shared" si="10"/>
        <v>0</v>
      </c>
      <c r="D59" s="24">
        <f>+'Data Inputs'!E73</f>
        <v>0</v>
      </c>
      <c r="E59" s="24">
        <f>+'Data Inputs'!F73</f>
        <v>0</v>
      </c>
      <c r="F59" s="24">
        <f>+'Data Inputs'!G73</f>
        <v>0</v>
      </c>
      <c r="G59" s="24">
        <f>+'Data Inputs'!H73</f>
        <v>0</v>
      </c>
      <c r="H59" s="24">
        <f>+'Data Inputs'!I73</f>
        <v>0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s="3" customFormat="1" x14ac:dyDescent="0.2">
      <c r="A60" s="5"/>
      <c r="B60" s="5" t="s">
        <v>84</v>
      </c>
      <c r="C60" s="24">
        <f t="shared" si="10"/>
        <v>0</v>
      </c>
      <c r="D60" s="24">
        <f>+'Data Inputs'!E74</f>
        <v>0</v>
      </c>
      <c r="E60" s="24">
        <f>+'Data Inputs'!F74</f>
        <v>0</v>
      </c>
      <c r="F60" s="24">
        <f>+'Data Inputs'!G74</f>
        <v>0</v>
      </c>
      <c r="G60" s="24">
        <f>+'Data Inputs'!H74</f>
        <v>0</v>
      </c>
      <c r="H60" s="24">
        <f>+'Data Inputs'!I74</f>
        <v>0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s="3" customFormat="1" x14ac:dyDescent="0.2">
      <c r="A61" s="5"/>
      <c r="B61" s="5" t="s">
        <v>84</v>
      </c>
      <c r="C61" s="24">
        <f t="shared" si="10"/>
        <v>0</v>
      </c>
      <c r="D61" s="24">
        <f>+'Data Inputs'!E75</f>
        <v>0</v>
      </c>
      <c r="E61" s="24">
        <f>+'Data Inputs'!F75</f>
        <v>0</v>
      </c>
      <c r="F61" s="24">
        <f>+'Data Inputs'!G75</f>
        <v>0</v>
      </c>
      <c r="G61" s="24">
        <f>+'Data Inputs'!H75</f>
        <v>0</v>
      </c>
      <c r="H61" s="24">
        <f>+'Data Inputs'!I75</f>
        <v>0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s="3" customFormat="1" x14ac:dyDescent="0.2">
      <c r="A62" s="5"/>
      <c r="B62" s="6" t="s">
        <v>122</v>
      </c>
      <c r="C62" s="57">
        <f t="shared" ref="C62:H62" si="11">SUM(C53:C61)</f>
        <v>0</v>
      </c>
      <c r="D62" s="57">
        <f t="shared" si="11"/>
        <v>0</v>
      </c>
      <c r="E62" s="57">
        <f t="shared" si="11"/>
        <v>0</v>
      </c>
      <c r="F62" s="57">
        <f t="shared" si="11"/>
        <v>0</v>
      </c>
      <c r="G62" s="57">
        <f t="shared" si="11"/>
        <v>0</v>
      </c>
      <c r="H62" s="57">
        <f t="shared" si="11"/>
        <v>0</v>
      </c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</row>
    <row r="63" spans="1:28" x14ac:dyDescent="0.2">
      <c r="A63" s="5" t="s">
        <v>37</v>
      </c>
    </row>
    <row r="64" spans="1:28" x14ac:dyDescent="0.2">
      <c r="A64" s="5"/>
      <c r="B64" s="5" t="s">
        <v>6</v>
      </c>
      <c r="C64" s="24">
        <f t="shared" ref="C64:C74" si="12">SUM(D64:AB64)</f>
        <v>0</v>
      </c>
      <c r="D64" s="24">
        <f>+'Data Inputs'!E79</f>
        <v>0</v>
      </c>
      <c r="E64" s="24">
        <f>+'Data Inputs'!F79</f>
        <v>0</v>
      </c>
      <c r="F64" s="24">
        <f>+'Data Inputs'!G79</f>
        <v>0</v>
      </c>
      <c r="G64" s="24">
        <f>+'Data Inputs'!H79</f>
        <v>0</v>
      </c>
      <c r="H64" s="24">
        <f>+'Data Inputs'!I79</f>
        <v>0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x14ac:dyDescent="0.2">
      <c r="A65" s="5"/>
      <c r="B65" s="5" t="s">
        <v>78</v>
      </c>
      <c r="C65" s="24">
        <f t="shared" si="12"/>
        <v>0</v>
      </c>
      <c r="D65" s="24">
        <f>+'Data Inputs'!E80</f>
        <v>0</v>
      </c>
      <c r="E65" s="24">
        <f>+'Data Inputs'!F80</f>
        <v>0</v>
      </c>
      <c r="F65" s="24">
        <f>+'Data Inputs'!G80</f>
        <v>0</v>
      </c>
      <c r="G65" s="24">
        <f>+'Data Inputs'!H80</f>
        <v>0</v>
      </c>
      <c r="H65" s="24">
        <f>+'Data Inputs'!I80</f>
        <v>0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x14ac:dyDescent="0.2">
      <c r="A66" s="5"/>
      <c r="B66" s="5" t="s">
        <v>174</v>
      </c>
      <c r="C66" s="24">
        <f t="shared" si="12"/>
        <v>0</v>
      </c>
      <c r="D66" s="24">
        <f>+'Data Inputs'!E81</f>
        <v>0</v>
      </c>
      <c r="E66" s="24">
        <f>+'Data Inputs'!F81</f>
        <v>0</v>
      </c>
      <c r="F66" s="24">
        <f>+'Data Inputs'!G81</f>
        <v>0</v>
      </c>
      <c r="G66" s="24">
        <f>+'Data Inputs'!H81</f>
        <v>0</v>
      </c>
      <c r="H66" s="24">
        <f>+'Data Inputs'!I81</f>
        <v>0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x14ac:dyDescent="0.2">
      <c r="A67" s="5"/>
      <c r="B67" s="5" t="s">
        <v>175</v>
      </c>
      <c r="C67" s="24">
        <f t="shared" si="12"/>
        <v>0</v>
      </c>
      <c r="D67" s="24">
        <f>+'Data Inputs'!E82</f>
        <v>0</v>
      </c>
      <c r="E67" s="24">
        <f>+'Data Inputs'!F82</f>
        <v>0</v>
      </c>
      <c r="F67" s="24">
        <f>+'Data Inputs'!G82</f>
        <v>0</v>
      </c>
      <c r="G67" s="24">
        <f>+'Data Inputs'!H82</f>
        <v>0</v>
      </c>
      <c r="H67" s="24">
        <f>+'Data Inputs'!I82</f>
        <v>0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x14ac:dyDescent="0.2">
      <c r="A68" s="5"/>
      <c r="B68" s="5" t="s">
        <v>7</v>
      </c>
      <c r="C68" s="24">
        <f t="shared" si="12"/>
        <v>0</v>
      </c>
      <c r="D68" s="24">
        <f>+'Data Inputs'!E83</f>
        <v>0</v>
      </c>
      <c r="E68" s="24">
        <f>+'Data Inputs'!F83</f>
        <v>0</v>
      </c>
      <c r="F68" s="24">
        <f>+'Data Inputs'!G83</f>
        <v>0</v>
      </c>
      <c r="G68" s="24">
        <f>+'Data Inputs'!H83</f>
        <v>0</v>
      </c>
      <c r="H68" s="24">
        <f>+'Data Inputs'!I83</f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x14ac:dyDescent="0.2">
      <c r="A69" s="5"/>
      <c r="B69" s="5" t="s">
        <v>83</v>
      </c>
      <c r="C69" s="24">
        <f t="shared" si="12"/>
        <v>0</v>
      </c>
      <c r="D69" s="24">
        <f>+'Data Inputs'!E84</f>
        <v>0</v>
      </c>
      <c r="E69" s="24">
        <f>+'Data Inputs'!F84</f>
        <v>0</v>
      </c>
      <c r="F69" s="24">
        <f>+'Data Inputs'!G84</f>
        <v>0</v>
      </c>
      <c r="G69" s="24">
        <f>+'Data Inputs'!H84</f>
        <v>0</v>
      </c>
      <c r="H69" s="24">
        <f>+'Data Inputs'!I84</f>
        <v>0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x14ac:dyDescent="0.2">
      <c r="A70" s="5"/>
      <c r="B70" s="5" t="s">
        <v>83</v>
      </c>
      <c r="C70" s="24">
        <f t="shared" si="12"/>
        <v>0</v>
      </c>
      <c r="D70" s="24">
        <f>+'Data Inputs'!E85</f>
        <v>0</v>
      </c>
      <c r="E70" s="24">
        <f>+'Data Inputs'!F85</f>
        <v>0</v>
      </c>
      <c r="F70" s="24">
        <f>+'Data Inputs'!G85</f>
        <v>0</v>
      </c>
      <c r="G70" s="24">
        <f>+'Data Inputs'!H85</f>
        <v>0</v>
      </c>
      <c r="H70" s="24">
        <f>+'Data Inputs'!I85</f>
        <v>0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x14ac:dyDescent="0.2">
      <c r="A71" s="5"/>
      <c r="B71" s="5" t="s">
        <v>84</v>
      </c>
      <c r="C71" s="24">
        <f t="shared" si="12"/>
        <v>0</v>
      </c>
      <c r="D71" s="24">
        <f>+'Data Inputs'!E86</f>
        <v>0</v>
      </c>
      <c r="E71" s="24">
        <f>+'Data Inputs'!F86</f>
        <v>0</v>
      </c>
      <c r="F71" s="24">
        <f>+'Data Inputs'!G86</f>
        <v>0</v>
      </c>
      <c r="G71" s="24">
        <f>+'Data Inputs'!H86</f>
        <v>0</v>
      </c>
      <c r="H71" s="24">
        <f>+'Data Inputs'!I86</f>
        <v>0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x14ac:dyDescent="0.2">
      <c r="A72" s="5"/>
      <c r="B72" s="5" t="s">
        <v>84</v>
      </c>
      <c r="C72" s="24">
        <f t="shared" si="12"/>
        <v>0</v>
      </c>
      <c r="D72" s="24">
        <f>+'Data Inputs'!E87</f>
        <v>0</v>
      </c>
      <c r="E72" s="24">
        <f>+'Data Inputs'!F87</f>
        <v>0</v>
      </c>
      <c r="F72" s="24">
        <f>+'Data Inputs'!G87</f>
        <v>0</v>
      </c>
      <c r="G72" s="24">
        <f>+'Data Inputs'!H87</f>
        <v>0</v>
      </c>
      <c r="H72" s="24">
        <f>+'Data Inputs'!I87</f>
        <v>0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x14ac:dyDescent="0.2">
      <c r="A73" s="5"/>
      <c r="B73" s="6" t="s">
        <v>36</v>
      </c>
      <c r="C73" s="57">
        <f t="shared" ref="C73:H73" si="13">SUM(C64:C72)</f>
        <v>0</v>
      </c>
      <c r="D73" s="57">
        <f t="shared" si="13"/>
        <v>0</v>
      </c>
      <c r="E73" s="57">
        <f t="shared" si="13"/>
        <v>0</v>
      </c>
      <c r="F73" s="57">
        <f t="shared" si="13"/>
        <v>0</v>
      </c>
      <c r="G73" s="57">
        <f t="shared" si="13"/>
        <v>0</v>
      </c>
      <c r="H73" s="57">
        <f t="shared" si="13"/>
        <v>0</v>
      </c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</row>
    <row r="74" spans="1:28" x14ac:dyDescent="0.2">
      <c r="A74" s="5"/>
      <c r="B74" s="5" t="s">
        <v>85</v>
      </c>
      <c r="C74" s="24">
        <f t="shared" si="12"/>
        <v>0</v>
      </c>
      <c r="D74" s="24">
        <f>+'Data Inputs'!E64</f>
        <v>0</v>
      </c>
      <c r="E74" s="24">
        <f>+'Data Inputs'!F64</f>
        <v>0</v>
      </c>
      <c r="F74" s="24">
        <f>+'Data Inputs'!G64</f>
        <v>0</v>
      </c>
      <c r="G74" s="24">
        <f>+'Data Inputs'!H64</f>
        <v>0</v>
      </c>
      <c r="H74" s="24">
        <f>+'Data Inputs'!I64</f>
        <v>0</v>
      </c>
      <c r="I74" s="24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</row>
    <row r="75" spans="1:28" x14ac:dyDescent="0.2">
      <c r="A75" s="4" t="s">
        <v>38</v>
      </c>
      <c r="C75" s="67">
        <f>+C51+C62+C73+C74</f>
        <v>58500000</v>
      </c>
      <c r="D75" s="67">
        <f t="shared" ref="D75:AB75" si="14">+D51+D62+D73+D74</f>
        <v>26600000</v>
      </c>
      <c r="E75" s="67">
        <f t="shared" si="14"/>
        <v>7975000</v>
      </c>
      <c r="F75" s="67">
        <f t="shared" si="14"/>
        <v>7975000</v>
      </c>
      <c r="G75" s="67">
        <f t="shared" si="14"/>
        <v>7975000</v>
      </c>
      <c r="H75" s="67">
        <f t="shared" si="14"/>
        <v>7975000</v>
      </c>
      <c r="I75" s="67">
        <f t="shared" si="14"/>
        <v>0</v>
      </c>
      <c r="J75" s="67">
        <f t="shared" si="14"/>
        <v>0</v>
      </c>
      <c r="K75" s="67">
        <f t="shared" si="14"/>
        <v>0</v>
      </c>
      <c r="L75" s="67">
        <f t="shared" si="14"/>
        <v>0</v>
      </c>
      <c r="M75" s="67">
        <f t="shared" si="14"/>
        <v>0</v>
      </c>
      <c r="N75" s="67">
        <f t="shared" si="14"/>
        <v>0</v>
      </c>
      <c r="O75" s="67">
        <f t="shared" si="14"/>
        <v>0</v>
      </c>
      <c r="P75" s="67">
        <f t="shared" si="14"/>
        <v>0</v>
      </c>
      <c r="Q75" s="67">
        <f t="shared" si="14"/>
        <v>0</v>
      </c>
      <c r="R75" s="67">
        <f t="shared" si="14"/>
        <v>0</v>
      </c>
      <c r="S75" s="67">
        <f t="shared" si="14"/>
        <v>0</v>
      </c>
      <c r="T75" s="67">
        <f t="shared" si="14"/>
        <v>0</v>
      </c>
      <c r="U75" s="67">
        <f t="shared" si="14"/>
        <v>0</v>
      </c>
      <c r="V75" s="67">
        <f t="shared" si="14"/>
        <v>0</v>
      </c>
      <c r="W75" s="67">
        <f t="shared" si="14"/>
        <v>0</v>
      </c>
      <c r="X75" s="67">
        <f t="shared" si="14"/>
        <v>0</v>
      </c>
      <c r="Y75" s="67">
        <f t="shared" si="14"/>
        <v>0</v>
      </c>
      <c r="Z75" s="67">
        <f t="shared" si="14"/>
        <v>0</v>
      </c>
      <c r="AA75" s="67">
        <f t="shared" si="14"/>
        <v>0</v>
      </c>
      <c r="AB75" s="67">
        <f t="shared" si="14"/>
        <v>0</v>
      </c>
    </row>
    <row r="76" spans="1:28" ht="13.5" thickBot="1" x14ac:dyDescent="0.25">
      <c r="A76" s="4" t="s">
        <v>86</v>
      </c>
      <c r="C76" s="58">
        <f>+C75-C74</f>
        <v>58500000</v>
      </c>
      <c r="D76" s="58">
        <f>+D75-D74</f>
        <v>26600000</v>
      </c>
      <c r="E76" s="58">
        <f t="shared" ref="E76:AB76" si="15">+E75-E74</f>
        <v>7975000</v>
      </c>
      <c r="F76" s="58">
        <f t="shared" si="15"/>
        <v>7975000</v>
      </c>
      <c r="G76" s="58">
        <f t="shared" si="15"/>
        <v>7975000</v>
      </c>
      <c r="H76" s="58">
        <f t="shared" si="15"/>
        <v>7975000</v>
      </c>
      <c r="I76" s="58">
        <f t="shared" si="15"/>
        <v>0</v>
      </c>
      <c r="J76" s="58">
        <f t="shared" si="15"/>
        <v>0</v>
      </c>
      <c r="K76" s="58">
        <f t="shared" si="15"/>
        <v>0</v>
      </c>
      <c r="L76" s="58">
        <f t="shared" si="15"/>
        <v>0</v>
      </c>
      <c r="M76" s="58">
        <f t="shared" si="15"/>
        <v>0</v>
      </c>
      <c r="N76" s="58">
        <f t="shared" si="15"/>
        <v>0</v>
      </c>
      <c r="O76" s="58">
        <f t="shared" si="15"/>
        <v>0</v>
      </c>
      <c r="P76" s="58">
        <f t="shared" si="15"/>
        <v>0</v>
      </c>
      <c r="Q76" s="58">
        <f t="shared" si="15"/>
        <v>0</v>
      </c>
      <c r="R76" s="58">
        <f t="shared" si="15"/>
        <v>0</v>
      </c>
      <c r="S76" s="58">
        <f t="shared" si="15"/>
        <v>0</v>
      </c>
      <c r="T76" s="58">
        <f t="shared" si="15"/>
        <v>0</v>
      </c>
      <c r="U76" s="58">
        <f t="shared" si="15"/>
        <v>0</v>
      </c>
      <c r="V76" s="58">
        <f t="shared" si="15"/>
        <v>0</v>
      </c>
      <c r="W76" s="58">
        <f t="shared" si="15"/>
        <v>0</v>
      </c>
      <c r="X76" s="58">
        <f t="shared" si="15"/>
        <v>0</v>
      </c>
      <c r="Y76" s="58">
        <f t="shared" si="15"/>
        <v>0</v>
      </c>
      <c r="Z76" s="58">
        <f t="shared" si="15"/>
        <v>0</v>
      </c>
      <c r="AA76" s="58">
        <f t="shared" si="15"/>
        <v>0</v>
      </c>
      <c r="AB76" s="58">
        <f t="shared" si="15"/>
        <v>0</v>
      </c>
    </row>
    <row r="77" spans="1:28" ht="13.5" thickTop="1" x14ac:dyDescent="0.2">
      <c r="A77" s="62" t="s">
        <v>112</v>
      </c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s="28" customFormat="1" x14ac:dyDescent="0.2">
      <c r="A78" s="161" t="s">
        <v>89</v>
      </c>
      <c r="B78" s="164"/>
      <c r="C78" s="163">
        <f>SUM(D78:AB78)</f>
        <v>53835098</v>
      </c>
      <c r="D78" s="163">
        <f t="shared" ref="D78:AB78" si="16">+D75*D3</f>
        <v>25997244</v>
      </c>
      <c r="E78" s="163">
        <f t="shared" si="16"/>
        <v>7445061.25</v>
      </c>
      <c r="F78" s="163">
        <f t="shared" si="16"/>
        <v>7111467</v>
      </c>
      <c r="G78" s="163">
        <f t="shared" si="16"/>
        <v>6792865.75</v>
      </c>
      <c r="H78" s="163">
        <f t="shared" si="16"/>
        <v>6488460</v>
      </c>
      <c r="I78" s="163">
        <f t="shared" si="16"/>
        <v>0</v>
      </c>
      <c r="J78" s="163">
        <f t="shared" si="16"/>
        <v>0</v>
      </c>
      <c r="K78" s="163">
        <f t="shared" si="16"/>
        <v>0</v>
      </c>
      <c r="L78" s="163">
        <f t="shared" si="16"/>
        <v>0</v>
      </c>
      <c r="M78" s="163">
        <f t="shared" si="16"/>
        <v>0</v>
      </c>
      <c r="N78" s="163">
        <f t="shared" si="16"/>
        <v>0</v>
      </c>
      <c r="O78" s="163">
        <f t="shared" si="16"/>
        <v>0</v>
      </c>
      <c r="P78" s="163">
        <f t="shared" si="16"/>
        <v>0</v>
      </c>
      <c r="Q78" s="163">
        <f t="shared" si="16"/>
        <v>0</v>
      </c>
      <c r="R78" s="163">
        <f t="shared" si="16"/>
        <v>0</v>
      </c>
      <c r="S78" s="163">
        <f t="shared" si="16"/>
        <v>0</v>
      </c>
      <c r="T78" s="163">
        <f t="shared" si="16"/>
        <v>0</v>
      </c>
      <c r="U78" s="163">
        <f t="shared" si="16"/>
        <v>0</v>
      </c>
      <c r="V78" s="163">
        <f t="shared" si="16"/>
        <v>0</v>
      </c>
      <c r="W78" s="163">
        <f t="shared" si="16"/>
        <v>0</v>
      </c>
      <c r="X78" s="163">
        <f t="shared" si="16"/>
        <v>0</v>
      </c>
      <c r="Y78" s="163">
        <f t="shared" si="16"/>
        <v>0</v>
      </c>
      <c r="Z78" s="163">
        <f t="shared" si="16"/>
        <v>0</v>
      </c>
      <c r="AA78" s="163">
        <f t="shared" si="16"/>
        <v>0</v>
      </c>
      <c r="AB78" s="163">
        <f t="shared" si="16"/>
        <v>0</v>
      </c>
    </row>
    <row r="79" spans="1:28" x14ac:dyDescent="0.2">
      <c r="C79" s="24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1:28" x14ac:dyDescent="0.2">
      <c r="A80" s="29"/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</row>
    <row r="82" spans="1:28" x14ac:dyDescent="0.2">
      <c r="A82" s="4" t="s">
        <v>88</v>
      </c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x14ac:dyDescent="0.2">
      <c r="A83" s="5" t="s">
        <v>73</v>
      </c>
      <c r="C83" s="24"/>
      <c r="D83" s="24">
        <f>+D76</f>
        <v>26600000</v>
      </c>
      <c r="E83" s="24">
        <f ca="1">+D86</f>
        <v>-16676036.42964931</v>
      </c>
      <c r="F83" s="24">
        <f t="shared" ref="F83:AB83" ca="1" si="17">+E86</f>
        <v>-7685953.5152773652</v>
      </c>
      <c r="G83" s="24">
        <f t="shared" ca="1" si="17"/>
        <v>584922.76594482397</v>
      </c>
      <c r="H83" s="24">
        <f t="shared" ca="1" si="17"/>
        <v>8194128.9446692374</v>
      </c>
      <c r="I83" s="24">
        <f t="shared" ca="1" si="17"/>
        <v>15194598.629095698</v>
      </c>
      <c r="J83" s="24">
        <f t="shared" ca="1" si="17"/>
        <v>13979030.738768041</v>
      </c>
      <c r="K83" s="24">
        <f t="shared" ca="1" si="17"/>
        <v>12860708.279666597</v>
      </c>
      <c r="L83" s="24">
        <f t="shared" ca="1" si="17"/>
        <v>11831851.617293268</v>
      </c>
      <c r="M83" s="24">
        <f t="shared" ca="1" si="17"/>
        <v>10885303.487909807</v>
      </c>
      <c r="N83" s="24">
        <f t="shared" ca="1" si="17"/>
        <v>10014479.208877023</v>
      </c>
      <c r="O83" s="24">
        <f t="shared" ca="1" si="17"/>
        <v>9213320.8721668608</v>
      </c>
      <c r="P83" s="24">
        <f t="shared" ca="1" si="17"/>
        <v>8476255.2023935113</v>
      </c>
      <c r="Q83" s="24">
        <f t="shared" ca="1" si="17"/>
        <v>7798154.7862020303</v>
      </c>
      <c r="R83" s="24">
        <f t="shared" ca="1" si="17"/>
        <v>7174302.4033058677</v>
      </c>
      <c r="S83" s="24">
        <f t="shared" ca="1" si="17"/>
        <v>6600358.2110413983</v>
      </c>
      <c r="T83" s="24">
        <f t="shared" ca="1" si="17"/>
        <v>6072329.554158086</v>
      </c>
      <c r="U83" s="24">
        <f t="shared" ca="1" si="17"/>
        <v>5586543.1898254389</v>
      </c>
      <c r="V83" s="24">
        <f t="shared" ca="1" si="17"/>
        <v>5139619.7346394034</v>
      </c>
      <c r="W83" s="24">
        <f t="shared" ca="1" si="17"/>
        <v>4728450.1558682509</v>
      </c>
      <c r="X83" s="24">
        <f t="shared" ca="1" si="17"/>
        <v>4350174.1433987906</v>
      </c>
      <c r="Y83" s="24">
        <f t="shared" ca="1" si="17"/>
        <v>4002160.2119268873</v>
      </c>
      <c r="Z83" s="24">
        <f t="shared" ca="1" si="17"/>
        <v>3681987.3949727365</v>
      </c>
      <c r="AA83" s="24">
        <f t="shared" ca="1" si="17"/>
        <v>3387428.4033749178</v>
      </c>
      <c r="AB83" s="24">
        <f t="shared" ca="1" si="17"/>
        <v>3116434.1311049243</v>
      </c>
    </row>
    <row r="84" spans="1:28" x14ac:dyDescent="0.2">
      <c r="B84" s="5" t="s">
        <v>87</v>
      </c>
      <c r="C84" s="24"/>
      <c r="D84" s="24">
        <f ca="1">IF(C120&lt;0,+C120,0)</f>
        <v>-43970871.280884698</v>
      </c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x14ac:dyDescent="0.2">
      <c r="A85" s="5"/>
      <c r="B85" s="5" t="s">
        <v>74</v>
      </c>
      <c r="C85" s="24">
        <f ca="1">SUM(D85:AB85)</f>
        <v>11662009.318498762</v>
      </c>
      <c r="D85" s="24">
        <f ca="1">(+D83+D84)*'Data Inputs'!E114*0.5</f>
        <v>-694834.85123538796</v>
      </c>
      <c r="E85" s="24">
        <f ca="1">(E76*'Data Inputs'!F114*0.5)+('Data Inputs'!F114*D86)</f>
        <v>-1015082.9143719447</v>
      </c>
      <c r="F85" s="24">
        <f ca="1">(F76*'Data Inputs'!G114*0.5)+('Data Inputs'!G114*E86)</f>
        <v>-295876.28122218919</v>
      </c>
      <c r="G85" s="24">
        <f ca="1">(G76*'Data Inputs'!H114*0.5)+('Data Inputs'!H114*F86)</f>
        <v>365793.82127558591</v>
      </c>
      <c r="H85" s="24">
        <f ca="1">(H76*'Data Inputs'!$I114*0.5)+('Data Inputs'!$I114*G86)</f>
        <v>974530.315573539</v>
      </c>
      <c r="I85" s="24">
        <f ca="1">'Data Inputs'!$I114*H86</f>
        <v>1215567.8903276559</v>
      </c>
      <c r="J85" s="24">
        <f ca="1">'Data Inputs'!$I114*I86</f>
        <v>1118322.4591014434</v>
      </c>
      <c r="K85" s="24">
        <f ca="1">'Data Inputs'!$I114*J86</f>
        <v>1028856.6623733278</v>
      </c>
      <c r="L85" s="24">
        <f ca="1">'Data Inputs'!$I114*K86</f>
        <v>946548.12938346155</v>
      </c>
      <c r="M85" s="24">
        <f ca="1">'Data Inputs'!$I114*L86</f>
        <v>870824.27903278451</v>
      </c>
      <c r="N85" s="24">
        <f ca="1">'Data Inputs'!$I114*M86</f>
        <v>801158.33671016188</v>
      </c>
      <c r="O85" s="24">
        <f ca="1">'Data Inputs'!$I114*N86</f>
        <v>737065.66977334884</v>
      </c>
      <c r="P85" s="24">
        <f ca="1">'Data Inputs'!$I114*O86</f>
        <v>678100.41619148094</v>
      </c>
      <c r="Q85" s="24">
        <f ca="1">'Data Inputs'!$I114*P86</f>
        <v>623852.38289616245</v>
      </c>
      <c r="R85" s="24">
        <f ca="1">'Data Inputs'!$I114*Q86</f>
        <v>573944.19226446946</v>
      </c>
      <c r="S85" s="24">
        <f ca="1">'Data Inputs'!$I114*R86</f>
        <v>528028.65688331192</v>
      </c>
      <c r="T85" s="24">
        <f ca="1">'Data Inputs'!$I114*S86</f>
        <v>485786.36433264689</v>
      </c>
      <c r="U85" s="24">
        <f ca="1">'Data Inputs'!$I114*T86</f>
        <v>446923.45518603513</v>
      </c>
      <c r="V85" s="24">
        <f ca="1">'Data Inputs'!$I114*U86</f>
        <v>411169.5787711523</v>
      </c>
      <c r="W85" s="24">
        <f ca="1">'Data Inputs'!$I114*V86</f>
        <v>378276.01246946008</v>
      </c>
      <c r="X85" s="24">
        <f ca="1">'Data Inputs'!$I114*W86</f>
        <v>348013.93147190328</v>
      </c>
      <c r="Y85" s="24">
        <f ca="1">'Data Inputs'!$I114*X86</f>
        <v>320172.81695415097</v>
      </c>
      <c r="Z85" s="24">
        <f ca="1">'Data Inputs'!$I114*Y86</f>
        <v>294558.99159781891</v>
      </c>
      <c r="AA85" s="24">
        <f ca="1">'Data Inputs'!$I114*Z86</f>
        <v>270994.27226999344</v>
      </c>
      <c r="AB85" s="24">
        <f ca="1">'Data Inputs'!$I114*AA86</f>
        <v>249314.73048839395</v>
      </c>
    </row>
    <row r="86" spans="1:28" x14ac:dyDescent="0.2">
      <c r="A86" s="5" t="s">
        <v>72</v>
      </c>
      <c r="C86" s="57"/>
      <c r="D86" s="57">
        <f ca="1">+D83+D84-D85</f>
        <v>-16676036.42964931</v>
      </c>
      <c r="E86" s="57">
        <f ca="1">+E76+E83+-E85</f>
        <v>-7685953.5152773652</v>
      </c>
      <c r="F86" s="57">
        <f t="shared" ref="F86:AB86" ca="1" si="18">+F76+F83+-F85</f>
        <v>584922.76594482397</v>
      </c>
      <c r="G86" s="57">
        <f t="shared" ca="1" si="18"/>
        <v>8194128.9446692374</v>
      </c>
      <c r="H86" s="57">
        <f t="shared" ca="1" si="18"/>
        <v>15194598.629095698</v>
      </c>
      <c r="I86" s="57">
        <f t="shared" ca="1" si="18"/>
        <v>13979030.738768041</v>
      </c>
      <c r="J86" s="57">
        <f t="shared" ca="1" si="18"/>
        <v>12860708.279666597</v>
      </c>
      <c r="K86" s="57">
        <f t="shared" ca="1" si="18"/>
        <v>11831851.617293268</v>
      </c>
      <c r="L86" s="57">
        <f t="shared" ca="1" si="18"/>
        <v>10885303.487909807</v>
      </c>
      <c r="M86" s="57">
        <f t="shared" ca="1" si="18"/>
        <v>10014479.208877023</v>
      </c>
      <c r="N86" s="57">
        <f t="shared" ca="1" si="18"/>
        <v>9213320.8721668608</v>
      </c>
      <c r="O86" s="57">
        <f t="shared" ca="1" si="18"/>
        <v>8476255.2023935113</v>
      </c>
      <c r="P86" s="57">
        <f t="shared" ca="1" si="18"/>
        <v>7798154.7862020303</v>
      </c>
      <c r="Q86" s="57">
        <f t="shared" ca="1" si="18"/>
        <v>7174302.4033058677</v>
      </c>
      <c r="R86" s="57">
        <f t="shared" ca="1" si="18"/>
        <v>6600358.2110413983</v>
      </c>
      <c r="S86" s="57">
        <f t="shared" ca="1" si="18"/>
        <v>6072329.554158086</v>
      </c>
      <c r="T86" s="57">
        <f t="shared" ca="1" si="18"/>
        <v>5586543.1898254389</v>
      </c>
      <c r="U86" s="57">
        <f t="shared" ca="1" si="18"/>
        <v>5139619.7346394034</v>
      </c>
      <c r="V86" s="57">
        <f t="shared" ca="1" si="18"/>
        <v>4728450.1558682509</v>
      </c>
      <c r="W86" s="57">
        <f t="shared" ca="1" si="18"/>
        <v>4350174.1433987906</v>
      </c>
      <c r="X86" s="57">
        <f t="shared" ca="1" si="18"/>
        <v>4002160.2119268873</v>
      </c>
      <c r="Y86" s="57">
        <f t="shared" ca="1" si="18"/>
        <v>3681987.3949727365</v>
      </c>
      <c r="Z86" s="57">
        <f t="shared" ca="1" si="18"/>
        <v>3387428.4033749178</v>
      </c>
      <c r="AA86" s="57">
        <f t="shared" ca="1" si="18"/>
        <v>3116434.1311049243</v>
      </c>
      <c r="AB86" s="57">
        <f t="shared" ca="1" si="18"/>
        <v>2867119.4006165303</v>
      </c>
    </row>
    <row r="87" spans="1:28" x14ac:dyDescent="0.2">
      <c r="B87" s="5" t="s">
        <v>90</v>
      </c>
      <c r="C87" s="24"/>
      <c r="D87" s="24">
        <f ca="1">+D85*'Data Inputs'!$E$111</f>
        <v>-184131.23557737781</v>
      </c>
      <c r="E87" s="24">
        <f ca="1">+E85*'Data Inputs'!$F$111</f>
        <v>-268996.97230856534</v>
      </c>
      <c r="F87" s="24">
        <f ca="1">+F85*'Data Inputs'!$G$111</f>
        <v>-78407.214523880146</v>
      </c>
      <c r="G87" s="24">
        <f ca="1">+G85*'Data Inputs'!$H$111</f>
        <v>96935.362638030274</v>
      </c>
      <c r="H87" s="24">
        <f ca="1">+H85*'Data Inputs'!$I$111</f>
        <v>258250.53362698786</v>
      </c>
      <c r="I87" s="24">
        <f ca="1">+I85*'Data Inputs'!$I$111</f>
        <v>322125.49093682884</v>
      </c>
      <c r="J87" s="24">
        <f ca="1">+J85*'Data Inputs'!$I$111</f>
        <v>296355.45166188251</v>
      </c>
      <c r="K87" s="24">
        <f ca="1">+K85*'Data Inputs'!$I$111</f>
        <v>272647.01552893186</v>
      </c>
      <c r="L87" s="24">
        <f ca="1">+L85*'Data Inputs'!$I$111</f>
        <v>250835.25428661733</v>
      </c>
      <c r="M87" s="24">
        <f ca="1">+M85*'Data Inputs'!$I$111</f>
        <v>230768.43394368791</v>
      </c>
      <c r="N87" s="24">
        <f ca="1">+N85*'Data Inputs'!$I$111</f>
        <v>212306.95922819292</v>
      </c>
      <c r="O87" s="24">
        <f ca="1">+O85*'Data Inputs'!$I$111</f>
        <v>195322.40248993746</v>
      </c>
      <c r="P87" s="24">
        <f ca="1">+P85*'Data Inputs'!$I$111</f>
        <v>179696.61029074245</v>
      </c>
      <c r="Q87" s="24">
        <f ca="1">+Q85*'Data Inputs'!$I$111</f>
        <v>165320.88146748306</v>
      </c>
      <c r="R87" s="24">
        <f ca="1">+R85*'Data Inputs'!$I$111</f>
        <v>152095.21095008441</v>
      </c>
      <c r="S87" s="24">
        <f ca="1">+S85*'Data Inputs'!$I$111</f>
        <v>139927.59407407767</v>
      </c>
      <c r="T87" s="24">
        <f ca="1">+T85*'Data Inputs'!$I$111</f>
        <v>128733.38654815144</v>
      </c>
      <c r="U87" s="24">
        <f ca="1">+U85*'Data Inputs'!$I$111</f>
        <v>118434.71562429932</v>
      </c>
      <c r="V87" s="24">
        <f ca="1">+V85*'Data Inputs'!$I$111</f>
        <v>108959.93837435536</v>
      </c>
      <c r="W87" s="24">
        <f ca="1">+W85*'Data Inputs'!$I$111</f>
        <v>100243.14330440693</v>
      </c>
      <c r="X87" s="24">
        <f ca="1">+X85*'Data Inputs'!$I$111</f>
        <v>92223.69184005438</v>
      </c>
      <c r="Y87" s="24">
        <f ca="1">+Y85*'Data Inputs'!$I$111</f>
        <v>84845.796492850015</v>
      </c>
      <c r="Z87" s="24">
        <f ca="1">+Z85*'Data Inputs'!$I$111</f>
        <v>78058.13277342201</v>
      </c>
      <c r="AA87" s="24">
        <f ca="1">+AA85*'Data Inputs'!$I$111</f>
        <v>71813.482151548262</v>
      </c>
      <c r="AB87" s="24">
        <f ca="1">+AB85*'Data Inputs'!$I$111</f>
        <v>66068.403579424397</v>
      </c>
    </row>
    <row r="88" spans="1:28" ht="13.5" thickBot="1" x14ac:dyDescent="0.25">
      <c r="A88" s="4" t="s">
        <v>31</v>
      </c>
      <c r="C88" s="68">
        <f ca="1">SUM(D88:AB88)</f>
        <v>1701029.3072856525</v>
      </c>
      <c r="D88" s="58">
        <f ca="1">+D$3*D87</f>
        <v>-179958.82177919443</v>
      </c>
      <c r="E88" s="58">
        <f t="shared" ref="E88:AB88" ca="1" si="19">+E$3*E87</f>
        <v>-251122.12349866118</v>
      </c>
      <c r="F88" s="58">
        <f t="shared" ca="1" si="19"/>
        <v>-69917.281335234395</v>
      </c>
      <c r="G88" s="58">
        <f t="shared" ca="1" si="19"/>
        <v>82566.633834195047</v>
      </c>
      <c r="H88" s="58">
        <f t="shared" ca="1" si="19"/>
        <v>210112.63415891732</v>
      </c>
      <c r="I88" s="58">
        <f t="shared" ca="1" si="19"/>
        <v>250339.82528155652</v>
      </c>
      <c r="J88" s="58">
        <f t="shared" ca="1" si="19"/>
        <v>219993.54243216527</v>
      </c>
      <c r="K88" s="58">
        <f t="shared" ca="1" si="19"/>
        <v>193325.81930109972</v>
      </c>
      <c r="L88" s="58">
        <f t="shared" ca="1" si="19"/>
        <v>169890.71772832592</v>
      </c>
      <c r="M88" s="58">
        <f t="shared" ca="1" si="19"/>
        <v>149295.63833986889</v>
      </c>
      <c r="N88" s="58">
        <f t="shared" ca="1" si="19"/>
        <v>131197.2085246541</v>
      </c>
      <c r="O88" s="58">
        <f t="shared" ca="1" si="19"/>
        <v>115292.95451773537</v>
      </c>
      <c r="P88" s="58">
        <f t="shared" ca="1" si="19"/>
        <v>101316.54281412641</v>
      </c>
      <c r="Q88" s="58">
        <f t="shared" ca="1" si="19"/>
        <v>89035.213923127681</v>
      </c>
      <c r="R88" s="58">
        <f t="shared" ca="1" si="19"/>
        <v>78242.33936905193</v>
      </c>
      <c r="S88" s="58">
        <f t="shared" ca="1" si="19"/>
        <v>68757.621176120287</v>
      </c>
      <c r="T88" s="58">
        <f t="shared" ca="1" si="19"/>
        <v>60422.30231024036</v>
      </c>
      <c r="U88" s="58">
        <f t="shared" ca="1" si="19"/>
        <v>53097.836055842119</v>
      </c>
      <c r="V88" s="58">
        <f t="shared" ca="1" si="19"/>
        <v>46662.09360881769</v>
      </c>
      <c r="W88" s="58">
        <f t="shared" ca="1" si="19"/>
        <v>41005.460200100693</v>
      </c>
      <c r="X88" s="58">
        <f t="shared" ca="1" si="19"/>
        <v>36034.563112664451</v>
      </c>
      <c r="Y88" s="58">
        <f t="shared" ca="1" si="19"/>
        <v>31666.148167061481</v>
      </c>
      <c r="Z88" s="58">
        <f t="shared" ca="1" si="19"/>
        <v>27827.724333724946</v>
      </c>
      <c r="AA88" s="58">
        <f t="shared" ca="1" si="19"/>
        <v>24454.645077066729</v>
      </c>
      <c r="AB88" s="58">
        <f t="shared" ca="1" si="19"/>
        <v>21490.069632279374</v>
      </c>
    </row>
    <row r="89" spans="1:28" ht="13.5" thickTop="1" x14ac:dyDescent="0.2"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x14ac:dyDescent="0.2">
      <c r="A90" s="29"/>
      <c r="B90" s="30"/>
      <c r="C90" s="30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</row>
    <row r="91" spans="1:28" x14ac:dyDescent="0.2">
      <c r="A91" s="4" t="s">
        <v>75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 x14ac:dyDescent="0.2">
      <c r="A92" s="4" t="s">
        <v>91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 s="25" customFormat="1" x14ac:dyDescent="0.2">
      <c r="A93" s="23"/>
      <c r="B93" s="24" t="s">
        <v>15</v>
      </c>
      <c r="C93" s="24">
        <f>+C29</f>
        <v>31572450</v>
      </c>
      <c r="D93" s="24">
        <f t="shared" ref="D93:AB93" si="20">+D29</f>
        <v>140321.99999999997</v>
      </c>
      <c r="E93" s="24">
        <f t="shared" si="20"/>
        <v>420966</v>
      </c>
      <c r="F93" s="24">
        <f t="shared" si="20"/>
        <v>701609.99999999988</v>
      </c>
      <c r="G93" s="24">
        <f t="shared" si="20"/>
        <v>982253.99999999977</v>
      </c>
      <c r="H93" s="24">
        <f t="shared" si="20"/>
        <v>1262897.9999999998</v>
      </c>
      <c r="I93" s="24">
        <f t="shared" si="20"/>
        <v>1403219.9999999998</v>
      </c>
      <c r="J93" s="24">
        <f t="shared" si="20"/>
        <v>1403219.9999999998</v>
      </c>
      <c r="K93" s="24">
        <f t="shared" si="20"/>
        <v>1403219.9999999998</v>
      </c>
      <c r="L93" s="24">
        <f t="shared" si="20"/>
        <v>1403219.9999999998</v>
      </c>
      <c r="M93" s="24">
        <f t="shared" si="20"/>
        <v>1403219.9999999998</v>
      </c>
      <c r="N93" s="24">
        <f t="shared" si="20"/>
        <v>1403219.9999999998</v>
      </c>
      <c r="O93" s="24">
        <f t="shared" si="20"/>
        <v>1403219.9999999998</v>
      </c>
      <c r="P93" s="24">
        <f t="shared" si="20"/>
        <v>1403219.9999999998</v>
      </c>
      <c r="Q93" s="24">
        <f t="shared" si="20"/>
        <v>1403219.9999999998</v>
      </c>
      <c r="R93" s="24">
        <f t="shared" si="20"/>
        <v>1403219.9999999998</v>
      </c>
      <c r="S93" s="24">
        <f t="shared" si="20"/>
        <v>1403219.9999999998</v>
      </c>
      <c r="T93" s="24">
        <f t="shared" si="20"/>
        <v>1403219.9999999998</v>
      </c>
      <c r="U93" s="24">
        <f t="shared" si="20"/>
        <v>1403219.9999999998</v>
      </c>
      <c r="V93" s="24">
        <f t="shared" si="20"/>
        <v>1403219.9999999998</v>
      </c>
      <c r="W93" s="24">
        <f t="shared" si="20"/>
        <v>1403219.9999999998</v>
      </c>
      <c r="X93" s="24">
        <f t="shared" si="20"/>
        <v>1403219.9999999998</v>
      </c>
      <c r="Y93" s="24">
        <f t="shared" si="20"/>
        <v>1403219.9999999998</v>
      </c>
      <c r="Z93" s="24">
        <f t="shared" si="20"/>
        <v>1403219.9999999998</v>
      </c>
      <c r="AA93" s="24">
        <f t="shared" si="20"/>
        <v>1403219.9999999998</v>
      </c>
      <c r="AB93" s="24">
        <f t="shared" si="20"/>
        <v>1403219.9999999998</v>
      </c>
    </row>
    <row r="94" spans="1:28" s="25" customFormat="1" x14ac:dyDescent="0.2">
      <c r="A94" s="23"/>
      <c r="B94" s="24" t="s">
        <v>126</v>
      </c>
      <c r="C94" s="59">
        <f t="shared" ref="C94:AB94" si="21">-C44</f>
        <v>-11680577.363258025</v>
      </c>
      <c r="D94" s="59">
        <f t="shared" si="21"/>
        <v>-51913.677170035677</v>
      </c>
      <c r="E94" s="59">
        <f t="shared" si="21"/>
        <v>-155741.03151010702</v>
      </c>
      <c r="F94" s="59">
        <f t="shared" si="21"/>
        <v>-259568.38585017837</v>
      </c>
      <c r="G94" s="59">
        <f t="shared" si="21"/>
        <v>-363395.74019024975</v>
      </c>
      <c r="H94" s="59">
        <f t="shared" si="21"/>
        <v>-467223.09453032108</v>
      </c>
      <c r="I94" s="59">
        <f t="shared" si="21"/>
        <v>-519136.77170035674</v>
      </c>
      <c r="J94" s="59">
        <f t="shared" si="21"/>
        <v>-519136.77170035674</v>
      </c>
      <c r="K94" s="59">
        <f t="shared" si="21"/>
        <v>-519136.77170035674</v>
      </c>
      <c r="L94" s="59">
        <f t="shared" si="21"/>
        <v>-519136.77170035674</v>
      </c>
      <c r="M94" s="59">
        <f t="shared" si="21"/>
        <v>-519136.77170035674</v>
      </c>
      <c r="N94" s="59">
        <f t="shared" si="21"/>
        <v>-519136.77170035674</v>
      </c>
      <c r="O94" s="59">
        <f t="shared" si="21"/>
        <v>-519136.77170035674</v>
      </c>
      <c r="P94" s="59">
        <f t="shared" si="21"/>
        <v>-519136.77170035674</v>
      </c>
      <c r="Q94" s="59">
        <f t="shared" si="21"/>
        <v>-519136.77170035674</v>
      </c>
      <c r="R94" s="59">
        <f t="shared" si="21"/>
        <v>-519136.77170035674</v>
      </c>
      <c r="S94" s="59">
        <f t="shared" si="21"/>
        <v>-519136.77170035674</v>
      </c>
      <c r="T94" s="59">
        <f t="shared" si="21"/>
        <v>-519136.77170035674</v>
      </c>
      <c r="U94" s="59">
        <f t="shared" si="21"/>
        <v>-519136.77170035674</v>
      </c>
      <c r="V94" s="59">
        <f t="shared" si="21"/>
        <v>-519136.77170035674</v>
      </c>
      <c r="W94" s="59">
        <f t="shared" si="21"/>
        <v>-519136.77170035674</v>
      </c>
      <c r="X94" s="59">
        <f t="shared" si="21"/>
        <v>-519136.77170035674</v>
      </c>
      <c r="Y94" s="59">
        <f t="shared" si="21"/>
        <v>-519136.77170035674</v>
      </c>
      <c r="Z94" s="59">
        <f t="shared" si="21"/>
        <v>-519136.77170035674</v>
      </c>
      <c r="AA94" s="59">
        <f t="shared" si="21"/>
        <v>-519136.77170035674</v>
      </c>
      <c r="AB94" s="59">
        <f t="shared" si="21"/>
        <v>-519136.77170035674</v>
      </c>
    </row>
    <row r="95" spans="1:28" s="25" customFormat="1" ht="23.25" thickBot="1" x14ac:dyDescent="0.25">
      <c r="A95" s="23"/>
      <c r="B95" s="26" t="s">
        <v>92</v>
      </c>
      <c r="C95" s="58">
        <f>SUM(C93:C94)</f>
        <v>19891872.636741973</v>
      </c>
      <c r="D95" s="58">
        <f t="shared" ref="D95:AB95" si="22">SUM(D93:D94)</f>
        <v>88408.322829964294</v>
      </c>
      <c r="E95" s="58">
        <f t="shared" si="22"/>
        <v>265224.96848989301</v>
      </c>
      <c r="F95" s="58">
        <f t="shared" si="22"/>
        <v>442041.61414982151</v>
      </c>
      <c r="G95" s="58">
        <f t="shared" si="22"/>
        <v>618858.25980975002</v>
      </c>
      <c r="H95" s="58">
        <f t="shared" si="22"/>
        <v>795674.90546967869</v>
      </c>
      <c r="I95" s="58">
        <f t="shared" si="22"/>
        <v>884083.22829964303</v>
      </c>
      <c r="J95" s="58">
        <f t="shared" si="22"/>
        <v>884083.22829964303</v>
      </c>
      <c r="K95" s="58">
        <f t="shared" si="22"/>
        <v>884083.22829964303</v>
      </c>
      <c r="L95" s="58">
        <f t="shared" si="22"/>
        <v>884083.22829964303</v>
      </c>
      <c r="M95" s="58">
        <f t="shared" si="22"/>
        <v>884083.22829964303</v>
      </c>
      <c r="N95" s="58">
        <f t="shared" si="22"/>
        <v>884083.22829964303</v>
      </c>
      <c r="O95" s="58">
        <f t="shared" si="22"/>
        <v>884083.22829964303</v>
      </c>
      <c r="P95" s="58">
        <f t="shared" si="22"/>
        <v>884083.22829964303</v>
      </c>
      <c r="Q95" s="58">
        <f t="shared" si="22"/>
        <v>884083.22829964303</v>
      </c>
      <c r="R95" s="58">
        <f t="shared" si="22"/>
        <v>884083.22829964303</v>
      </c>
      <c r="S95" s="58">
        <f t="shared" si="22"/>
        <v>884083.22829964303</v>
      </c>
      <c r="T95" s="58">
        <f t="shared" si="22"/>
        <v>884083.22829964303</v>
      </c>
      <c r="U95" s="58">
        <f t="shared" si="22"/>
        <v>884083.22829964303</v>
      </c>
      <c r="V95" s="58">
        <f t="shared" si="22"/>
        <v>884083.22829964303</v>
      </c>
      <c r="W95" s="58">
        <f t="shared" si="22"/>
        <v>884083.22829964303</v>
      </c>
      <c r="X95" s="58">
        <f t="shared" si="22"/>
        <v>884083.22829964303</v>
      </c>
      <c r="Y95" s="58">
        <f t="shared" si="22"/>
        <v>884083.22829964303</v>
      </c>
      <c r="Z95" s="58">
        <f t="shared" si="22"/>
        <v>884083.22829964303</v>
      </c>
      <c r="AA95" s="58">
        <f t="shared" si="22"/>
        <v>884083.22829964303</v>
      </c>
      <c r="AB95" s="58">
        <f t="shared" si="22"/>
        <v>884083.22829964303</v>
      </c>
    </row>
    <row r="96" spans="1:28" s="25" customFormat="1" ht="13.5" thickTop="1" x14ac:dyDescent="0.2">
      <c r="A96" s="23" t="s">
        <v>101</v>
      </c>
      <c r="B96" s="26"/>
      <c r="C96" s="56">
        <f>SUM(D96:AB96)</f>
        <v>11106391.036502922</v>
      </c>
      <c r="D96" s="24">
        <f t="shared" ref="D96:AB96" si="23">+D95*D3</f>
        <v>86404.990234637298</v>
      </c>
      <c r="E96" s="24">
        <f t="shared" si="23"/>
        <v>247600.76933373962</v>
      </c>
      <c r="F96" s="24">
        <f t="shared" si="23"/>
        <v>394177.34816967882</v>
      </c>
      <c r="G96" s="24">
        <f t="shared" si="23"/>
        <v>527124.89995815081</v>
      </c>
      <c r="H96" s="24">
        <f t="shared" si="23"/>
        <v>647361.10309013061</v>
      </c>
      <c r="I96" s="24">
        <f t="shared" si="23"/>
        <v>687065.28087306756</v>
      </c>
      <c r="J96" s="24">
        <f t="shared" si="23"/>
        <v>656281.50286367408</v>
      </c>
      <c r="K96" s="24">
        <f t="shared" si="23"/>
        <v>626876.89469042781</v>
      </c>
      <c r="L96" s="24">
        <f t="shared" si="23"/>
        <v>598789.5705273482</v>
      </c>
      <c r="M96" s="24">
        <f t="shared" si="23"/>
        <v>571957.64454845409</v>
      </c>
      <c r="N96" s="24">
        <f t="shared" si="23"/>
        <v>546328.07176004734</v>
      </c>
      <c r="O96" s="24">
        <f t="shared" si="23"/>
        <v>521847.80716843024</v>
      </c>
      <c r="P96" s="24">
        <f t="shared" si="23"/>
        <v>498463.80577990471</v>
      </c>
      <c r="Q96" s="24">
        <f t="shared" si="23"/>
        <v>476131.86343305581</v>
      </c>
      <c r="R96" s="24">
        <f t="shared" si="23"/>
        <v>454798.93513418542</v>
      </c>
      <c r="S96" s="24">
        <f t="shared" si="23"/>
        <v>434420.8167218786</v>
      </c>
      <c r="T96" s="24">
        <f t="shared" si="23"/>
        <v>414953.30403472047</v>
      </c>
      <c r="U96" s="24">
        <f t="shared" si="23"/>
        <v>396361.03374357894</v>
      </c>
      <c r="V96" s="24">
        <f t="shared" si="23"/>
        <v>378608.64251932217</v>
      </c>
      <c r="W96" s="24">
        <f t="shared" si="23"/>
        <v>361643.08536825195</v>
      </c>
      <c r="X96" s="24">
        <f t="shared" si="23"/>
        <v>345437.83979351952</v>
      </c>
      <c r="Y96" s="24">
        <f t="shared" si="23"/>
        <v>329957.5424659928</v>
      </c>
      <c r="Z96" s="24">
        <f t="shared" si="23"/>
        <v>315175.6708888227</v>
      </c>
      <c r="AA96" s="24">
        <f t="shared" si="23"/>
        <v>301056.86173287744</v>
      </c>
      <c r="AB96" s="24">
        <f t="shared" si="23"/>
        <v>287565.75166902487</v>
      </c>
    </row>
    <row r="97" spans="1:29" s="28" customFormat="1" x14ac:dyDescent="0.2">
      <c r="A97" s="161" t="s">
        <v>233</v>
      </c>
      <c r="B97" s="164"/>
      <c r="C97" s="163">
        <f>SUM(D97:AB97)</f>
        <v>17628102.797759995</v>
      </c>
      <c r="D97" s="163">
        <f>+D93*D3</f>
        <v>137142.30347999997</v>
      </c>
      <c r="E97" s="163">
        <f t="shared" ref="E97:AB97" si="24">+E93*E3</f>
        <v>392992.80930000002</v>
      </c>
      <c r="F97" s="163">
        <f t="shared" si="24"/>
        <v>625639.66919999989</v>
      </c>
      <c r="G97" s="163">
        <f t="shared" si="24"/>
        <v>836654.48957999982</v>
      </c>
      <c r="H97" s="163">
        <f t="shared" si="24"/>
        <v>1027493.8127999998</v>
      </c>
      <c r="I97" s="163">
        <f t="shared" si="24"/>
        <v>1090512.4229999997</v>
      </c>
      <c r="J97" s="163">
        <f t="shared" si="24"/>
        <v>1041652.3025999999</v>
      </c>
      <c r="K97" s="163">
        <f t="shared" si="24"/>
        <v>994981.20539999986</v>
      </c>
      <c r="L97" s="163">
        <f t="shared" si="24"/>
        <v>950400.90599999984</v>
      </c>
      <c r="M97" s="163">
        <f t="shared" si="24"/>
        <v>907813.17899999989</v>
      </c>
      <c r="N97" s="163">
        <f t="shared" si="24"/>
        <v>867133.83119999978</v>
      </c>
      <c r="O97" s="163">
        <f t="shared" si="24"/>
        <v>828278.66939999978</v>
      </c>
      <c r="P97" s="163">
        <f t="shared" si="24"/>
        <v>791163.5003999999</v>
      </c>
      <c r="Q97" s="163">
        <f t="shared" si="24"/>
        <v>755718.16319999995</v>
      </c>
      <c r="R97" s="163">
        <f t="shared" si="24"/>
        <v>721858.46459999995</v>
      </c>
      <c r="S97" s="163">
        <f t="shared" si="24"/>
        <v>689514.24359999981</v>
      </c>
      <c r="T97" s="163">
        <f t="shared" si="24"/>
        <v>658615.33919999993</v>
      </c>
      <c r="U97" s="163">
        <f t="shared" si="24"/>
        <v>629105.62259999989</v>
      </c>
      <c r="V97" s="163">
        <f t="shared" si="24"/>
        <v>600928.96499999997</v>
      </c>
      <c r="W97" s="163">
        <f t="shared" si="24"/>
        <v>574001.17319999984</v>
      </c>
      <c r="X97" s="163">
        <f t="shared" si="24"/>
        <v>548280.15059999994</v>
      </c>
      <c r="Y97" s="163">
        <f t="shared" si="24"/>
        <v>523709.76839999988</v>
      </c>
      <c r="Z97" s="163">
        <f t="shared" si="24"/>
        <v>500247.92999999988</v>
      </c>
      <c r="AA97" s="163">
        <f t="shared" si="24"/>
        <v>477838.50659999991</v>
      </c>
      <c r="AB97" s="163">
        <f t="shared" si="24"/>
        <v>456425.36939999991</v>
      </c>
    </row>
    <row r="98" spans="1:29" s="28" customFormat="1" x14ac:dyDescent="0.2">
      <c r="A98" s="161" t="s">
        <v>231</v>
      </c>
      <c r="B98" s="164"/>
      <c r="C98" s="163">
        <f>SUM(D98:AB98)</f>
        <v>-6521711.7612570748</v>
      </c>
      <c r="D98" s="163">
        <f>+D94*D3</f>
        <v>-50737.313245362668</v>
      </c>
      <c r="E98" s="163">
        <f t="shared" ref="E98:AB98" si="25">+E94*E3</f>
        <v>-145392.0399662604</v>
      </c>
      <c r="F98" s="163">
        <f t="shared" si="25"/>
        <v>-231462.32103032104</v>
      </c>
      <c r="G98" s="163">
        <f t="shared" si="25"/>
        <v>-309529.58962184907</v>
      </c>
      <c r="H98" s="163">
        <f t="shared" si="25"/>
        <v>-380132.70970986923</v>
      </c>
      <c r="I98" s="163">
        <f t="shared" si="25"/>
        <v>-403447.14212693222</v>
      </c>
      <c r="J98" s="163">
        <f t="shared" si="25"/>
        <v>-385370.79973632586</v>
      </c>
      <c r="K98" s="163">
        <f t="shared" si="25"/>
        <v>-368104.31070957193</v>
      </c>
      <c r="L98" s="163">
        <f t="shared" si="25"/>
        <v>-351611.33547265164</v>
      </c>
      <c r="M98" s="163">
        <f t="shared" si="25"/>
        <v>-335855.5344515458</v>
      </c>
      <c r="N98" s="163">
        <f t="shared" si="25"/>
        <v>-320805.75943995244</v>
      </c>
      <c r="O98" s="163">
        <f t="shared" si="25"/>
        <v>-306430.86223156954</v>
      </c>
      <c r="P98" s="163">
        <f t="shared" si="25"/>
        <v>-292699.69462009514</v>
      </c>
      <c r="Q98" s="163">
        <f t="shared" si="25"/>
        <v>-279586.29976694414</v>
      </c>
      <c r="R98" s="163">
        <f t="shared" si="25"/>
        <v>-267059.52946581453</v>
      </c>
      <c r="S98" s="163">
        <f t="shared" si="25"/>
        <v>-255093.42687812127</v>
      </c>
      <c r="T98" s="163">
        <f t="shared" si="25"/>
        <v>-243662.03516527943</v>
      </c>
      <c r="U98" s="163">
        <f t="shared" si="25"/>
        <v>-232744.58885642095</v>
      </c>
      <c r="V98" s="163">
        <f t="shared" si="25"/>
        <v>-222320.32248067777</v>
      </c>
      <c r="W98" s="163">
        <f t="shared" si="25"/>
        <v>-212358.08783174792</v>
      </c>
      <c r="X98" s="163">
        <f t="shared" si="25"/>
        <v>-202842.31080648041</v>
      </c>
      <c r="Y98" s="163">
        <f t="shared" si="25"/>
        <v>-193752.22593400715</v>
      </c>
      <c r="Z98" s="163">
        <f t="shared" si="25"/>
        <v>-185072.25911117718</v>
      </c>
      <c r="AA98" s="163">
        <f t="shared" si="25"/>
        <v>-176781.64486712249</v>
      </c>
      <c r="AB98" s="163">
        <f t="shared" si="25"/>
        <v>-168859.61773097503</v>
      </c>
    </row>
    <row r="99" spans="1:29" s="165" customFormat="1" x14ac:dyDescent="0.2">
      <c r="A99" s="4"/>
      <c r="B99" s="5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9" s="28" customFormat="1" x14ac:dyDescent="0.2">
      <c r="A100" s="27" t="s">
        <v>93</v>
      </c>
      <c r="B100" s="5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9" s="28" customFormat="1" x14ac:dyDescent="0.2">
      <c r="A101" s="27"/>
      <c r="B101" s="5" t="s">
        <v>94</v>
      </c>
      <c r="C101" s="24">
        <f ca="1">SUM(D101:AB101)</f>
        <v>5271346.2487366237</v>
      </c>
      <c r="D101" s="24">
        <f ca="1">(D95-D102-D104)*'Data Inputs'!$E$111</f>
        <v>23428.20554994054</v>
      </c>
      <c r="E101" s="24">
        <f ca="1">(E95-E102-E104)*'Data Inputs'!$F$111</f>
        <v>70284.616649821648</v>
      </c>
      <c r="F101" s="24">
        <f ca="1">(F95-F102-F104)*'Data Inputs'!$G$111</f>
        <v>117141.02774970271</v>
      </c>
      <c r="G101" s="24">
        <f ca="1">(G95-G102-G104)*'Data Inputs'!$H$111</f>
        <v>163997.43884958376</v>
      </c>
      <c r="H101" s="24">
        <f ca="1">(H95-H102-H104)*'Data Inputs'!$I$111</f>
        <v>210853.84994946487</v>
      </c>
      <c r="I101" s="24">
        <f ca="1">(I95-I102-I104)*'Data Inputs'!$J$111</f>
        <v>234282.05549940543</v>
      </c>
      <c r="J101" s="24">
        <f ca="1">(J95-J102-J104)*'Data Inputs'!$J$111</f>
        <v>234282.05549940543</v>
      </c>
      <c r="K101" s="24">
        <f ca="1">(K95-K102-K104)*'Data Inputs'!$J$111</f>
        <v>234282.05549940543</v>
      </c>
      <c r="L101" s="24">
        <f ca="1">(L95-L102-L104)*'Data Inputs'!$J$111</f>
        <v>234282.05549940543</v>
      </c>
      <c r="M101" s="24">
        <f ca="1">(M95-M102-M104)*'Data Inputs'!$J$111</f>
        <v>234282.05549940543</v>
      </c>
      <c r="N101" s="24">
        <f ca="1">(N95-N102-N104)*'Data Inputs'!$J$111</f>
        <v>234282.05549940543</v>
      </c>
      <c r="O101" s="24">
        <f ca="1">(O95-O102-O104)*'Data Inputs'!$J$111</f>
        <v>234282.05549940543</v>
      </c>
      <c r="P101" s="24">
        <f ca="1">(P95-P102-P104)*'Data Inputs'!$J$111</f>
        <v>234282.05549940543</v>
      </c>
      <c r="Q101" s="24">
        <f ca="1">(Q95-Q102-Q104)*'Data Inputs'!$J$111</f>
        <v>234282.05549940543</v>
      </c>
      <c r="R101" s="24">
        <f ca="1">(R95-R102-R104)*'Data Inputs'!$J$111</f>
        <v>234282.05549940543</v>
      </c>
      <c r="S101" s="24">
        <f ca="1">(S95-S102-S104)*'Data Inputs'!$J$111</f>
        <v>234282.05549940543</v>
      </c>
      <c r="T101" s="24">
        <f ca="1">(T95-T102-T104)*'Data Inputs'!$J$111</f>
        <v>234282.05549940543</v>
      </c>
      <c r="U101" s="24">
        <f ca="1">(U95-U102-U104)*'Data Inputs'!$J$111</f>
        <v>234282.05549940543</v>
      </c>
      <c r="V101" s="24">
        <f ca="1">(V95-V102-V104)*'Data Inputs'!$J$111</f>
        <v>234282.05549940543</v>
      </c>
      <c r="W101" s="24">
        <f ca="1">(W95-W102-W104)*'Data Inputs'!$J$111</f>
        <v>234282.05549940543</v>
      </c>
      <c r="X101" s="24">
        <f ca="1">(X95-X102-X104)*'Data Inputs'!$J$111</f>
        <v>234282.05549940543</v>
      </c>
      <c r="Y101" s="24">
        <f ca="1">(Y95-Y102-Y104)*'Data Inputs'!$J$111</f>
        <v>234282.05549940543</v>
      </c>
      <c r="Z101" s="24">
        <f ca="1">(Z95-Z102-Z104)*'Data Inputs'!$J$111</f>
        <v>234282.05549940543</v>
      </c>
      <c r="AA101" s="24">
        <f ca="1">(AA95-AA102-AA104)*'Data Inputs'!$J$111</f>
        <v>234282.05549940543</v>
      </c>
      <c r="AB101" s="24">
        <f ca="1">(AB95-AB102-AB104)*'Data Inputs'!$J$111</f>
        <v>234282.05549940543</v>
      </c>
    </row>
    <row r="102" spans="1:29" s="28" customFormat="1" x14ac:dyDescent="0.2">
      <c r="A102" s="27"/>
      <c r="B102" s="5" t="s">
        <v>95</v>
      </c>
      <c r="C102" s="24">
        <f ca="1">SUM(D102:AB102)</f>
        <v>0</v>
      </c>
      <c r="D102" s="24">
        <f ca="1">+'Data Inputs'!$E$113*(D86+D74)</f>
        <v>0</v>
      </c>
      <c r="E102" s="24">
        <f ca="1">+'Data Inputs'!$F$113*(E86+E74)</f>
        <v>0</v>
      </c>
      <c r="F102" s="24">
        <f ca="1">+'Data Inputs'!$G$113*(F86+F74)</f>
        <v>0</v>
      </c>
      <c r="G102" s="24">
        <f ca="1">+'Data Inputs'!$H$113*(G86+G74)</f>
        <v>0</v>
      </c>
      <c r="H102" s="24">
        <f ca="1">+'Data Inputs'!$I$113*(H86+H74)</f>
        <v>0</v>
      </c>
      <c r="I102" s="24">
        <f ca="1">+'Data Inputs'!$J$113*(I86+I74)</f>
        <v>0</v>
      </c>
      <c r="J102" s="24">
        <f ca="1">+'Data Inputs'!$J$113*(J86+J74)</f>
        <v>0</v>
      </c>
      <c r="K102" s="24">
        <f ca="1">+'Data Inputs'!$J$113*(K86+K74)</f>
        <v>0</v>
      </c>
      <c r="L102" s="24">
        <f ca="1">+'Data Inputs'!$J$113*(L86+L74)</f>
        <v>0</v>
      </c>
      <c r="M102" s="24">
        <f ca="1">+'Data Inputs'!$J$113*(M86+M74)</f>
        <v>0</v>
      </c>
      <c r="N102" s="24">
        <f ca="1">+'Data Inputs'!$J$113*(N86+N74)</f>
        <v>0</v>
      </c>
      <c r="O102" s="24">
        <f ca="1">+'Data Inputs'!$J$113*(O86+O74)</f>
        <v>0</v>
      </c>
      <c r="P102" s="24">
        <f ca="1">+'Data Inputs'!$J$113*(P86+P74)</f>
        <v>0</v>
      </c>
      <c r="Q102" s="24">
        <f ca="1">+'Data Inputs'!$J$113*(Q86+Q74)</f>
        <v>0</v>
      </c>
      <c r="R102" s="24">
        <f ca="1">+'Data Inputs'!$J$113*(R86+R74)</f>
        <v>0</v>
      </c>
      <c r="S102" s="24">
        <f ca="1">+'Data Inputs'!$J$113*(S86+S74)</f>
        <v>0</v>
      </c>
      <c r="T102" s="24">
        <f ca="1">+'Data Inputs'!$J$113*(T86+T74)</f>
        <v>0</v>
      </c>
      <c r="U102" s="24">
        <f ca="1">+'Data Inputs'!$J$113*(U86+U74)</f>
        <v>0</v>
      </c>
      <c r="V102" s="24">
        <f ca="1">+'Data Inputs'!$J$113*(V86+V74)</f>
        <v>0</v>
      </c>
      <c r="W102" s="24">
        <f ca="1">+'Data Inputs'!$J$113*(W86+W74)</f>
        <v>0</v>
      </c>
      <c r="X102" s="24">
        <f ca="1">+'Data Inputs'!$J$113*(X86+X74)</f>
        <v>0</v>
      </c>
      <c r="Y102" s="24">
        <f ca="1">+'Data Inputs'!$J$113*(Y86+Y74)</f>
        <v>0</v>
      </c>
      <c r="Z102" s="24">
        <f ca="1">+'Data Inputs'!$J$113*(Z86+Z74)</f>
        <v>0</v>
      </c>
      <c r="AA102" s="24">
        <f ca="1">+'Data Inputs'!$J$113*(AA86+AA74)</f>
        <v>0</v>
      </c>
      <c r="AB102" s="24">
        <f ca="1">+'Data Inputs'!$J$113*(AB86+AB74)</f>
        <v>0</v>
      </c>
    </row>
    <row r="103" spans="1:29" x14ac:dyDescent="0.2">
      <c r="B103" s="5" t="s">
        <v>96</v>
      </c>
      <c r="C103" s="24">
        <f ca="1">SUM(D103:AB103)</f>
        <v>0</v>
      </c>
      <c r="D103" s="24">
        <f ca="1">IF((D96+'Data Inputs'!$E$117)&gt;0,((D74+D86)*'Data Inputs'!$E$112),0)</f>
        <v>0</v>
      </c>
      <c r="E103" s="24">
        <f ca="1">IF((E96+'Data Inputs'!$F$117)&gt;0,((E74+E86)*'Data Inputs'!$F$112),0)</f>
        <v>0</v>
      </c>
      <c r="F103" s="24">
        <f ca="1">IF((F96+'Data Inputs'!$G$117)&gt;0,((F74+F86)*'Data Inputs'!$G$112),0)</f>
        <v>0</v>
      </c>
      <c r="G103" s="24">
        <f ca="1">IF((G96+'Data Inputs'!$H$117)&gt;0,((G74+G86)*'Data Inputs'!$H$112),0)</f>
        <v>0</v>
      </c>
      <c r="H103" s="24">
        <f ca="1">IF((H96+'Data Inputs'!$I$117)&gt;0,((H74+H86)*'Data Inputs'!$I$112),0)</f>
        <v>0</v>
      </c>
      <c r="I103" s="24">
        <f ca="1">IF((I96+'Data Inputs'!$J$117)&gt;0,((I74+I86)*'Data Inputs'!$J$112),0)</f>
        <v>0</v>
      </c>
      <c r="J103" s="24">
        <f ca="1">IF((J96+'Data Inputs'!$J$117)&gt;0,((J74+J86)*'Data Inputs'!$J$112),0)</f>
        <v>0</v>
      </c>
      <c r="K103" s="24">
        <f ca="1">IF((K96+'Data Inputs'!$J$117)&gt;0,((K74+K86)*'Data Inputs'!$J$112),0)</f>
        <v>0</v>
      </c>
      <c r="L103" s="24">
        <f ca="1">IF((L96+'Data Inputs'!$J$117)&gt;0,((L74+L86)*'Data Inputs'!$J$112),0)</f>
        <v>0</v>
      </c>
      <c r="M103" s="24">
        <f ca="1">IF((M96+'Data Inputs'!$J$117)&gt;0,((M74+M86)*'Data Inputs'!$J$112),0)</f>
        <v>0</v>
      </c>
      <c r="N103" s="24">
        <f ca="1">IF((N96+'Data Inputs'!$J$117)&gt;0,((N74+N86)*'Data Inputs'!$J$112),0)</f>
        <v>0</v>
      </c>
      <c r="O103" s="24">
        <f ca="1">IF((O96+'Data Inputs'!$J$117)&gt;0,((O74+O86)*'Data Inputs'!$J$112),0)</f>
        <v>0</v>
      </c>
      <c r="P103" s="24">
        <f ca="1">IF((P96+'Data Inputs'!$J$117)&gt;0,((P74+P86)*'Data Inputs'!$J$112),0)</f>
        <v>0</v>
      </c>
      <c r="Q103" s="24">
        <f ca="1">IF((Q96+'Data Inputs'!$J$117)&gt;0,((Q74+Q86)*'Data Inputs'!$J$112),0)</f>
        <v>0</v>
      </c>
      <c r="R103" s="24">
        <f ca="1">IF((R96+'Data Inputs'!$J$117)&gt;0,((R74+R86)*'Data Inputs'!$J$112),0)</f>
        <v>0</v>
      </c>
      <c r="S103" s="24">
        <f ca="1">IF((S96+'Data Inputs'!$J$117)&gt;0,((S74+S86)*'Data Inputs'!$J$112),0)</f>
        <v>0</v>
      </c>
      <c r="T103" s="24">
        <f ca="1">IF((T96+'Data Inputs'!$J$117)&gt;0,((T74+T86)*'Data Inputs'!$J$112),0)</f>
        <v>0</v>
      </c>
      <c r="U103" s="24">
        <f ca="1">IF((U96+'Data Inputs'!$J$117)&gt;0,((U74+U86)*'Data Inputs'!$J$112),0)</f>
        <v>0</v>
      </c>
      <c r="V103" s="24">
        <f ca="1">IF((V96+'Data Inputs'!$J$117)&gt;0,((V74+V86)*'Data Inputs'!$J$112),0)</f>
        <v>0</v>
      </c>
      <c r="W103" s="24">
        <f ca="1">IF((W96+'Data Inputs'!$J$117)&gt;0,((W74+W86)*'Data Inputs'!$J$112),0)</f>
        <v>0</v>
      </c>
      <c r="X103" s="24">
        <f ca="1">IF((X96+'Data Inputs'!$J$117)&gt;0,((X74+X86)*'Data Inputs'!$J$112),0)</f>
        <v>0</v>
      </c>
      <c r="Y103" s="24">
        <f ca="1">IF((Y96+'Data Inputs'!$J$117)&gt;0,((Y74+Y86)*'Data Inputs'!$J$112),0)</f>
        <v>0</v>
      </c>
      <c r="Z103" s="24">
        <f ca="1">IF((Z96+'Data Inputs'!$J$117)&gt;0,((Z74+Z86)*'Data Inputs'!$J$112),0)</f>
        <v>0</v>
      </c>
      <c r="AA103" s="24">
        <f ca="1">IF((AA96+'Data Inputs'!$J$117)&gt;0,((AA74+AA86)*'Data Inputs'!$J$112),0)</f>
        <v>0</v>
      </c>
      <c r="AB103" s="24">
        <f ca="1">IF((AB96+'Data Inputs'!$J$117)&gt;0,((AB74+AB86)*'Data Inputs'!$J$112),0)</f>
        <v>0</v>
      </c>
    </row>
    <row r="104" spans="1:29" x14ac:dyDescent="0.2">
      <c r="B104" s="5" t="s">
        <v>97</v>
      </c>
      <c r="C104" s="59">
        <f>SUM(D104:AB104)</f>
        <v>0</v>
      </c>
      <c r="D104" s="24">
        <f>+'Data Inputs'!$E$110*D74</f>
        <v>0</v>
      </c>
      <c r="E104" s="24">
        <f>+'Data Inputs'!$F$110*E74</f>
        <v>0</v>
      </c>
      <c r="F104" s="24">
        <f>+'Data Inputs'!$G$110*F74</f>
        <v>0</v>
      </c>
      <c r="G104" s="24">
        <f>+'Data Inputs'!$H$110*G74</f>
        <v>0</v>
      </c>
      <c r="H104" s="24">
        <f>+'Data Inputs'!$I$110*H74</f>
        <v>0</v>
      </c>
      <c r="I104" s="24">
        <f>+'Data Inputs'!$J$110*I74</f>
        <v>0</v>
      </c>
      <c r="J104" s="24">
        <f>+'Data Inputs'!$J$110*J74</f>
        <v>0</v>
      </c>
      <c r="K104" s="24">
        <f>+'Data Inputs'!$J$110*K74</f>
        <v>0</v>
      </c>
      <c r="L104" s="24">
        <f>+'Data Inputs'!$J$110*L74</f>
        <v>0</v>
      </c>
      <c r="M104" s="24">
        <f>+'Data Inputs'!$J$110*M74</f>
        <v>0</v>
      </c>
      <c r="N104" s="24">
        <f>+'Data Inputs'!$J$110*N74</f>
        <v>0</v>
      </c>
      <c r="O104" s="24">
        <f>+'Data Inputs'!$J$110*O74</f>
        <v>0</v>
      </c>
      <c r="P104" s="24">
        <f>+'Data Inputs'!$J$110*P74</f>
        <v>0</v>
      </c>
      <c r="Q104" s="24">
        <f>+'Data Inputs'!$J$110*Q74</f>
        <v>0</v>
      </c>
      <c r="R104" s="24">
        <f>+'Data Inputs'!$J$110*R74</f>
        <v>0</v>
      </c>
      <c r="S104" s="24">
        <f>+'Data Inputs'!$J$110*S74</f>
        <v>0</v>
      </c>
      <c r="T104" s="24">
        <f>+'Data Inputs'!$J$110*T74</f>
        <v>0</v>
      </c>
      <c r="U104" s="24">
        <f>+'Data Inputs'!$J$110*U74</f>
        <v>0</v>
      </c>
      <c r="V104" s="24">
        <f>+'Data Inputs'!$J$110*V74</f>
        <v>0</v>
      </c>
      <c r="W104" s="24">
        <f>+'Data Inputs'!$J$110*W74</f>
        <v>0</v>
      </c>
      <c r="X104" s="24">
        <f>+'Data Inputs'!$J$110*X74</f>
        <v>0</v>
      </c>
      <c r="Y104" s="24">
        <f>+'Data Inputs'!$J$110*Y74</f>
        <v>0</v>
      </c>
      <c r="Z104" s="24">
        <f>+'Data Inputs'!$J$110*Z74</f>
        <v>0</v>
      </c>
      <c r="AA104" s="24">
        <f>+'Data Inputs'!$J$110*AA74</f>
        <v>0</v>
      </c>
      <c r="AB104" s="24">
        <f>+'Data Inputs'!$J$110*AB74</f>
        <v>0</v>
      </c>
    </row>
    <row r="105" spans="1:29" ht="13.5" thickBot="1" x14ac:dyDescent="0.25">
      <c r="A105" s="4" t="s">
        <v>98</v>
      </c>
      <c r="C105" s="63">
        <f ca="1">SUM(C101:C104)</f>
        <v>5271346.2487366237</v>
      </c>
      <c r="D105" s="63">
        <f t="shared" ref="D105:AB105" ca="1" si="26">SUM(D101:D104)</f>
        <v>23428.20554994054</v>
      </c>
      <c r="E105" s="63">
        <f t="shared" ca="1" si="26"/>
        <v>70284.616649821648</v>
      </c>
      <c r="F105" s="63">
        <f t="shared" ca="1" si="26"/>
        <v>117141.02774970271</v>
      </c>
      <c r="G105" s="63">
        <f t="shared" ca="1" si="26"/>
        <v>163997.43884958376</v>
      </c>
      <c r="H105" s="63">
        <f t="shared" ca="1" si="26"/>
        <v>210853.84994946487</v>
      </c>
      <c r="I105" s="63">
        <f t="shared" ca="1" si="26"/>
        <v>234282.05549940543</v>
      </c>
      <c r="J105" s="63">
        <f t="shared" ca="1" si="26"/>
        <v>234282.05549940543</v>
      </c>
      <c r="K105" s="63">
        <f t="shared" ca="1" si="26"/>
        <v>234282.05549940543</v>
      </c>
      <c r="L105" s="63">
        <f t="shared" ca="1" si="26"/>
        <v>234282.05549940543</v>
      </c>
      <c r="M105" s="63">
        <f t="shared" ca="1" si="26"/>
        <v>234282.05549940543</v>
      </c>
      <c r="N105" s="63">
        <f t="shared" ca="1" si="26"/>
        <v>234282.05549940543</v>
      </c>
      <c r="O105" s="63">
        <f t="shared" ca="1" si="26"/>
        <v>234282.05549940543</v>
      </c>
      <c r="P105" s="63">
        <f t="shared" ca="1" si="26"/>
        <v>234282.05549940543</v>
      </c>
      <c r="Q105" s="63">
        <f t="shared" ca="1" si="26"/>
        <v>234282.05549940543</v>
      </c>
      <c r="R105" s="63">
        <f t="shared" ca="1" si="26"/>
        <v>234282.05549940543</v>
      </c>
      <c r="S105" s="63">
        <f t="shared" ca="1" si="26"/>
        <v>234282.05549940543</v>
      </c>
      <c r="T105" s="63">
        <f t="shared" ca="1" si="26"/>
        <v>234282.05549940543</v>
      </c>
      <c r="U105" s="63">
        <f t="shared" ca="1" si="26"/>
        <v>234282.05549940543</v>
      </c>
      <c r="V105" s="63">
        <f t="shared" ca="1" si="26"/>
        <v>234282.05549940543</v>
      </c>
      <c r="W105" s="63">
        <f t="shared" ca="1" si="26"/>
        <v>234282.05549940543</v>
      </c>
      <c r="X105" s="63">
        <f t="shared" ca="1" si="26"/>
        <v>234282.05549940543</v>
      </c>
      <c r="Y105" s="63">
        <f t="shared" ca="1" si="26"/>
        <v>234282.05549940543</v>
      </c>
      <c r="Z105" s="63">
        <f t="shared" ca="1" si="26"/>
        <v>234282.05549940543</v>
      </c>
      <c r="AA105" s="63">
        <f t="shared" ca="1" si="26"/>
        <v>234282.05549940543</v>
      </c>
      <c r="AB105" s="63">
        <f t="shared" ca="1" si="26"/>
        <v>234282.05549940543</v>
      </c>
    </row>
    <row r="106" spans="1:29" s="28" customFormat="1" ht="13.5" thickTop="1" x14ac:dyDescent="0.2">
      <c r="A106" s="161" t="s">
        <v>99</v>
      </c>
      <c r="B106" s="164"/>
      <c r="C106" s="163">
        <f ca="1">SUM(D106:AB106)</f>
        <v>2943193.6246732743</v>
      </c>
      <c r="D106" s="163">
        <f ca="1">+D105*D3</f>
        <v>22897.322412178888</v>
      </c>
      <c r="E106" s="163">
        <f t="shared" ref="E106:AB106" ca="1" si="27">+E105*E3</f>
        <v>65614.203873441002</v>
      </c>
      <c r="F106" s="163">
        <f t="shared" ca="1" si="27"/>
        <v>104456.9972649649</v>
      </c>
      <c r="G106" s="163">
        <f t="shared" ca="1" si="27"/>
        <v>139688.09848890998</v>
      </c>
      <c r="H106" s="163">
        <f t="shared" ca="1" si="27"/>
        <v>171550.69231888463</v>
      </c>
      <c r="I106" s="163">
        <f t="shared" ca="1" si="27"/>
        <v>182072.29943136292</v>
      </c>
      <c r="J106" s="163">
        <f t="shared" ca="1" si="27"/>
        <v>173914.59825887365</v>
      </c>
      <c r="K106" s="163">
        <f t="shared" ca="1" si="27"/>
        <v>166122.3770929634</v>
      </c>
      <c r="L106" s="163">
        <f t="shared" ca="1" si="27"/>
        <v>158679.23618974729</v>
      </c>
      <c r="M106" s="163">
        <f t="shared" ca="1" si="27"/>
        <v>151568.77580534035</v>
      </c>
      <c r="N106" s="163">
        <f t="shared" ca="1" si="27"/>
        <v>144776.93901641257</v>
      </c>
      <c r="O106" s="163">
        <f t="shared" ca="1" si="27"/>
        <v>138289.66889963404</v>
      </c>
      <c r="P106" s="163">
        <f t="shared" ca="1" si="27"/>
        <v>132092.90853167477</v>
      </c>
      <c r="Q106" s="163">
        <f t="shared" ca="1" si="27"/>
        <v>126174.94380975979</v>
      </c>
      <c r="R106" s="163">
        <f t="shared" ca="1" si="27"/>
        <v>120521.71781055914</v>
      </c>
      <c r="S106" s="163">
        <f t="shared" ca="1" si="27"/>
        <v>115121.51643129783</v>
      </c>
      <c r="T106" s="163">
        <f t="shared" ca="1" si="27"/>
        <v>109962.62556920093</v>
      </c>
      <c r="U106" s="163">
        <f t="shared" ca="1" si="27"/>
        <v>105035.67394204844</v>
      </c>
      <c r="V106" s="163">
        <f t="shared" ca="1" si="27"/>
        <v>100331.29026762038</v>
      </c>
      <c r="W106" s="163">
        <f t="shared" ca="1" si="27"/>
        <v>95835.417622586785</v>
      </c>
      <c r="X106" s="163">
        <f t="shared" ca="1" si="27"/>
        <v>91541.02754528269</v>
      </c>
      <c r="Y106" s="163">
        <f t="shared" ca="1" si="27"/>
        <v>87438.748753488093</v>
      </c>
      <c r="Z106" s="163">
        <f t="shared" ca="1" si="27"/>
        <v>83521.552785538035</v>
      </c>
      <c r="AA106" s="163">
        <f t="shared" ca="1" si="27"/>
        <v>79780.068359212528</v>
      </c>
      <c r="AB106" s="163">
        <f t="shared" ca="1" si="27"/>
        <v>76204.924192291597</v>
      </c>
    </row>
    <row r="107" spans="1:29" s="165" customFormat="1" x14ac:dyDescent="0.2">
      <c r="A107" s="4" t="s">
        <v>117</v>
      </c>
      <c r="B107" s="5"/>
      <c r="C107" s="24">
        <f>SUM(D107:AB107)</f>
        <v>0</v>
      </c>
      <c r="D107" s="24">
        <f>+D104*D3</f>
        <v>0</v>
      </c>
      <c r="E107" s="24">
        <f t="shared" ref="E107:AB107" si="28">+E104*E3</f>
        <v>0</v>
      </c>
      <c r="F107" s="24">
        <f t="shared" si="28"/>
        <v>0</v>
      </c>
      <c r="G107" s="24">
        <f t="shared" si="28"/>
        <v>0</v>
      </c>
      <c r="H107" s="24">
        <f t="shared" si="28"/>
        <v>0</v>
      </c>
      <c r="I107" s="24">
        <f t="shared" si="28"/>
        <v>0</v>
      </c>
      <c r="J107" s="24">
        <f t="shared" si="28"/>
        <v>0</v>
      </c>
      <c r="K107" s="24">
        <f t="shared" si="28"/>
        <v>0</v>
      </c>
      <c r="L107" s="24">
        <f t="shared" si="28"/>
        <v>0</v>
      </c>
      <c r="M107" s="24">
        <f t="shared" si="28"/>
        <v>0</v>
      </c>
      <c r="N107" s="24">
        <f t="shared" si="28"/>
        <v>0</v>
      </c>
      <c r="O107" s="24">
        <f t="shared" si="28"/>
        <v>0</v>
      </c>
      <c r="P107" s="24">
        <f t="shared" si="28"/>
        <v>0</v>
      </c>
      <c r="Q107" s="24">
        <f t="shared" si="28"/>
        <v>0</v>
      </c>
      <c r="R107" s="24">
        <f t="shared" si="28"/>
        <v>0</v>
      </c>
      <c r="S107" s="24">
        <f t="shared" si="28"/>
        <v>0</v>
      </c>
      <c r="T107" s="24">
        <f t="shared" si="28"/>
        <v>0</v>
      </c>
      <c r="U107" s="24">
        <f t="shared" si="28"/>
        <v>0</v>
      </c>
      <c r="V107" s="24">
        <f t="shared" si="28"/>
        <v>0</v>
      </c>
      <c r="W107" s="24">
        <f t="shared" si="28"/>
        <v>0</v>
      </c>
      <c r="X107" s="24">
        <f t="shared" si="28"/>
        <v>0</v>
      </c>
      <c r="Y107" s="24">
        <f t="shared" si="28"/>
        <v>0</v>
      </c>
      <c r="Z107" s="24">
        <f t="shared" si="28"/>
        <v>0</v>
      </c>
      <c r="AA107" s="24">
        <f t="shared" si="28"/>
        <v>0</v>
      </c>
      <c r="AB107" s="24">
        <f t="shared" si="28"/>
        <v>0</v>
      </c>
    </row>
    <row r="108" spans="1:29" x14ac:dyDescent="0.2"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</row>
    <row r="109" spans="1:29" x14ac:dyDescent="0.2">
      <c r="A109" s="29"/>
      <c r="B109" s="30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</row>
    <row r="110" spans="1:29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9" ht="18" x14ac:dyDescent="0.25">
      <c r="A111" s="34" t="s">
        <v>111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9" x14ac:dyDescent="0.2">
      <c r="A112" s="52"/>
      <c r="B112" s="53"/>
      <c r="C112" s="72"/>
      <c r="D112" s="73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 x14ac:dyDescent="0.2">
      <c r="A113" s="64" t="s">
        <v>100</v>
      </c>
      <c r="B113" s="52" t="s">
        <v>102</v>
      </c>
      <c r="C113" s="70"/>
      <c r="D113" s="71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 x14ac:dyDescent="0.2">
      <c r="A114" s="52"/>
      <c r="B114" s="52" t="s">
        <v>103</v>
      </c>
      <c r="C114" s="55">
        <f>+C96</f>
        <v>11106391.036502922</v>
      </c>
      <c r="D114" s="55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 x14ac:dyDescent="0.2">
      <c r="A115" s="52"/>
      <c r="B115" s="52" t="s">
        <v>104</v>
      </c>
      <c r="C115" s="55">
        <f ca="1">-C106</f>
        <v>-2943193.6246732743</v>
      </c>
      <c r="D115" s="55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 x14ac:dyDescent="0.2">
      <c r="A116" s="52"/>
      <c r="B116" s="52" t="s">
        <v>102</v>
      </c>
      <c r="C116" s="65">
        <f ca="1">SUM(C113:C115)</f>
        <v>8163197.4118296476</v>
      </c>
      <c r="D116" s="65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 x14ac:dyDescent="0.2">
      <c r="A117" s="52"/>
      <c r="B117" s="53"/>
      <c r="C117" s="55"/>
      <c r="D117" s="55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 x14ac:dyDescent="0.2">
      <c r="A118" s="64" t="s">
        <v>105</v>
      </c>
      <c r="B118" s="52" t="s">
        <v>106</v>
      </c>
      <c r="C118" s="65">
        <f>-C78</f>
        <v>-53835098</v>
      </c>
      <c r="D118" s="65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 x14ac:dyDescent="0.2">
      <c r="A119" s="64" t="s">
        <v>107</v>
      </c>
      <c r="B119" s="52" t="s">
        <v>108</v>
      </c>
      <c r="C119" s="55">
        <f ca="1">+C88</f>
        <v>1701029.3072856525</v>
      </c>
      <c r="D119" s="55"/>
    </row>
    <row r="120" spans="1:28" ht="13.5" thickBot="1" x14ac:dyDescent="0.25">
      <c r="A120" s="52" t="s">
        <v>39</v>
      </c>
      <c r="B120" s="53"/>
      <c r="C120" s="54">
        <f ca="1">+C116+C118+C119</f>
        <v>-43970871.280884698</v>
      </c>
      <c r="D120" s="54"/>
    </row>
    <row r="121" spans="1:28" ht="13.5" thickTop="1" x14ac:dyDescent="0.2"/>
    <row r="122" spans="1:28" x14ac:dyDescent="0.2">
      <c r="A122" s="29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</row>
    <row r="156" spans="2:28" x14ac:dyDescent="0.2">
      <c r="B156" s="4"/>
    </row>
    <row r="158" spans="2:28" x14ac:dyDescent="0.2"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</row>
    <row r="159" spans="2:28" x14ac:dyDescent="0.2"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2:28" x14ac:dyDescent="0.2">
      <c r="E160" s="10"/>
    </row>
    <row r="161" spans="4:28" x14ac:dyDescent="0.2"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4:28" x14ac:dyDescent="0.2"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</row>
  </sheetData>
  <phoneticPr fontId="0" type="noConversion"/>
  <printOptions horizontalCentered="1"/>
  <pageMargins left="0.18" right="0.17" top="0.45" bottom="0.5" header="0.27" footer="0.35"/>
  <pageSetup scale="45" fitToHeight="0" orientation="landscape" horizontalDpi="300" verticalDpi="300" r:id="rId1"/>
  <headerFooter alignWithMargins="0">
    <oddFooter>&amp;L&amp;P of &amp;N&amp;C&amp;F &amp;A&amp;R&amp;D &amp;T</oddFooter>
  </headerFooter>
  <rowBreaks count="2" manualBreakCount="2">
    <brk id="47" max="27" man="1"/>
    <brk id="89" max="27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2"/>
  <sheetViews>
    <sheetView workbookViewId="0">
      <selection activeCell="D36" sqref="D36"/>
    </sheetView>
  </sheetViews>
  <sheetFormatPr defaultRowHeight="12.75" x14ac:dyDescent="0.2"/>
  <cols>
    <col min="1" max="1" width="26.5703125" customWidth="1"/>
    <col min="2" max="2" width="14" bestFit="1" customWidth="1"/>
    <col min="3" max="3" width="13.7109375" customWidth="1"/>
    <col min="4" max="4" width="12.28515625" bestFit="1" customWidth="1"/>
    <col min="5" max="6" width="14" bestFit="1" customWidth="1"/>
    <col min="7" max="8" width="12.28515625" bestFit="1" customWidth="1"/>
    <col min="9" max="9" width="14" style="28" bestFit="1" customWidth="1"/>
    <col min="10" max="10" width="14.7109375" style="28" customWidth="1"/>
    <col min="11" max="12" width="12.28515625" bestFit="1" customWidth="1"/>
    <col min="13" max="13" width="11.28515625" bestFit="1" customWidth="1"/>
  </cols>
  <sheetData>
    <row r="1" spans="1:13" x14ac:dyDescent="0.2">
      <c r="A1" t="s">
        <v>173</v>
      </c>
      <c r="K1" s="133"/>
      <c r="L1" s="126"/>
    </row>
    <row r="2" spans="1:13" x14ac:dyDescent="0.2">
      <c r="K2" s="133"/>
      <c r="L2" s="125"/>
    </row>
    <row r="3" spans="1:13" x14ac:dyDescent="0.2">
      <c r="B3">
        <v>2003</v>
      </c>
      <c r="C3">
        <v>2004</v>
      </c>
      <c r="D3">
        <v>2005</v>
      </c>
      <c r="E3">
        <v>2006</v>
      </c>
      <c r="F3">
        <v>2007</v>
      </c>
      <c r="G3">
        <v>2008</v>
      </c>
      <c r="H3">
        <v>2009</v>
      </c>
      <c r="I3">
        <v>2010</v>
      </c>
      <c r="J3">
        <v>2011</v>
      </c>
      <c r="K3" s="138" t="s">
        <v>220</v>
      </c>
      <c r="L3" s="139" t="s">
        <v>220</v>
      </c>
    </row>
    <row r="4" spans="1:13" x14ac:dyDescent="0.2">
      <c r="K4" s="133"/>
      <c r="L4" s="126"/>
    </row>
    <row r="5" spans="1:13" x14ac:dyDescent="0.2">
      <c r="A5" t="s">
        <v>133</v>
      </c>
      <c r="B5" s="28">
        <v>64302002</v>
      </c>
      <c r="C5" s="28">
        <v>64302002</v>
      </c>
      <c r="D5" s="28">
        <v>64302002</v>
      </c>
      <c r="E5" s="28">
        <v>64302002</v>
      </c>
      <c r="F5" s="28">
        <v>64302002</v>
      </c>
      <c r="G5" s="28">
        <v>64302002</v>
      </c>
      <c r="H5" s="28">
        <v>64302002</v>
      </c>
      <c r="I5" s="28">
        <v>64302000</v>
      </c>
      <c r="J5" s="28">
        <v>64302000</v>
      </c>
      <c r="K5" s="133"/>
      <c r="L5" s="126"/>
    </row>
    <row r="6" spans="1:13" x14ac:dyDescent="0.2">
      <c r="A6" t="s">
        <v>166</v>
      </c>
      <c r="B6" s="28">
        <v>22765</v>
      </c>
      <c r="C6" s="28">
        <v>22765</v>
      </c>
      <c r="D6" s="28">
        <v>22765</v>
      </c>
      <c r="E6" s="28">
        <v>22765</v>
      </c>
      <c r="F6" s="28">
        <v>22765</v>
      </c>
      <c r="G6" s="28">
        <v>22765</v>
      </c>
      <c r="H6" s="28">
        <v>22765</v>
      </c>
      <c r="I6" s="28">
        <v>23000</v>
      </c>
      <c r="J6" s="28">
        <v>23000</v>
      </c>
      <c r="K6" s="133"/>
      <c r="L6" s="126"/>
    </row>
    <row r="7" spans="1:13" x14ac:dyDescent="0.2">
      <c r="A7" t="s">
        <v>167</v>
      </c>
      <c r="B7" s="116">
        <f>+B16</f>
        <v>73076863</v>
      </c>
      <c r="C7" s="116">
        <f>+C16</f>
        <v>71750893</v>
      </c>
      <c r="D7" s="116">
        <f>D16</f>
        <v>63636021</v>
      </c>
      <c r="E7" s="116">
        <f>E16</f>
        <v>48233296</v>
      </c>
      <c r="F7" s="116">
        <f>F16</f>
        <v>77055615</v>
      </c>
      <c r="G7" s="116">
        <v>79109663</v>
      </c>
      <c r="H7" s="120">
        <v>93082220</v>
      </c>
      <c r="I7" s="28">
        <f>I16</f>
        <v>92607000</v>
      </c>
      <c r="J7" s="28">
        <f>J16</f>
        <v>116541000</v>
      </c>
      <c r="K7" s="133"/>
      <c r="L7" s="126"/>
    </row>
    <row r="8" spans="1:13" x14ac:dyDescent="0.2">
      <c r="B8" s="28">
        <f>SUM(B5:B7)</f>
        <v>137401630</v>
      </c>
      <c r="C8" s="28">
        <f>SUM(C5:C7)</f>
        <v>136075660</v>
      </c>
      <c r="D8" s="28">
        <f>SUM(D5:D7)</f>
        <v>127960788</v>
      </c>
      <c r="E8" s="28">
        <f>SUM(E5:E7)</f>
        <v>112558063</v>
      </c>
      <c r="F8" s="28">
        <f>SUM(F5:F7)</f>
        <v>141380382</v>
      </c>
      <c r="G8" s="28">
        <v>143434430</v>
      </c>
      <c r="H8" s="76">
        <v>157406987</v>
      </c>
      <c r="I8" s="121">
        <f>SUM(I5:I7)</f>
        <v>156932000</v>
      </c>
      <c r="J8" s="121">
        <f>SUM(J5:J7)</f>
        <v>180866000</v>
      </c>
      <c r="K8" s="135"/>
      <c r="L8" s="127"/>
    </row>
    <row r="9" spans="1:13" x14ac:dyDescent="0.2">
      <c r="B9" s="28"/>
      <c r="C9" s="28"/>
      <c r="D9" s="28"/>
      <c r="E9" s="28"/>
      <c r="F9" s="28"/>
      <c r="G9" s="28"/>
      <c r="K9" s="133"/>
      <c r="L9" s="126"/>
    </row>
    <row r="10" spans="1:13" x14ac:dyDescent="0.2">
      <c r="B10" s="28"/>
      <c r="C10" s="28"/>
      <c r="D10" s="28"/>
      <c r="E10" s="28"/>
      <c r="F10" s="28"/>
      <c r="G10" s="28"/>
      <c r="K10" s="133"/>
      <c r="L10" s="126"/>
    </row>
    <row r="11" spans="1:13" x14ac:dyDescent="0.2">
      <c r="A11" s="84" t="s">
        <v>218</v>
      </c>
      <c r="K11" s="133"/>
      <c r="L11" s="126"/>
    </row>
    <row r="12" spans="1:13" x14ac:dyDescent="0.2">
      <c r="A12" t="s">
        <v>168</v>
      </c>
      <c r="B12" s="28">
        <v>43588000</v>
      </c>
      <c r="C12" s="28">
        <v>43588000</v>
      </c>
      <c r="D12" s="28">
        <v>43588000</v>
      </c>
      <c r="E12" s="28">
        <v>43588000</v>
      </c>
      <c r="F12" s="28">
        <f>70073071+2375480</f>
        <v>72448551</v>
      </c>
      <c r="G12" s="28">
        <v>70073071</v>
      </c>
      <c r="H12" s="28">
        <v>88562734</v>
      </c>
      <c r="I12" s="28">
        <f>82406000+3503000</f>
        <v>85909000</v>
      </c>
      <c r="J12" s="28">
        <v>111627000</v>
      </c>
      <c r="K12" s="133"/>
      <c r="L12" s="126"/>
      <c r="M12" s="28"/>
    </row>
    <row r="13" spans="1:13" x14ac:dyDescent="0.2">
      <c r="A13" t="s">
        <v>169</v>
      </c>
      <c r="B13" s="28">
        <v>14500000</v>
      </c>
      <c r="C13" s="28">
        <v>14500000</v>
      </c>
      <c r="D13" s="28">
        <v>14500000</v>
      </c>
      <c r="E13" s="28">
        <v>0</v>
      </c>
      <c r="F13" s="28">
        <v>0</v>
      </c>
      <c r="G13" s="28">
        <v>4587366</v>
      </c>
      <c r="H13" s="28">
        <v>377217</v>
      </c>
      <c r="I13" s="28">
        <v>1465000</v>
      </c>
      <c r="J13" s="28">
        <v>0</v>
      </c>
      <c r="K13" s="133"/>
      <c r="L13" s="126"/>
    </row>
    <row r="14" spans="1:13" x14ac:dyDescent="0.2">
      <c r="A14" t="s">
        <v>171</v>
      </c>
      <c r="B14" s="28">
        <v>6906863</v>
      </c>
      <c r="C14" s="28">
        <v>5580893</v>
      </c>
      <c r="D14" s="28">
        <v>4303488</v>
      </c>
      <c r="E14" s="28">
        <v>4427265</v>
      </c>
      <c r="F14" s="28">
        <v>4607064</v>
      </c>
      <c r="G14" s="28">
        <v>4648411</v>
      </c>
      <c r="H14" s="28">
        <v>4392175</v>
      </c>
      <c r="I14" s="28">
        <v>5233000</v>
      </c>
      <c r="J14" s="28">
        <v>4914000</v>
      </c>
      <c r="K14" s="133"/>
      <c r="L14" s="126"/>
    </row>
    <row r="15" spans="1:13" x14ac:dyDescent="0.2">
      <c r="A15" t="s">
        <v>170</v>
      </c>
      <c r="B15" s="116">
        <v>8082000</v>
      </c>
      <c r="C15" s="116">
        <v>8082000</v>
      </c>
      <c r="D15" s="116">
        <v>1244533</v>
      </c>
      <c r="E15" s="116">
        <v>218031</v>
      </c>
      <c r="F15" s="116">
        <v>0</v>
      </c>
      <c r="G15" s="118">
        <v>-199185</v>
      </c>
      <c r="H15" s="119">
        <v>-249906</v>
      </c>
      <c r="I15" s="28">
        <v>0</v>
      </c>
      <c r="J15" s="28">
        <v>0</v>
      </c>
      <c r="K15" s="133"/>
      <c r="L15" s="126"/>
    </row>
    <row r="16" spans="1:13" x14ac:dyDescent="0.2">
      <c r="B16" s="28">
        <f>SUM(B12:B15)</f>
        <v>73076863</v>
      </c>
      <c r="C16" s="28">
        <f>SUM(C12:C15)</f>
        <v>71750893</v>
      </c>
      <c r="D16" s="28">
        <f>SUM(D12:D15)</f>
        <v>63636021</v>
      </c>
      <c r="E16" s="76">
        <f>SUM(E12:E15)</f>
        <v>48233296</v>
      </c>
      <c r="F16" s="76">
        <f>SUM(F12:F15)</f>
        <v>77055615</v>
      </c>
      <c r="G16" s="76">
        <v>79109663</v>
      </c>
      <c r="H16" s="76">
        <v>93082220</v>
      </c>
      <c r="I16" s="121">
        <f>SUM(I12:I15)</f>
        <v>92607000</v>
      </c>
      <c r="J16" s="121">
        <f>SUM(J12:J15)</f>
        <v>116541000</v>
      </c>
      <c r="K16" s="135">
        <f>SUM(K12:K15)</f>
        <v>0</v>
      </c>
      <c r="L16" s="127">
        <f>SUM(L12:L15)</f>
        <v>0</v>
      </c>
    </row>
    <row r="18" spans="2:12" x14ac:dyDescent="0.2">
      <c r="K18" s="138"/>
      <c r="L18" s="138"/>
    </row>
    <row r="20" spans="2:12" x14ac:dyDescent="0.2">
      <c r="B20" s="76"/>
    </row>
    <row r="22" spans="2:12" x14ac:dyDescent="0.2">
      <c r="J22" s="134"/>
    </row>
  </sheetData>
  <phoneticPr fontId="0" type="noConversion"/>
  <pageMargins left="0.74803149606299213" right="0.74803149606299213" top="0.98425196850393704" bottom="0.98425196850393704" header="0.51181102362204722" footer="0.51181102362204722"/>
  <pageSetup scale="7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3"/>
  <sheetViews>
    <sheetView zoomScale="120" zoomScaleNormal="120" workbookViewId="0">
      <pane xSplit="1" ySplit="3" topLeftCell="M4" activePane="bottomRight" state="frozen"/>
      <selection pane="topRight" activeCell="B1" sqref="B1"/>
      <selection pane="bottomLeft" activeCell="A4" sqref="A4"/>
      <selection pane="bottomRight" activeCell="V16" sqref="V16"/>
    </sheetView>
  </sheetViews>
  <sheetFormatPr defaultRowHeight="12.75" x14ac:dyDescent="0.2"/>
  <cols>
    <col min="1" max="1" width="25.42578125" customWidth="1"/>
    <col min="2" max="10" width="11.28515625" customWidth="1"/>
    <col min="11" max="11" width="14" style="28" customWidth="1"/>
    <col min="12" max="17" width="12.85546875" bestFit="1" customWidth="1"/>
    <col min="18" max="20" width="12.5703125" customWidth="1"/>
    <col min="21" max="21" width="12.85546875" bestFit="1" customWidth="1"/>
    <col min="22" max="22" width="12.5703125" customWidth="1"/>
  </cols>
  <sheetData>
    <row r="1" spans="1:22" x14ac:dyDescent="0.2">
      <c r="A1" t="s">
        <v>127</v>
      </c>
    </row>
    <row r="2" spans="1:22" x14ac:dyDescent="0.2">
      <c r="A2" s="61" t="s">
        <v>128</v>
      </c>
      <c r="S2" t="s">
        <v>280</v>
      </c>
      <c r="T2" s="174" t="s">
        <v>281</v>
      </c>
      <c r="U2" s="174" t="s">
        <v>281</v>
      </c>
      <c r="V2" s="174" t="s">
        <v>281</v>
      </c>
    </row>
    <row r="3" spans="1:22" x14ac:dyDescent="0.2">
      <c r="B3">
        <v>2001</v>
      </c>
      <c r="C3">
        <v>2002</v>
      </c>
      <c r="D3">
        <v>2003</v>
      </c>
      <c r="E3">
        <v>2004</v>
      </c>
      <c r="F3">
        <v>2005</v>
      </c>
      <c r="G3">
        <v>2006</v>
      </c>
      <c r="H3">
        <v>2007</v>
      </c>
      <c r="I3">
        <v>2008</v>
      </c>
      <c r="J3">
        <v>2009</v>
      </c>
      <c r="K3" s="319">
        <v>2010</v>
      </c>
      <c r="L3" s="320">
        <v>2011</v>
      </c>
      <c r="M3" s="320">
        <v>2012</v>
      </c>
      <c r="N3" s="320">
        <v>2013</v>
      </c>
      <c r="O3" s="320">
        <v>2014</v>
      </c>
      <c r="P3" s="320">
        <v>2015</v>
      </c>
      <c r="Q3" s="320">
        <v>2016</v>
      </c>
      <c r="R3" s="320">
        <v>2017</v>
      </c>
      <c r="S3" s="320">
        <v>2018</v>
      </c>
      <c r="T3">
        <v>2019</v>
      </c>
      <c r="U3">
        <v>2020</v>
      </c>
      <c r="V3">
        <v>2021</v>
      </c>
    </row>
    <row r="4" spans="1:22" x14ac:dyDescent="0.2">
      <c r="K4" s="319"/>
      <c r="L4" s="321"/>
      <c r="M4" s="321"/>
      <c r="N4" s="321"/>
      <c r="O4" s="321"/>
      <c r="P4" s="321"/>
      <c r="Q4" s="321"/>
      <c r="R4" s="321"/>
      <c r="S4" s="321"/>
      <c r="T4" s="76"/>
      <c r="U4" s="76"/>
      <c r="V4" s="76"/>
    </row>
    <row r="5" spans="1:22" x14ac:dyDescent="0.2">
      <c r="A5" t="s">
        <v>165</v>
      </c>
      <c r="K5" s="319"/>
      <c r="L5" s="320"/>
      <c r="M5" s="320"/>
      <c r="N5" s="320"/>
      <c r="O5" s="320"/>
      <c r="P5" s="320"/>
      <c r="Q5" s="320"/>
      <c r="R5" s="320"/>
      <c r="S5" s="320"/>
    </row>
    <row r="6" spans="1:22" x14ac:dyDescent="0.2">
      <c r="A6" t="s">
        <v>130</v>
      </c>
      <c r="B6" s="75">
        <v>43688000</v>
      </c>
      <c r="C6" s="75">
        <v>43588000</v>
      </c>
      <c r="D6" s="75">
        <v>43588000</v>
      </c>
      <c r="E6" s="75">
        <v>43588000</v>
      </c>
      <c r="F6" s="75">
        <f>43588000+14500000</f>
        <v>58088000</v>
      </c>
      <c r="G6" s="75">
        <v>43588000</v>
      </c>
      <c r="H6" s="105">
        <v>72448551</v>
      </c>
      <c r="I6" s="77">
        <v>70073071</v>
      </c>
      <c r="J6" s="77">
        <v>88562734</v>
      </c>
      <c r="K6" s="319">
        <f>82406000+3503000</f>
        <v>85909000</v>
      </c>
      <c r="L6" s="319">
        <v>111627000</v>
      </c>
      <c r="M6" s="322">
        <v>121986000</v>
      </c>
      <c r="N6" s="322">
        <v>116872000</v>
      </c>
      <c r="O6" s="323">
        <f>130311000+2096000</f>
        <v>132407000</v>
      </c>
      <c r="P6" s="323">
        <f>85753000+1480000+43588000</f>
        <v>130821000</v>
      </c>
      <c r="Q6" s="323">
        <f>94340000+1514000+43588000</f>
        <v>139442000</v>
      </c>
      <c r="R6" s="323">
        <f>92795000+43588000+1545000</f>
        <v>137928000</v>
      </c>
      <c r="S6" s="323">
        <f>66219000+43588000+36577000</f>
        <v>146384000</v>
      </c>
      <c r="T6" s="145">
        <v>191535000</v>
      </c>
      <c r="U6" s="145">
        <v>224971000</v>
      </c>
      <c r="V6" s="145">
        <v>268287000</v>
      </c>
    </row>
    <row r="7" spans="1:22" x14ac:dyDescent="0.2">
      <c r="A7" t="s">
        <v>131</v>
      </c>
      <c r="B7" s="75">
        <v>557215</v>
      </c>
      <c r="C7" s="75">
        <v>564157</v>
      </c>
      <c r="D7" s="75">
        <v>570214</v>
      </c>
      <c r="E7" s="75">
        <v>580160</v>
      </c>
      <c r="F7" s="75">
        <v>0</v>
      </c>
      <c r="G7" s="75">
        <v>0</v>
      </c>
      <c r="H7" s="105">
        <v>0</v>
      </c>
      <c r="I7" s="77">
        <v>0</v>
      </c>
      <c r="J7" s="77">
        <v>0</v>
      </c>
      <c r="K7" s="319">
        <v>0</v>
      </c>
      <c r="L7" s="319">
        <v>0</v>
      </c>
      <c r="M7" s="322">
        <v>0</v>
      </c>
      <c r="N7" s="322">
        <v>0</v>
      </c>
      <c r="O7" s="323">
        <v>0</v>
      </c>
      <c r="P7" s="323">
        <v>0</v>
      </c>
      <c r="Q7" s="323">
        <v>0</v>
      </c>
      <c r="R7" s="323">
        <v>0</v>
      </c>
      <c r="S7" s="323">
        <v>0</v>
      </c>
      <c r="T7" s="145">
        <v>0</v>
      </c>
      <c r="U7" s="145">
        <v>0</v>
      </c>
      <c r="V7" s="145">
        <v>0</v>
      </c>
    </row>
    <row r="8" spans="1:22" x14ac:dyDescent="0.2">
      <c r="A8" s="136" t="s">
        <v>240</v>
      </c>
      <c r="B8" s="75">
        <v>6175594</v>
      </c>
      <c r="C8" s="75">
        <v>6099673</v>
      </c>
      <c r="D8" s="75">
        <v>6906863</v>
      </c>
      <c r="E8" s="75">
        <v>5580893</v>
      </c>
      <c r="F8" s="75">
        <v>4303488</v>
      </c>
      <c r="G8" s="75">
        <v>4427265</v>
      </c>
      <c r="H8" s="105">
        <v>4607064</v>
      </c>
      <c r="I8" s="77">
        <v>4648411</v>
      </c>
      <c r="J8" s="77">
        <v>4392175</v>
      </c>
      <c r="K8" s="319">
        <v>5233000</v>
      </c>
      <c r="L8" s="319">
        <v>4914000</v>
      </c>
      <c r="M8" s="322">
        <v>5029000</v>
      </c>
      <c r="N8" s="322">
        <v>4829000</v>
      </c>
      <c r="O8" s="323">
        <v>4581000</v>
      </c>
      <c r="P8" s="323">
        <v>0</v>
      </c>
      <c r="Q8" s="323">
        <v>5270038</v>
      </c>
      <c r="R8" s="323">
        <v>4901533.5599999996</v>
      </c>
      <c r="S8" s="323">
        <v>6173097.0599999996</v>
      </c>
      <c r="T8" s="147">
        <v>6601000</v>
      </c>
      <c r="U8" s="147">
        <v>9111000</v>
      </c>
      <c r="V8" s="147">
        <v>11301000</v>
      </c>
    </row>
    <row r="9" spans="1:22" x14ac:dyDescent="0.2">
      <c r="B9" s="76">
        <f t="shared" ref="B9:G9" si="0">SUM(B6:B8)</f>
        <v>50420809</v>
      </c>
      <c r="C9" s="76">
        <f t="shared" si="0"/>
        <v>50251830</v>
      </c>
      <c r="D9" s="76">
        <f t="shared" si="0"/>
        <v>51065077</v>
      </c>
      <c r="E9" s="76">
        <f t="shared" si="0"/>
        <v>49749053</v>
      </c>
      <c r="F9" s="76">
        <f t="shared" si="0"/>
        <v>62391488</v>
      </c>
      <c r="G9" s="76">
        <f t="shared" si="0"/>
        <v>48015265</v>
      </c>
      <c r="H9" s="76">
        <f>SUM(H6:H8)</f>
        <v>77055615</v>
      </c>
      <c r="I9" s="76">
        <v>74721482</v>
      </c>
      <c r="J9" s="76">
        <v>92954909</v>
      </c>
      <c r="K9" s="319">
        <f t="shared" ref="K9:P9" si="1">SUM(K6:K8)</f>
        <v>91142000</v>
      </c>
      <c r="L9" s="319">
        <f t="shared" si="1"/>
        <v>116541000</v>
      </c>
      <c r="M9" s="322">
        <f t="shared" si="1"/>
        <v>127015000</v>
      </c>
      <c r="N9" s="322">
        <f t="shared" si="1"/>
        <v>121701000</v>
      </c>
      <c r="O9" s="323">
        <f t="shared" si="1"/>
        <v>136988000</v>
      </c>
      <c r="P9" s="323">
        <f t="shared" si="1"/>
        <v>130821000</v>
      </c>
      <c r="Q9" s="323">
        <f t="shared" ref="Q9:S9" si="2">SUM(Q6:Q8)</f>
        <v>144712038</v>
      </c>
      <c r="R9" s="323">
        <f t="shared" si="2"/>
        <v>142829533.56</v>
      </c>
      <c r="S9" s="323">
        <f t="shared" si="2"/>
        <v>152557097.06</v>
      </c>
      <c r="T9" s="145">
        <f t="shared" ref="T9:U9" si="3">SUM(T6:T8)</f>
        <v>198136000</v>
      </c>
      <c r="U9" s="145">
        <f t="shared" si="3"/>
        <v>234082000</v>
      </c>
      <c r="V9" s="145">
        <f>SUM(V6:V8)</f>
        <v>279588000</v>
      </c>
    </row>
    <row r="10" spans="1:22" x14ac:dyDescent="0.2">
      <c r="A10" t="s">
        <v>132</v>
      </c>
      <c r="K10" s="319"/>
      <c r="L10" s="320"/>
      <c r="M10" s="320"/>
      <c r="N10" s="320"/>
      <c r="O10" s="320"/>
      <c r="P10" s="320"/>
      <c r="Q10" s="320"/>
      <c r="R10" s="320"/>
      <c r="S10" s="320"/>
      <c r="V10" s="76"/>
    </row>
    <row r="11" spans="1:22" x14ac:dyDescent="0.2">
      <c r="A11" t="s">
        <v>133</v>
      </c>
      <c r="B11" s="77">
        <v>65302002</v>
      </c>
      <c r="C11" s="77">
        <v>64302002</v>
      </c>
      <c r="D11" s="77">
        <v>64302002</v>
      </c>
      <c r="E11" s="77">
        <v>64302002</v>
      </c>
      <c r="F11" s="76">
        <v>64302002</v>
      </c>
      <c r="G11" s="76">
        <v>64302002</v>
      </c>
      <c r="H11" s="76">
        <v>64302002</v>
      </c>
      <c r="I11" s="76">
        <v>64302002</v>
      </c>
      <c r="J11" s="76">
        <v>64302002</v>
      </c>
      <c r="K11" s="319">
        <v>64302000</v>
      </c>
      <c r="L11" s="319">
        <v>64302000</v>
      </c>
      <c r="M11" s="322">
        <v>64302000</v>
      </c>
      <c r="N11" s="322">
        <v>69302000</v>
      </c>
      <c r="O11" s="323">
        <v>69302000</v>
      </c>
      <c r="P11" s="323">
        <v>69302000</v>
      </c>
      <c r="Q11" s="323">
        <v>69302000</v>
      </c>
      <c r="R11" s="323">
        <v>69302000</v>
      </c>
      <c r="S11" s="323">
        <v>69302000</v>
      </c>
      <c r="T11" s="145">
        <v>98796000</v>
      </c>
      <c r="U11" s="145">
        <v>98796000</v>
      </c>
      <c r="V11" s="145">
        <v>98796000</v>
      </c>
    </row>
    <row r="12" spans="1:22" x14ac:dyDescent="0.2">
      <c r="A12" t="s">
        <v>134</v>
      </c>
      <c r="B12" s="77">
        <v>22765</v>
      </c>
      <c r="C12" s="77">
        <v>22765</v>
      </c>
      <c r="D12" s="77">
        <v>22765</v>
      </c>
      <c r="E12" s="77">
        <v>22765</v>
      </c>
      <c r="F12" s="76">
        <v>22765</v>
      </c>
      <c r="G12" s="76">
        <v>22765</v>
      </c>
      <c r="H12" s="76">
        <v>22765</v>
      </c>
      <c r="I12" s="76">
        <v>22765</v>
      </c>
      <c r="J12" s="76">
        <v>22765</v>
      </c>
      <c r="K12" s="319">
        <v>23000</v>
      </c>
      <c r="L12" s="319">
        <v>23000</v>
      </c>
      <c r="M12" s="322">
        <v>23000</v>
      </c>
      <c r="N12" s="322">
        <v>23000</v>
      </c>
      <c r="O12" s="323">
        <v>23000</v>
      </c>
      <c r="P12" s="323">
        <v>23000</v>
      </c>
      <c r="Q12" s="323">
        <v>23000</v>
      </c>
      <c r="R12" s="323">
        <v>23000</v>
      </c>
      <c r="S12" s="323">
        <v>23000</v>
      </c>
      <c r="T12" s="145">
        <v>23000</v>
      </c>
      <c r="U12" s="145">
        <v>23000</v>
      </c>
      <c r="V12" s="145">
        <v>23000</v>
      </c>
    </row>
    <row r="13" spans="1:22" x14ac:dyDescent="0.2">
      <c r="A13" s="9" t="s">
        <v>217</v>
      </c>
      <c r="B13" s="114">
        <v>-4371516</v>
      </c>
      <c r="C13" s="114">
        <v>-2337094</v>
      </c>
      <c r="D13" s="106">
        <v>-2013735</v>
      </c>
      <c r="E13" s="106">
        <v>585779</v>
      </c>
      <c r="F13" s="106">
        <v>6737197</v>
      </c>
      <c r="G13" s="106">
        <v>14294950</v>
      </c>
      <c r="H13" s="106">
        <v>7278288</v>
      </c>
      <c r="I13" s="106">
        <v>6527077</v>
      </c>
      <c r="J13" s="106">
        <v>6964809</v>
      </c>
      <c r="K13" s="319">
        <v>9684000</v>
      </c>
      <c r="L13" s="319">
        <v>11699000</v>
      </c>
      <c r="M13" s="322">
        <v>17178000</v>
      </c>
      <c r="N13" s="322">
        <v>23872000</v>
      </c>
      <c r="O13" s="323">
        <v>25365000</v>
      </c>
      <c r="P13" s="323">
        <v>28683000</v>
      </c>
      <c r="Q13" s="323">
        <v>35087000</v>
      </c>
      <c r="R13" s="323">
        <v>41122000</v>
      </c>
      <c r="S13" s="323">
        <v>47060000</v>
      </c>
      <c r="T13" s="145">
        <v>45400000</v>
      </c>
      <c r="U13" s="145">
        <v>48188000</v>
      </c>
      <c r="V13" s="145">
        <v>53861000</v>
      </c>
    </row>
    <row r="14" spans="1:22" x14ac:dyDescent="0.2">
      <c r="B14" s="76">
        <f t="shared" ref="B14:G14" si="4">SUM(B11:B13)</f>
        <v>60953251</v>
      </c>
      <c r="C14" s="76">
        <f t="shared" si="4"/>
        <v>61987673</v>
      </c>
      <c r="D14" s="76">
        <f t="shared" si="4"/>
        <v>62311032</v>
      </c>
      <c r="E14" s="76">
        <f t="shared" si="4"/>
        <v>64910546</v>
      </c>
      <c r="F14" s="76">
        <f t="shared" si="4"/>
        <v>71061964</v>
      </c>
      <c r="G14" s="76">
        <f t="shared" si="4"/>
        <v>78619717</v>
      </c>
      <c r="H14" s="76">
        <f>SUM(H11:H13)</f>
        <v>71603055</v>
      </c>
      <c r="I14" s="76">
        <v>70851844</v>
      </c>
      <c r="J14" s="76">
        <v>71289576</v>
      </c>
      <c r="K14" s="319">
        <f t="shared" ref="K14:P14" si="5">SUM(K11:K13)</f>
        <v>74009000</v>
      </c>
      <c r="L14" s="319">
        <f t="shared" si="5"/>
        <v>76024000</v>
      </c>
      <c r="M14" s="322">
        <f t="shared" si="5"/>
        <v>81503000</v>
      </c>
      <c r="N14" s="322">
        <f t="shared" si="5"/>
        <v>93197000</v>
      </c>
      <c r="O14" s="323">
        <f t="shared" si="5"/>
        <v>94690000</v>
      </c>
      <c r="P14" s="323">
        <f t="shared" si="5"/>
        <v>98008000</v>
      </c>
      <c r="Q14" s="323">
        <f t="shared" ref="Q14:S14" si="6">SUM(Q11:Q13)</f>
        <v>104412000</v>
      </c>
      <c r="R14" s="323">
        <f t="shared" si="6"/>
        <v>110447000</v>
      </c>
      <c r="S14" s="323">
        <f t="shared" si="6"/>
        <v>116385000</v>
      </c>
      <c r="T14" s="145">
        <f t="shared" ref="T14:V14" si="7">SUM(T11:T13)</f>
        <v>144219000</v>
      </c>
      <c r="U14" s="145">
        <f t="shared" si="7"/>
        <v>147007000</v>
      </c>
      <c r="V14" s="145">
        <f t="shared" si="7"/>
        <v>152680000</v>
      </c>
    </row>
    <row r="15" spans="1:22" x14ac:dyDescent="0.2">
      <c r="K15" s="319"/>
      <c r="L15" s="319"/>
      <c r="M15" s="322"/>
      <c r="N15" s="322"/>
      <c r="O15" s="323"/>
      <c r="P15" s="323"/>
      <c r="Q15" s="323"/>
      <c r="R15" s="323"/>
      <c r="S15" s="323"/>
      <c r="T15" s="145"/>
      <c r="V15" s="145"/>
    </row>
    <row r="16" spans="1:22" x14ac:dyDescent="0.2">
      <c r="A16" t="s">
        <v>129</v>
      </c>
      <c r="B16" s="78">
        <f>+B9/(+B9+B14)</f>
        <v>0.45271591068871869</v>
      </c>
      <c r="C16" s="78">
        <f>+C9/(+C9+C14)</f>
        <v>0.44771964109641504</v>
      </c>
      <c r="D16" s="78">
        <f>+D9/(+D9+D14)</f>
        <v>0.45040421170213207</v>
      </c>
      <c r="E16" s="78">
        <f>+E9/(+E9+E14)</f>
        <v>0.43388476354256217</v>
      </c>
      <c r="F16" s="78">
        <f>+F9/(+F9+F14)</f>
        <v>0.46751498042928108</v>
      </c>
      <c r="G16" s="107">
        <f>G9/(G9+G14)</f>
        <v>0.3791627261415017</v>
      </c>
      <c r="H16" s="115">
        <f>H9/(H9+H14)</f>
        <v>0.51833919272922324</v>
      </c>
      <c r="I16" s="117">
        <v>0.51329102695640816</v>
      </c>
      <c r="J16" s="117">
        <v>0.56595452200419394</v>
      </c>
      <c r="K16" s="324">
        <f t="shared" ref="K16:P16" si="8">K9/(K9+K14)</f>
        <v>0.55187071225726758</v>
      </c>
      <c r="L16" s="324">
        <f t="shared" si="8"/>
        <v>0.60520343780022334</v>
      </c>
      <c r="M16" s="324">
        <f t="shared" si="8"/>
        <v>0.60913206533728503</v>
      </c>
      <c r="N16" s="325">
        <f t="shared" si="8"/>
        <v>0.56631983545682141</v>
      </c>
      <c r="O16" s="326">
        <f t="shared" si="8"/>
        <v>0.59128618168319824</v>
      </c>
      <c r="P16" s="326">
        <f t="shared" si="8"/>
        <v>0.57169764321829841</v>
      </c>
      <c r="Q16" s="326">
        <f t="shared" ref="Q16:R16" si="9">Q9/(Q9+Q14)</f>
        <v>0.58088347941759033</v>
      </c>
      <c r="R16" s="326">
        <f t="shared" si="9"/>
        <v>0.56392722828451203</v>
      </c>
      <c r="S16" s="326">
        <f>S9/(S9+S14)</f>
        <v>0.56724885664130542</v>
      </c>
      <c r="T16" s="146">
        <f>T9/(T9+T14)</f>
        <v>0.57874428590206073</v>
      </c>
      <c r="U16" s="146">
        <f>U9/(U9+U14)</f>
        <v>0.61424496639892523</v>
      </c>
      <c r="V16" s="146">
        <f>V9/(V9+V14)</f>
        <v>0.64679319311168071</v>
      </c>
    </row>
    <row r="17" spans="1:22" x14ac:dyDescent="0.2">
      <c r="A17" t="s">
        <v>132</v>
      </c>
      <c r="B17" s="78">
        <f>+B14/(B9+B14)</f>
        <v>0.54728408931128125</v>
      </c>
      <c r="C17" s="78">
        <f>+C14/(C9+C14)</f>
        <v>0.55228035890358496</v>
      </c>
      <c r="D17" s="78">
        <f>+D14/(D9+D14)</f>
        <v>0.54959578829786793</v>
      </c>
      <c r="E17" s="78">
        <f>+E14/(E9+E14)</f>
        <v>0.56611523645743778</v>
      </c>
      <c r="F17" s="78">
        <f>+F14/(F9+F14)</f>
        <v>0.53248501957071892</v>
      </c>
      <c r="G17" s="107">
        <f>G14/(G14+G9)</f>
        <v>0.6208372738584983</v>
      </c>
      <c r="H17" s="115">
        <f>H14/(H14+H9)</f>
        <v>0.48166080727077676</v>
      </c>
      <c r="I17" s="117">
        <v>0.48670897304359179</v>
      </c>
      <c r="J17" s="117">
        <v>0.43404547799580606</v>
      </c>
      <c r="K17" s="324">
        <f t="shared" ref="K17:P17" si="10">K14/(K9+K14)</f>
        <v>0.44812928774273242</v>
      </c>
      <c r="L17" s="324">
        <f t="shared" si="10"/>
        <v>0.39479656219977671</v>
      </c>
      <c r="M17" s="324">
        <f t="shared" si="10"/>
        <v>0.39086793466271497</v>
      </c>
      <c r="N17" s="325">
        <f t="shared" si="10"/>
        <v>0.43368016454317865</v>
      </c>
      <c r="O17" s="326">
        <f t="shared" si="10"/>
        <v>0.40871381831680176</v>
      </c>
      <c r="P17" s="326">
        <f t="shared" si="10"/>
        <v>0.42830235678170164</v>
      </c>
      <c r="Q17" s="326">
        <f t="shared" ref="Q17:R17" si="11">Q14/(Q9+Q14)</f>
        <v>0.41911652058240961</v>
      </c>
      <c r="R17" s="326">
        <f t="shared" si="11"/>
        <v>0.43607277171548792</v>
      </c>
      <c r="S17" s="326">
        <f>S14/(S9+S14)</f>
        <v>0.43275114335869452</v>
      </c>
      <c r="T17" s="146">
        <f>T14/(T9+T14)</f>
        <v>0.42125571409793927</v>
      </c>
      <c r="U17" s="146">
        <f>U14/(U9+U14)</f>
        <v>0.38575503360107483</v>
      </c>
      <c r="V17" s="146">
        <f>V14/(V9+V14)</f>
        <v>0.35320680688831929</v>
      </c>
    </row>
    <row r="19" spans="1:22" x14ac:dyDescent="0.2">
      <c r="K19" s="122"/>
      <c r="S19" s="224"/>
      <c r="T19" s="224"/>
      <c r="V19" s="224"/>
    </row>
    <row r="20" spans="1:22" x14ac:dyDescent="0.2">
      <c r="J20" s="76"/>
    </row>
    <row r="23" spans="1:22" x14ac:dyDescent="0.2">
      <c r="S23" s="76"/>
      <c r="T23" s="76"/>
      <c r="V23" s="76"/>
    </row>
  </sheetData>
  <phoneticPr fontId="0" type="noConversion"/>
  <pageMargins left="0.74803149606299213" right="0.74803149606299213" top="0.98425196850393704" bottom="0.98425196850393704" header="0.51181102362204722" footer="0.51181102362204722"/>
  <pageSetup scale="7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9"/>
  <sheetViews>
    <sheetView zoomScale="120" zoomScaleNormal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10" sqref="L10"/>
    </sheetView>
  </sheetViews>
  <sheetFormatPr defaultRowHeight="12.75" x14ac:dyDescent="0.2"/>
  <cols>
    <col min="1" max="1" width="29.5703125" customWidth="1"/>
    <col min="2" max="2" width="19.42578125" style="109" bestFit="1" customWidth="1"/>
    <col min="3" max="3" width="12.5703125" style="150" customWidth="1"/>
    <col min="5" max="5" width="11.42578125" style="150" customWidth="1"/>
    <col min="7" max="7" width="11.7109375" style="150" bestFit="1" customWidth="1"/>
    <col min="9" max="9" width="11.7109375" style="150" bestFit="1" customWidth="1"/>
    <col min="11" max="11" width="11.7109375" style="150" bestFit="1" customWidth="1"/>
  </cols>
  <sheetData>
    <row r="1" spans="1:12" ht="15.75" x14ac:dyDescent="0.25">
      <c r="A1" s="113" t="s">
        <v>216</v>
      </c>
      <c r="C1" s="148"/>
      <c r="D1" s="128"/>
      <c r="E1" s="148"/>
      <c r="F1" s="128"/>
      <c r="G1" s="148"/>
      <c r="H1" s="128"/>
      <c r="I1" s="148"/>
      <c r="J1" s="128"/>
      <c r="K1" s="148"/>
      <c r="L1" s="128"/>
    </row>
    <row r="2" spans="1:12" s="1" customFormat="1" x14ac:dyDescent="0.2">
      <c r="A2" s="1" t="s">
        <v>207</v>
      </c>
      <c r="B2" s="111"/>
      <c r="C2" s="148" t="s">
        <v>246</v>
      </c>
      <c r="D2" s="144">
        <v>122868</v>
      </c>
      <c r="E2" s="148" t="s">
        <v>247</v>
      </c>
      <c r="F2" s="229">
        <v>43000</v>
      </c>
      <c r="G2" s="148" t="s">
        <v>278</v>
      </c>
      <c r="H2" s="144">
        <v>167653</v>
      </c>
      <c r="I2" s="148" t="s">
        <v>278</v>
      </c>
      <c r="J2" s="144">
        <v>169489</v>
      </c>
      <c r="K2" s="148" t="s">
        <v>278</v>
      </c>
      <c r="L2" s="144">
        <v>171564</v>
      </c>
    </row>
    <row r="3" spans="1:12" x14ac:dyDescent="0.2">
      <c r="C3" s="148"/>
      <c r="D3" s="128"/>
      <c r="E3" s="148"/>
      <c r="F3" s="128"/>
      <c r="G3" s="148"/>
      <c r="H3" s="128"/>
      <c r="I3" s="148"/>
      <c r="J3" s="128"/>
      <c r="K3" s="148"/>
      <c r="L3" s="128"/>
    </row>
    <row r="4" spans="1:12" s="1" customFormat="1" x14ac:dyDescent="0.2">
      <c r="A4" s="1" t="s">
        <v>214</v>
      </c>
      <c r="B4" s="111" t="s">
        <v>215</v>
      </c>
      <c r="C4" s="158" t="s">
        <v>238</v>
      </c>
      <c r="D4" s="129" t="s">
        <v>239</v>
      </c>
      <c r="E4" s="158" t="s">
        <v>238</v>
      </c>
      <c r="F4" s="129" t="s">
        <v>239</v>
      </c>
      <c r="G4" s="158" t="s">
        <v>249</v>
      </c>
      <c r="H4" s="129" t="s">
        <v>277</v>
      </c>
      <c r="I4" s="158" t="s">
        <v>250</v>
      </c>
      <c r="J4" s="129" t="s">
        <v>282</v>
      </c>
      <c r="K4" s="158">
        <v>2021</v>
      </c>
      <c r="L4" s="129" t="s">
        <v>289</v>
      </c>
    </row>
    <row r="5" spans="1:12" x14ac:dyDescent="0.2">
      <c r="A5" t="s">
        <v>176</v>
      </c>
      <c r="B5" s="109">
        <v>5005</v>
      </c>
      <c r="C5" s="145">
        <v>1073635</v>
      </c>
      <c r="D5" s="132"/>
      <c r="E5" s="145">
        <v>356221.48</v>
      </c>
      <c r="F5" s="132"/>
      <c r="G5" s="145">
        <v>2183238.3733333331</v>
      </c>
      <c r="H5" s="132"/>
      <c r="I5" s="145">
        <v>2168377.36</v>
      </c>
      <c r="J5" s="132"/>
      <c r="K5" s="145">
        <v>2072693.28</v>
      </c>
      <c r="L5" s="132"/>
    </row>
    <row r="6" spans="1:12" x14ac:dyDescent="0.2">
      <c r="A6" t="s">
        <v>177</v>
      </c>
      <c r="B6" s="109">
        <v>5010</v>
      </c>
      <c r="C6" s="145">
        <v>1030970</v>
      </c>
      <c r="D6" s="132"/>
      <c r="E6" s="145">
        <v>478661.11</v>
      </c>
      <c r="F6" s="132"/>
      <c r="G6" s="145">
        <v>1409568.5733333332</v>
      </c>
      <c r="H6" s="132"/>
      <c r="I6" s="145">
        <v>1159017.78</v>
      </c>
      <c r="J6" s="132"/>
      <c r="K6" s="145">
        <v>1219497.92</v>
      </c>
      <c r="L6" s="132"/>
    </row>
    <row r="7" spans="1:12" x14ac:dyDescent="0.2">
      <c r="A7" t="s">
        <v>178</v>
      </c>
      <c r="B7" s="109">
        <v>5012</v>
      </c>
      <c r="C7" s="145">
        <v>391107</v>
      </c>
      <c r="D7" s="132"/>
      <c r="E7" s="145">
        <v>100502.05</v>
      </c>
      <c r="F7" s="132"/>
      <c r="G7" s="145">
        <v>347602.08</v>
      </c>
      <c r="H7" s="132"/>
      <c r="I7" s="145">
        <v>443259.58</v>
      </c>
      <c r="J7" s="132"/>
      <c r="K7" s="145">
        <v>438859.33</v>
      </c>
      <c r="L7" s="132"/>
    </row>
    <row r="8" spans="1:12" x14ac:dyDescent="0.2">
      <c r="A8" t="s">
        <v>179</v>
      </c>
      <c r="B8" s="109" t="s">
        <v>241</v>
      </c>
      <c r="C8" s="145">
        <f>135085+51209</f>
        <v>186294</v>
      </c>
      <c r="D8" s="132"/>
      <c r="E8" s="145">
        <v>94675.49</v>
      </c>
      <c r="F8" s="132"/>
      <c r="G8" s="145">
        <f>177566.33+26943.6</f>
        <v>204509.93</v>
      </c>
      <c r="H8" s="132"/>
      <c r="I8" s="145">
        <f>185602.15+89709.8</f>
        <v>275311.95</v>
      </c>
      <c r="J8" s="132"/>
      <c r="K8" s="145">
        <f>144186.41+41547.46</f>
        <v>185733.87</v>
      </c>
      <c r="L8" s="132"/>
    </row>
    <row r="9" spans="1:12" x14ac:dyDescent="0.2">
      <c r="A9" t="s">
        <v>180</v>
      </c>
      <c r="B9" s="109" t="s">
        <v>242</v>
      </c>
      <c r="C9" s="145">
        <f>877528+387414</f>
        <v>1264942</v>
      </c>
      <c r="D9" s="132"/>
      <c r="E9" s="145">
        <v>24643.61</v>
      </c>
      <c r="F9" s="132"/>
      <c r="G9" s="145">
        <f>770614.13+373864.85</f>
        <v>1144478.98</v>
      </c>
      <c r="H9" s="132"/>
      <c r="I9" s="145">
        <f>930997.18+407090.97</f>
        <v>1338088.1499999999</v>
      </c>
      <c r="J9" s="132"/>
      <c r="K9" s="145">
        <f>984379.6+411034.75</f>
        <v>1395414.35</v>
      </c>
      <c r="L9" s="132"/>
    </row>
    <row r="10" spans="1:12" x14ac:dyDescent="0.2">
      <c r="A10" t="s">
        <v>181</v>
      </c>
      <c r="B10" s="109">
        <v>5030</v>
      </c>
      <c r="C10" s="145">
        <v>19390</v>
      </c>
      <c r="D10" s="132"/>
      <c r="E10" s="145">
        <v>8104.23</v>
      </c>
      <c r="F10" s="132"/>
      <c r="G10" s="145">
        <v>27623.053333333337</v>
      </c>
      <c r="H10" s="132"/>
      <c r="I10" s="145">
        <v>46405.98</v>
      </c>
      <c r="J10" s="132"/>
      <c r="K10" s="145">
        <v>41760.21</v>
      </c>
      <c r="L10" s="132"/>
    </row>
    <row r="11" spans="1:12" x14ac:dyDescent="0.2">
      <c r="A11" t="s">
        <v>182</v>
      </c>
      <c r="B11" s="109">
        <v>5035</v>
      </c>
      <c r="C11" s="145">
        <v>178995</v>
      </c>
      <c r="D11" s="132"/>
      <c r="E11" s="145">
        <v>4529.8599999999997</v>
      </c>
      <c r="F11" s="132"/>
      <c r="G11" s="145">
        <v>22206.786666666667</v>
      </c>
      <c r="H11" s="132"/>
      <c r="I11" s="145">
        <v>33793.43</v>
      </c>
      <c r="J11" s="132"/>
      <c r="K11" s="145">
        <v>47985.3</v>
      </c>
      <c r="L11" s="132"/>
    </row>
    <row r="12" spans="1:12" x14ac:dyDescent="0.2">
      <c r="A12" t="s">
        <v>183</v>
      </c>
      <c r="B12" s="109" t="s">
        <v>243</v>
      </c>
      <c r="C12" s="145">
        <f>590802+571167</f>
        <v>1161969</v>
      </c>
      <c r="D12" s="132"/>
      <c r="E12" s="145">
        <v>308370.53000000003</v>
      </c>
      <c r="F12" s="132"/>
      <c r="G12" s="145">
        <f>1336745.49+734548.03</f>
        <v>2071293.52</v>
      </c>
      <c r="H12" s="132"/>
      <c r="I12" s="145">
        <f>474057.29+1116800.3</f>
        <v>1590857.59</v>
      </c>
      <c r="J12" s="132"/>
      <c r="K12" s="145">
        <f>395286.29+1135611.08</f>
        <v>1530897.37</v>
      </c>
      <c r="L12" s="132"/>
    </row>
    <row r="13" spans="1:12" x14ac:dyDescent="0.2">
      <c r="A13" t="s">
        <v>184</v>
      </c>
      <c r="B13" s="109">
        <v>5050</v>
      </c>
      <c r="C13" s="145">
        <v>22</v>
      </c>
      <c r="D13" s="132"/>
      <c r="E13" s="145">
        <v>0</v>
      </c>
      <c r="F13" s="132"/>
      <c r="G13" s="145">
        <v>669.30666666666662</v>
      </c>
      <c r="H13" s="132"/>
      <c r="I13" s="145">
        <v>2648.89</v>
      </c>
      <c r="J13" s="132"/>
      <c r="K13" s="145">
        <v>4466.8500000000004</v>
      </c>
      <c r="L13" s="132"/>
    </row>
    <row r="14" spans="1:12" x14ac:dyDescent="0.2">
      <c r="A14" t="s">
        <v>185</v>
      </c>
      <c r="B14" s="109">
        <v>5055</v>
      </c>
      <c r="C14" s="145">
        <v>222150</v>
      </c>
      <c r="D14" s="132"/>
      <c r="E14" s="145">
        <v>10560.9</v>
      </c>
      <c r="F14" s="132"/>
      <c r="G14" s="145">
        <v>105165.84</v>
      </c>
      <c r="H14" s="132"/>
      <c r="I14" s="145">
        <v>55608.76</v>
      </c>
      <c r="J14" s="132"/>
      <c r="K14" s="145">
        <v>101469.53</v>
      </c>
      <c r="L14" s="132"/>
    </row>
    <row r="15" spans="1:12" x14ac:dyDescent="0.2">
      <c r="A15" t="s">
        <v>186</v>
      </c>
      <c r="B15" s="109" t="s">
        <v>189</v>
      </c>
      <c r="C15" s="145">
        <f>655146+5300</f>
        <v>660446</v>
      </c>
      <c r="D15" s="132"/>
      <c r="E15" s="145">
        <f>162800.12+102825.63+54115.42+57125.56+77925.25+178476.38+18814.51</f>
        <v>652082.87</v>
      </c>
      <c r="F15" s="132"/>
      <c r="G15" s="145">
        <f>690790.59+497519.92</f>
        <v>1188310.51</v>
      </c>
      <c r="H15" s="132"/>
      <c r="I15" s="145">
        <f>889190.03+300681.29</f>
        <v>1189871.32</v>
      </c>
      <c r="J15" s="132"/>
      <c r="K15" s="145">
        <f>1222480.69+342343.09</f>
        <v>1564823.78</v>
      </c>
      <c r="L15" s="132"/>
    </row>
    <row r="16" spans="1:12" x14ac:dyDescent="0.2">
      <c r="A16" t="s">
        <v>187</v>
      </c>
      <c r="B16" s="109" t="s">
        <v>190</v>
      </c>
      <c r="C16" s="145">
        <f>279398+557976</f>
        <v>837374</v>
      </c>
      <c r="D16" s="132"/>
      <c r="E16" s="145">
        <f>208180+27459.28</f>
        <v>235639.28</v>
      </c>
      <c r="F16" s="132"/>
      <c r="G16" s="145">
        <f>622416.44+700083.72</f>
        <v>1322500.1599999999</v>
      </c>
      <c r="H16" s="132"/>
      <c r="I16" s="145">
        <f>371058.14+827946.57</f>
        <v>1199004.71</v>
      </c>
      <c r="J16" s="132"/>
      <c r="K16" s="145">
        <f>316964.44+1011567.57</f>
        <v>1328532.01</v>
      </c>
      <c r="L16" s="132"/>
    </row>
    <row r="17" spans="1:12" x14ac:dyDescent="0.2">
      <c r="A17" s="153" t="s">
        <v>188</v>
      </c>
      <c r="B17" s="154" t="s">
        <v>210</v>
      </c>
      <c r="C17" s="145">
        <f>552346</f>
        <v>552346</v>
      </c>
      <c r="D17" s="132"/>
      <c r="E17" s="145">
        <f>901429.04+9223.93</f>
        <v>910652.97000000009</v>
      </c>
      <c r="F17" s="132"/>
      <c r="G17" s="145">
        <f>1150677.81</f>
        <v>1150677.81</v>
      </c>
      <c r="H17" s="132"/>
      <c r="I17" s="145">
        <f>948083.63</f>
        <v>948083.63</v>
      </c>
      <c r="J17" s="132"/>
      <c r="K17" s="145">
        <v>1205980.55</v>
      </c>
      <c r="L17" s="132"/>
    </row>
    <row r="18" spans="1:12" x14ac:dyDescent="0.2">
      <c r="A18" s="153" t="s">
        <v>211</v>
      </c>
      <c r="B18" s="155" t="s">
        <v>212</v>
      </c>
      <c r="C18" s="145">
        <v>0</v>
      </c>
      <c r="E18" s="145">
        <v>-9223.93</v>
      </c>
      <c r="G18" s="145">
        <v>0</v>
      </c>
      <c r="I18" s="145">
        <v>0</v>
      </c>
      <c r="K18" s="145">
        <v>0</v>
      </c>
    </row>
    <row r="19" spans="1:12" s="1" customFormat="1" x14ac:dyDescent="0.2">
      <c r="A19" s="108" t="s">
        <v>191</v>
      </c>
      <c r="B19" s="111"/>
      <c r="C19" s="151">
        <f>SUM(C5:C18)</f>
        <v>7579640</v>
      </c>
      <c r="D19" s="130">
        <f>+C19/D2</f>
        <v>61.689292574144609</v>
      </c>
      <c r="E19" s="151">
        <f>SUM(E5:E18)</f>
        <v>3175420.4499999997</v>
      </c>
      <c r="F19" s="130">
        <f>+E19/F2</f>
        <v>73.846987209302313</v>
      </c>
      <c r="G19" s="151">
        <f>SUM(G5:G18)</f>
        <v>11177844.923333334</v>
      </c>
      <c r="H19" s="130">
        <f>+G19/H2</f>
        <v>66.672501675086835</v>
      </c>
      <c r="I19" s="151">
        <f>SUM(I5:I18)</f>
        <v>10450329.130000001</v>
      </c>
      <c r="J19" s="130">
        <f>+I19/J2</f>
        <v>61.657860569122484</v>
      </c>
      <c r="K19" s="151">
        <f>SUM(K5:K18)</f>
        <v>11138114.35</v>
      </c>
      <c r="L19" s="130">
        <f>+K19/L2</f>
        <v>64.921046081928608</v>
      </c>
    </row>
    <row r="20" spans="1:12" x14ac:dyDescent="0.2">
      <c r="A20" t="s">
        <v>192</v>
      </c>
      <c r="B20" s="109">
        <v>5105</v>
      </c>
      <c r="C20" s="145">
        <v>554883</v>
      </c>
      <c r="E20" s="145">
        <v>197684.6</v>
      </c>
      <c r="G20" s="145">
        <v>738935.46666666667</v>
      </c>
      <c r="I20" s="145">
        <v>639128.29</v>
      </c>
      <c r="K20" s="145">
        <v>592489.30000000005</v>
      </c>
    </row>
    <row r="21" spans="1:12" x14ac:dyDescent="0.2">
      <c r="A21" t="s">
        <v>193</v>
      </c>
      <c r="B21" s="109">
        <v>5110</v>
      </c>
      <c r="C21" s="145">
        <v>656</v>
      </c>
      <c r="E21" s="145">
        <v>0</v>
      </c>
      <c r="G21" s="145">
        <v>65451.78666666666</v>
      </c>
      <c r="I21" s="145">
        <v>10773.79</v>
      </c>
      <c r="K21" s="145">
        <v>4035.42</v>
      </c>
    </row>
    <row r="22" spans="1:12" x14ac:dyDescent="0.2">
      <c r="A22" t="s">
        <v>194</v>
      </c>
      <c r="B22" s="109">
        <v>5114</v>
      </c>
      <c r="C22" s="145">
        <v>344262</v>
      </c>
      <c r="E22" s="145">
        <v>452896.7</v>
      </c>
      <c r="G22" s="145">
        <v>441755.9466666666</v>
      </c>
      <c r="I22" s="145">
        <v>411068.89</v>
      </c>
      <c r="K22" s="145">
        <v>632480.68000000005</v>
      </c>
    </row>
    <row r="23" spans="1:12" x14ac:dyDescent="0.2">
      <c r="A23" t="s">
        <v>195</v>
      </c>
      <c r="B23" s="109">
        <v>5120</v>
      </c>
      <c r="C23" s="145">
        <v>94565</v>
      </c>
      <c r="D23" s="106"/>
      <c r="E23" s="145">
        <v>104412.64</v>
      </c>
      <c r="F23" s="106"/>
      <c r="G23" s="145">
        <v>204692.50666666668</v>
      </c>
      <c r="H23" s="106"/>
      <c r="I23" s="145">
        <v>110168.03</v>
      </c>
      <c r="J23" s="106"/>
      <c r="K23" s="145">
        <v>92072.59</v>
      </c>
      <c r="L23" s="106"/>
    </row>
    <row r="24" spans="1:12" x14ac:dyDescent="0.2">
      <c r="A24" t="s">
        <v>180</v>
      </c>
      <c r="B24" s="109">
        <v>5125</v>
      </c>
      <c r="C24" s="145">
        <v>329713</v>
      </c>
      <c r="E24" s="145">
        <f>258988.94+184324.58</f>
        <v>443313.52</v>
      </c>
      <c r="G24" s="145">
        <v>298191.05333333334</v>
      </c>
      <c r="I24" s="145">
        <v>199275.53</v>
      </c>
      <c r="K24" s="145">
        <v>271725</v>
      </c>
    </row>
    <row r="25" spans="1:12" x14ac:dyDescent="0.2">
      <c r="A25" t="s">
        <v>196</v>
      </c>
      <c r="B25" s="109">
        <v>5130</v>
      </c>
      <c r="C25" s="145">
        <v>52453</v>
      </c>
      <c r="E25" s="145">
        <v>35023.120000000003</v>
      </c>
      <c r="G25" s="145">
        <v>59455.959999999992</v>
      </c>
      <c r="I25" s="145">
        <v>61015.67</v>
      </c>
      <c r="K25" s="145">
        <v>70304.460000000006</v>
      </c>
    </row>
    <row r="26" spans="1:12" x14ac:dyDescent="0.2">
      <c r="A26" t="s">
        <v>172</v>
      </c>
      <c r="B26" s="109">
        <v>5135</v>
      </c>
      <c r="C26" s="152">
        <v>1139496</v>
      </c>
      <c r="E26" s="152">
        <v>121138.13</v>
      </c>
      <c r="G26" s="145">
        <v>1194598.7733333334</v>
      </c>
      <c r="I26" s="145">
        <v>1034939.97</v>
      </c>
      <c r="K26" s="145">
        <v>1320894.26</v>
      </c>
    </row>
    <row r="27" spans="1:12" x14ac:dyDescent="0.2">
      <c r="A27" t="s">
        <v>197</v>
      </c>
      <c r="B27" s="112" t="s">
        <v>208</v>
      </c>
      <c r="C27" s="145">
        <f>20752+297049</f>
        <v>317801</v>
      </c>
      <c r="E27" s="145">
        <v>163186.19</v>
      </c>
      <c r="G27" s="145">
        <f>35354.28+721585.29</f>
        <v>756939.57000000007</v>
      </c>
      <c r="I27" s="145">
        <f>32096.91+501340.31</f>
        <v>533437.22</v>
      </c>
      <c r="K27" s="145">
        <f>32236.2+406360.48</f>
        <v>438596.68</v>
      </c>
    </row>
    <row r="28" spans="1:12" x14ac:dyDescent="0.2">
      <c r="A28" t="s">
        <v>198</v>
      </c>
      <c r="B28" s="109">
        <v>5155</v>
      </c>
      <c r="C28" s="145">
        <v>246521</v>
      </c>
      <c r="E28" s="145">
        <v>425879.13</v>
      </c>
      <c r="G28" s="145">
        <v>543130.89333333343</v>
      </c>
      <c r="I28" s="145">
        <v>307726.11</v>
      </c>
      <c r="K28" s="145">
        <v>275018.07</v>
      </c>
    </row>
    <row r="29" spans="1:12" x14ac:dyDescent="0.2">
      <c r="A29" t="s">
        <v>199</v>
      </c>
      <c r="B29" s="109">
        <v>5160</v>
      </c>
      <c r="C29" s="145">
        <v>90812</v>
      </c>
      <c r="E29" s="145">
        <v>199870.12</v>
      </c>
      <c r="G29" s="145">
        <v>229634.21333333332</v>
      </c>
      <c r="I29" s="145">
        <v>93552.34</v>
      </c>
      <c r="K29" s="145">
        <v>35121.620000000003</v>
      </c>
    </row>
    <row r="30" spans="1:12" s="1" customFormat="1" x14ac:dyDescent="0.2">
      <c r="A30" s="108" t="s">
        <v>200</v>
      </c>
      <c r="B30" s="111"/>
      <c r="C30" s="151">
        <f>SUM(C20:C29)</f>
        <v>3171162</v>
      </c>
      <c r="D30" s="131">
        <f>+C30/D2</f>
        <v>25.809502881140737</v>
      </c>
      <c r="E30" s="151">
        <f>SUM(E20:E29)</f>
        <v>2143404.15</v>
      </c>
      <c r="F30" s="131">
        <f>+E30/F2</f>
        <v>49.846608139534879</v>
      </c>
      <c r="G30" s="151">
        <f>SUM(G20:G29)</f>
        <v>4532786.17</v>
      </c>
      <c r="H30" s="131">
        <f>+G30/H2</f>
        <v>27.036713748039105</v>
      </c>
      <c r="I30" s="151">
        <f>SUM(I20:I29)</f>
        <v>3401085.8399999994</v>
      </c>
      <c r="J30" s="131">
        <f>+I30/J2</f>
        <v>20.066705449911201</v>
      </c>
      <c r="K30" s="151">
        <f>SUM(K20:K29)</f>
        <v>3732738.08</v>
      </c>
      <c r="L30" s="131">
        <f>+K30/L2</f>
        <v>21.757117343964936</v>
      </c>
    </row>
    <row r="31" spans="1:12" x14ac:dyDescent="0.2">
      <c r="A31" t="s">
        <v>202</v>
      </c>
      <c r="B31" s="109">
        <v>5325</v>
      </c>
      <c r="C31" s="132">
        <v>0</v>
      </c>
      <c r="E31" s="132"/>
      <c r="G31" s="132"/>
      <c r="I31" s="132"/>
      <c r="K31" s="132">
        <v>1428818.64</v>
      </c>
    </row>
    <row r="32" spans="1:12" x14ac:dyDescent="0.2">
      <c r="A32" t="s">
        <v>203</v>
      </c>
      <c r="B32" s="110" t="s">
        <v>213</v>
      </c>
      <c r="C32" s="145">
        <f>218001+3563896+1327655</f>
        <v>5109552</v>
      </c>
      <c r="E32" s="145">
        <f>165250.22+1221131.67+694426.31</f>
        <v>2080808.2</v>
      </c>
      <c r="G32" s="145">
        <f>4866722.19+292267.6+1844676.19</f>
        <v>7003665.9800000004</v>
      </c>
      <c r="I32" s="145">
        <f>190807.01+4940176.07+1922195.86</f>
        <v>7053178.9400000004</v>
      </c>
      <c r="K32" s="145">
        <v>0</v>
      </c>
    </row>
    <row r="33" spans="1:12" x14ac:dyDescent="0.2">
      <c r="A33" t="s">
        <v>201</v>
      </c>
      <c r="B33" s="109">
        <v>5335</v>
      </c>
      <c r="C33" s="152">
        <v>-316969</v>
      </c>
      <c r="E33" s="145">
        <v>83867.509999999995</v>
      </c>
      <c r="G33" s="145">
        <v>1498586.0266666666</v>
      </c>
      <c r="I33" s="145">
        <v>3246300.37</v>
      </c>
      <c r="K33" s="145">
        <f>211868.47+5964394.23+1890954.82</f>
        <v>8067217.5200000005</v>
      </c>
    </row>
    <row r="34" spans="1:12" x14ac:dyDescent="0.2">
      <c r="B34" s="109">
        <v>5320</v>
      </c>
      <c r="C34" s="145">
        <v>1033366</v>
      </c>
      <c r="E34" s="145">
        <v>249637.38</v>
      </c>
      <c r="G34" s="145">
        <v>1335391.08</v>
      </c>
      <c r="I34" s="145">
        <v>891387.61</v>
      </c>
      <c r="K34" s="145">
        <v>1080306.01</v>
      </c>
    </row>
    <row r="35" spans="1:12" x14ac:dyDescent="0.2">
      <c r="A35" s="9" t="s">
        <v>209</v>
      </c>
      <c r="B35" s="109">
        <v>5320</v>
      </c>
      <c r="C35" s="145">
        <v>0</v>
      </c>
      <c r="E35" s="145">
        <v>0</v>
      </c>
      <c r="G35" s="145">
        <v>0</v>
      </c>
      <c r="I35" s="145">
        <v>0</v>
      </c>
      <c r="K35" s="145">
        <v>0</v>
      </c>
    </row>
    <row r="36" spans="1:12" s="1" customFormat="1" x14ac:dyDescent="0.2">
      <c r="A36" s="108" t="s">
        <v>205</v>
      </c>
      <c r="B36" s="111"/>
      <c r="C36" s="151">
        <f>SUM(C31:C35)</f>
        <v>5825949</v>
      </c>
      <c r="D36" s="131">
        <f>+C36/D2</f>
        <v>47.416324836409807</v>
      </c>
      <c r="E36" s="151">
        <f>SUM(E31:E35)</f>
        <v>2414313.09</v>
      </c>
      <c r="F36" s="131">
        <f>+E36/F2</f>
        <v>56.146816046511624</v>
      </c>
      <c r="G36" s="151">
        <f>SUM(G31:G35)</f>
        <v>9837643.0866666678</v>
      </c>
      <c r="H36" s="131">
        <f>+G36/H2</f>
        <v>58.678598573641196</v>
      </c>
      <c r="I36" s="151">
        <f>SUM(I31:I35)</f>
        <v>11190866.92</v>
      </c>
      <c r="J36" s="131">
        <f>+I36/J2</f>
        <v>66.027098631769618</v>
      </c>
      <c r="K36" s="151">
        <f>SUM(K31:K35)</f>
        <v>10576342.17</v>
      </c>
      <c r="L36" s="131">
        <f>+K36/L2</f>
        <v>61.646628488494088</v>
      </c>
    </row>
    <row r="37" spans="1:12" s="1" customFormat="1" x14ac:dyDescent="0.2">
      <c r="A37" s="108" t="s">
        <v>204</v>
      </c>
      <c r="B37" s="111"/>
      <c r="C37" s="151">
        <f>+C36+C30+C19</f>
        <v>16576751</v>
      </c>
      <c r="D37" s="131"/>
      <c r="E37" s="151">
        <f>+E36+E30+E19</f>
        <v>7733137.6899999995</v>
      </c>
      <c r="F37" s="131"/>
      <c r="G37" s="151">
        <f>+G36+G30+G19</f>
        <v>25548274.18</v>
      </c>
      <c r="H37" s="131"/>
      <c r="I37" s="151">
        <f>+I36+I30+I19</f>
        <v>25042281.890000001</v>
      </c>
      <c r="J37" s="131"/>
      <c r="K37" s="151">
        <f>+K36+K30+K19</f>
        <v>25447194.600000001</v>
      </c>
      <c r="L37" s="131"/>
    </row>
    <row r="38" spans="1:12" s="1" customFormat="1" x14ac:dyDescent="0.2">
      <c r="A38" s="108" t="s">
        <v>206</v>
      </c>
      <c r="B38" s="111"/>
      <c r="C38" s="149">
        <f>+C37/D2</f>
        <v>134.91512029169516</v>
      </c>
      <c r="D38" s="131"/>
      <c r="E38" s="149">
        <f>+E37/F2</f>
        <v>179.84041139534884</v>
      </c>
      <c r="F38" s="131"/>
      <c r="G38" s="149">
        <f>+G37/H2</f>
        <v>152.38781399676714</v>
      </c>
      <c r="H38" s="131"/>
      <c r="I38" s="149">
        <f>+I37/J2</f>
        <v>147.75166465080329</v>
      </c>
      <c r="J38" s="131"/>
      <c r="K38" s="149">
        <f>+K37/L2</f>
        <v>148.32479191438765</v>
      </c>
      <c r="L38" s="131"/>
    </row>
    <row r="39" spans="1:12" x14ac:dyDescent="0.2">
      <c r="E39" s="150">
        <v>182.22</v>
      </c>
    </row>
  </sheetData>
  <pageMargins left="0.70866141732283472" right="0.70866141732283472" top="0.74803149606299213" bottom="0.74803149606299213" header="0.31496062992125984" footer="0.31496062992125984"/>
  <pageSetup scale="12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Summary</vt:lpstr>
      <vt:lpstr>Data Inputs</vt:lpstr>
      <vt:lpstr>NPV Calculation</vt:lpstr>
      <vt:lpstr>xxTaxable Capital</vt:lpstr>
      <vt:lpstr>Debt Equity Ratio</vt:lpstr>
      <vt:lpstr>New OM&amp;A Calc</vt:lpstr>
      <vt:lpstr>Summary!Print_Area</vt:lpstr>
      <vt:lpstr>'NPV Calculation'!Print_Titles</vt:lpstr>
      <vt:lpstr>Summary!Print_Titles</vt:lpstr>
    </vt:vector>
  </TitlesOfParts>
  <Company>Municipal Electric Assoc.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Sithole</dc:creator>
  <cp:lastModifiedBy>Hocine Boudhar</cp:lastModifiedBy>
  <cp:lastPrinted>2019-06-18T12:37:56Z</cp:lastPrinted>
  <dcterms:created xsi:type="dcterms:W3CDTF">2000-11-06T16:39:07Z</dcterms:created>
  <dcterms:modified xsi:type="dcterms:W3CDTF">2023-02-21T16:49:45Z</dcterms:modified>
</cp:coreProperties>
</file>